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Stats" sheetId="2" r:id="rId5"/>
    <sheet state="hidden" name="__Solver__" sheetId="3" r:id="rId6"/>
  </sheets>
  <definedNames>
    <definedName name="CharBaseStats">Stats!$A$1:$G$53</definedName>
    <definedName name="CharMVsScaling">Stats!$A$589:$T$604</definedName>
    <definedName name="ArtifactSetStats">Stats!$A$147:$E$189</definedName>
    <definedName name="WeaponDamageProcs">Stats!$A$302:$E$324</definedName>
    <definedName name="TransformativeBases">Stats!$A$55:$C$145</definedName>
    <definedName name="CharMVsCharNames">Stats!$A$327:$A$586</definedName>
    <definedName name="CharMVsBase">Stats!$A$327:$AU$586</definedName>
    <definedName name="WeaponHealingProcs">Stats!$G$302:$J$306</definedName>
    <definedName name="WeaponStats">Stats!$A$191:$M$300</definedName>
  </definedNames>
  <calcPr/>
</workbook>
</file>

<file path=xl/sharedStrings.xml><?xml version="1.0" encoding="utf-8"?>
<sst xmlns="http://schemas.openxmlformats.org/spreadsheetml/2006/main" count="5552" uniqueCount="812">
  <si>
    <t>Template by elijam#7142 - used by archednosi</t>
  </si>
  <si>
    <t>Atk%</t>
  </si>
  <si>
    <t>CR</t>
  </si>
  <si>
    <t>CD</t>
  </si>
  <si>
    <t>EM</t>
  </si>
  <si>
    <t>ER</t>
  </si>
  <si>
    <t>HP%</t>
  </si>
  <si>
    <t>Def%</t>
  </si>
  <si>
    <t>Flat Atk</t>
  </si>
  <si>
    <t>Flat Def</t>
  </si>
  <si>
    <t>Flat HP</t>
  </si>
  <si>
    <t>Lisa</t>
  </si>
  <si>
    <t>Version 3.1</t>
  </si>
  <si>
    <t>(,1536) tE 4NO</t>
  </si>
  <si>
    <t>(136,) Summon 4NO Haku Benn</t>
  </si>
  <si>
    <t>Requires input</t>
  </si>
  <si>
    <t>Optional Input</t>
  </si>
  <si>
    <t>No input</t>
  </si>
  <si>
    <t>Comment</t>
  </si>
  <si>
    <t>(,) Discharge 4NO Haku Benn</t>
  </si>
  <si>
    <t>(912,1489) Discharge 4NO Haku Benn LisaA4</t>
  </si>
  <si>
    <t>Instructions</t>
  </si>
  <si>
    <t>(17256) OL 4vv</t>
  </si>
  <si>
    <t>(18382) OL 4vv XLC1</t>
  </si>
  <si>
    <t>Rotation</t>
  </si>
  <si>
    <t>Bennett EQ &gt; Kazuha hEPQ &gt; Lisa tEQ &gt; XL QE &gt; Kazuha hEP &gt; Lisa h3E &gt; Bennett E &gt; XL N3 &gt; Kazuha hEP &gt; Bennett E &gt; XL N3 &gt; Repeat</t>
  </si>
  <si>
    <t>(5626,) hE 4NO Haku Benn LisaA4</t>
  </si>
  <si>
    <t>Duration (seconds)</t>
  </si>
  <si>
    <t>XL</t>
  </si>
  <si>
    <t>Full rotation damage</t>
  </si>
  <si>
    <t>DPS</t>
  </si>
  <si>
    <t>% contribution</t>
  </si>
  <si>
    <t>N1 4NO LisaA4</t>
  </si>
  <si>
    <t>N2 4NO LisaA4</t>
  </si>
  <si>
    <t>N3 4NO LisaA4</t>
  </si>
  <si>
    <t>(670,) N1 Pyro 4NO KazA4 Haku XLC6 LisaA4</t>
  </si>
  <si>
    <t>(670,) N2 Pyro 4NO KazA4 Haku XLC1 XLC6 4vv LisaA4</t>
  </si>
  <si>
    <t>Total</t>
  </si>
  <si>
    <t>(670,) N3 Pyro 4NO KazA4 Haku XLC1 XLC6 4vv LisaA4</t>
  </si>
  <si>
    <t>(7213,15277) BurstHit1 4NO KazA4 Haku Catch ESF 4vv LisaA4</t>
  </si>
  <si>
    <t>Characters</t>
  </si>
  <si>
    <t>(,18844) BurstHit2 4NO KazA4 Haku Benn Catch ESF 4vv LisaA4</t>
  </si>
  <si>
    <t>(,26486) BurstHit3 4NO KazA4 Haku Benn XLC6 Catch ESF 4vv LisaA4</t>
  </si>
  <si>
    <t>(,25745) Pyronado 4NO KazA4 Haku Benn Catch ESF 4vv LisaA4</t>
  </si>
  <si>
    <t>(,27424) Pyronado 4NO KazA4 Haku Benn XLC1 Catch ESF 4vv LisaA4</t>
  </si>
  <si>
    <t>(,18231) Guoba 4NO KazA4 Haku Benn XLC6 4vv LisaA4</t>
  </si>
  <si>
    <t>(8464,19420) Guoba 4NO KazA4 Haku Benn XLC1 XLC6 4vv LisaA4</t>
  </si>
  <si>
    <t>Notes</t>
  </si>
  <si>
    <t>OL 4vv XLC1</t>
  </si>
  <si>
    <t>on 2 enemies</t>
  </si>
  <si>
    <t>Kazuha</t>
  </si>
  <si>
    <t>(2481,4378) tE 4NO</t>
  </si>
  <si>
    <t>(2688,) tE 4NO LisaA4</t>
  </si>
  <si>
    <t>(,4547) PyroA1 4NO KazA4 XLC1 XLC6 4vv LisaA4</t>
  </si>
  <si>
    <t>(4121,7273) PyroA1 4NO KazA4 Benn 4vv</t>
  </si>
  <si>
    <t>(4542,8684) PyroA1 4NO KazA4 XLC6 Benn 4vv</t>
  </si>
  <si>
    <t>LisaA4</t>
  </si>
  <si>
    <t>Distributed</t>
  </si>
  <si>
    <t>ATK%</t>
  </si>
  <si>
    <t>Flat ATK</t>
  </si>
  <si>
    <t>DEF%</t>
  </si>
  <si>
    <t>Flat DEF</t>
  </si>
  <si>
    <t>(2784,4535) Plunge 4NO LisaA4</t>
  </si>
  <si>
    <t>(4743,) Plunge 4NO Benn</t>
  </si>
  <si>
    <t>(,9069) Plunge 4NO Benn LisaA4</t>
  </si>
  <si>
    <t>(5635,) BurstSlash 4NO Benn</t>
  </si>
  <si>
    <t>(,4548) BurstDoT 4NO Benn</t>
  </si>
  <si>
    <t>(2792,4927) BurstDoT 4NO Benn LisaA4</t>
  </si>
  <si>
    <t>KQMC Maximum</t>
  </si>
  <si>
    <t>(1261,2226) PyroBurstDoT 4NO KazA4 Benn 4vv</t>
  </si>
  <si>
    <t>(1455,) PyroBurstDoT 4NO KazA4 XLC1 Benn 4vv LisaA4</t>
  </si>
  <si>
    <t>(1366,) PyroBurstDoT 4NO KazA4 Benn 4vv LisaA4</t>
  </si>
  <si>
    <t>(6161) PyroSwirl 4vv</t>
  </si>
  <si>
    <t>(6542) PyroSwirl XLC1 4vv</t>
  </si>
  <si>
    <t>Manual maximum</t>
  </si>
  <si>
    <t>Bennett</t>
  </si>
  <si>
    <t>(,5840) E</t>
  </si>
  <si>
    <t>E KazA4 XLC1 XLC6 4vv LisaA4</t>
  </si>
  <si>
    <t>(,24131) E 4NO KazA4 Haku XLC1 XLC6 Benn 4vv LisaA4</t>
  </si>
  <si>
    <t>(,20728) Q</t>
  </si>
  <si>
    <t>ER requirement</t>
  </si>
  <si>
    <t>Current ER</t>
  </si>
  <si>
    <t>Enemy LVL</t>
  </si>
  <si>
    <t>Phys</t>
  </si>
  <si>
    <t>Pyro</t>
  </si>
  <si>
    <t>Hydro</t>
  </si>
  <si>
    <t>Electro</t>
  </si>
  <si>
    <t>Cryo</t>
  </si>
  <si>
    <t>Anemo</t>
  </si>
  <si>
    <t>Geo</t>
  </si>
  <si>
    <t>Referenceable stats</t>
  </si>
  <si>
    <t>Stat value</t>
  </si>
  <si>
    <t>4NO</t>
  </si>
  <si>
    <t>4TotM</t>
  </si>
  <si>
    <t>4VV</t>
  </si>
  <si>
    <t>Superconduct</t>
  </si>
  <si>
    <t xml:space="preserve">TTDS </t>
  </si>
  <si>
    <t>Pyro reso</t>
  </si>
  <si>
    <t>Cryo reso</t>
  </si>
  <si>
    <t>Geo reso (DMG%)</t>
  </si>
  <si>
    <t>Geo reso (res shred)</t>
  </si>
  <si>
    <t>The Catch CR</t>
  </si>
  <si>
    <t>Festering Desire CR</t>
  </si>
  <si>
    <t>KazA4</t>
  </si>
  <si>
    <t>Insert more rows as needed</t>
  </si>
  <si>
    <t>Char 1 name</t>
  </si>
  <si>
    <t>Weapon</t>
  </si>
  <si>
    <t>Hakushin Ring</t>
  </si>
  <si>
    <t>Artifacts</t>
  </si>
  <si>
    <t>Full uptime additional stats</t>
  </si>
  <si>
    <t>Phys DMG%</t>
  </si>
  <si>
    <t>Full uptime stats</t>
  </si>
  <si>
    <t>Rarity</t>
  </si>
  <si>
    <t>Refine</t>
  </si>
  <si>
    <t>Primary artifact set</t>
  </si>
  <si>
    <t>2ESF</t>
  </si>
  <si>
    <t>Pyro DMG%</t>
  </si>
  <si>
    <t>Base HP</t>
  </si>
  <si>
    <t>Primary Element</t>
  </si>
  <si>
    <t>Weapon base ATK</t>
  </si>
  <si>
    <t>Primary artifact stat type</t>
  </si>
  <si>
    <t>Hydro DMG%</t>
  </si>
  <si>
    <t>Char LVL</t>
  </si>
  <si>
    <t>Weapon secondary stat type</t>
  </si>
  <si>
    <t>Primary artifact stat value</t>
  </si>
  <si>
    <t>Electro DMG%</t>
  </si>
  <si>
    <t>Ascension LVL</t>
  </si>
  <si>
    <t>A6</t>
  </si>
  <si>
    <t>Weapon secondary stat value</t>
  </si>
  <si>
    <t>Secondary artifact set</t>
  </si>
  <si>
    <t>2WT</t>
  </si>
  <si>
    <t>Cryo DMG%</t>
  </si>
  <si>
    <t>Total HP</t>
  </si>
  <si>
    <t>Ascension stat</t>
  </si>
  <si>
    <t>Weapon stat type 1</t>
  </si>
  <si>
    <t>Secondary artifact stat 1 type</t>
  </si>
  <si>
    <t>Anemo DMG%</t>
  </si>
  <si>
    <t>Base ATK</t>
  </si>
  <si>
    <t>AA TL</t>
  </si>
  <si>
    <t>Weapon stat value 1</t>
  </si>
  <si>
    <t>Secondary artifact stat 1 value</t>
  </si>
  <si>
    <t>Geo DMG%</t>
  </si>
  <si>
    <t>Skill TL</t>
  </si>
  <si>
    <t>Weapon stacks 1</t>
  </si>
  <si>
    <t>Secondary artifact stat 1 stacks</t>
  </si>
  <si>
    <t xml:space="preserve">EM </t>
  </si>
  <si>
    <t>All Ele DMG%</t>
  </si>
  <si>
    <t>NA DMG%</t>
  </si>
  <si>
    <t>Burst TL</t>
  </si>
  <si>
    <t>Weapon stat type 2</t>
  </si>
  <si>
    <t>Secondary artifact stat 2 type</t>
  </si>
  <si>
    <t>Total ATK</t>
  </si>
  <si>
    <t>CA DMG%</t>
  </si>
  <si>
    <t>Constellation</t>
  </si>
  <si>
    <t>Weapon stat value 2</t>
  </si>
  <si>
    <t>Secondary artifact stat 2 value</t>
  </si>
  <si>
    <t>Base DEF</t>
  </si>
  <si>
    <t>PA DMG%</t>
  </si>
  <si>
    <t>Weapon stacks 2</t>
  </si>
  <si>
    <t>Secondary artifact stat 2 stacks</t>
  </si>
  <si>
    <t>Skill DMG%</t>
  </si>
  <si>
    <t>Weapon stat type 3</t>
  </si>
  <si>
    <t>4ESF cheese</t>
  </si>
  <si>
    <t>Healing Bonus</t>
  </si>
  <si>
    <t>Burst DMG%</t>
  </si>
  <si>
    <t>Weapon stat value 3</t>
  </si>
  <si>
    <t>Sands</t>
  </si>
  <si>
    <t>Total DEF</t>
  </si>
  <si>
    <t>Other DMG%</t>
  </si>
  <si>
    <t>Weapon stacks 3</t>
  </si>
  <si>
    <t>Goblet</t>
  </si>
  <si>
    <t>Homa active</t>
  </si>
  <si>
    <t>Circlet</t>
  </si>
  <si>
    <t>PJC/Homa cheese</t>
  </si>
  <si>
    <t>EL cheese</t>
  </si>
  <si>
    <t>MVs</t>
  </si>
  <si>
    <t>1-Hit DMG</t>
  </si>
  <si>
    <t>2-Hit DMG</t>
  </si>
  <si>
    <t>3-Hit DMG</t>
  </si>
  <si>
    <t>4-Hit DMG</t>
  </si>
  <si>
    <t>Charged Attack DMG</t>
  </si>
  <si>
    <t>Plunge DMG</t>
  </si>
  <si>
    <t>Low Plunge DMG</t>
  </si>
  <si>
    <t>High Plunge DMG</t>
  </si>
  <si>
    <t>Press DMG</t>
  </si>
  <si>
    <t>Non-Conductive Hold DMG</t>
  </si>
  <si>
    <t>Stack 1 Conductive Hold DMG</t>
  </si>
  <si>
    <t>Stack 2 Conductive Hold DMG</t>
  </si>
  <si>
    <t>Stack 3 Conductive Hold DMG</t>
  </si>
  <si>
    <t>C2</t>
  </si>
  <si>
    <t>Summon DMG</t>
  </si>
  <si>
    <t>Discharge DMG</t>
  </si>
  <si>
    <t>A4</t>
  </si>
  <si>
    <t>Name</t>
  </si>
  <si>
    <t>Multiplicative factor</t>
  </si>
  <si>
    <t>MV</t>
  </si>
  <si>
    <t>Scaling factor</t>
  </si>
  <si>
    <t>Elemental tag</t>
  </si>
  <si>
    <t>Talent tag</t>
  </si>
  <si>
    <t>+HP/ATK/DEF%</t>
  </si>
  <si>
    <t>+Flat HP/ATK/DEF</t>
  </si>
  <si>
    <t>+EM</t>
  </si>
  <si>
    <t>+Rxn DMG bonus</t>
  </si>
  <si>
    <t>+CR</t>
  </si>
  <si>
    <t>+CD</t>
  </si>
  <si>
    <t>+DMG%</t>
  </si>
  <si>
    <t>+Res shred</t>
  </si>
  <si>
    <t>+Def shred</t>
  </si>
  <si>
    <t>+Def ignore</t>
  </si>
  <si>
    <t>Avg unamped damage/instance</t>
  </si>
  <si>
    <t>Amp%</t>
  </si>
  <si>
    <t>Amp factor</t>
  </si>
  <si>
    <t>Avg damage</t>
  </si>
  <si>
    <t>Instances</t>
  </si>
  <si>
    <t>Damage</t>
  </si>
  <si>
    <t>Talent damage</t>
  </si>
  <si>
    <t>tE</t>
  </si>
  <si>
    <t>Summon</t>
  </si>
  <si>
    <t>Haku</t>
  </si>
  <si>
    <t>Benn</t>
  </si>
  <si>
    <t>Discharge</t>
  </si>
  <si>
    <t>h3E</t>
  </si>
  <si>
    <t>Extra damage</t>
  </si>
  <si>
    <t>Weapon damage procs</t>
  </si>
  <si>
    <t>Aquila Favonia</t>
  </si>
  <si>
    <t>Artifact damage</t>
  </si>
  <si>
    <t>Transformative damage</t>
  </si>
  <si>
    <t>Overload</t>
  </si>
  <si>
    <t>OL</t>
  </si>
  <si>
    <t>4vv</t>
  </si>
  <si>
    <t>XLC1</t>
  </si>
  <si>
    <t>Crystallize</t>
  </si>
  <si>
    <t>+Shield strength (unit shielded)</t>
  </si>
  <si>
    <t>Incoming damage type</t>
  </si>
  <si>
    <t>Shielding</t>
  </si>
  <si>
    <t>Healing</t>
  </si>
  <si>
    <t>Healing bonus</t>
  </si>
  <si>
    <t>Incoming healing bonus (unit healed)</t>
  </si>
  <si>
    <t>Full team?</t>
  </si>
  <si>
    <t>Weapon healing procs</t>
  </si>
  <si>
    <t>Char 2 name</t>
  </si>
  <si>
    <t>Xiangling</t>
  </si>
  <si>
    <t>The Catch</t>
  </si>
  <si>
    <t>4ESF</t>
  </si>
  <si>
    <t>3-Hit DMG (*2)</t>
  </si>
  <si>
    <t>4-Hit DMG (*4)</t>
  </si>
  <si>
    <t>5-Hit DMG</t>
  </si>
  <si>
    <t>Flame DMG</t>
  </si>
  <si>
    <t>C1</t>
  </si>
  <si>
    <t>1-Hit Swing DMG</t>
  </si>
  <si>
    <t>2-Hit Swing DMG</t>
  </si>
  <si>
    <t>3-Hit Swing DMG</t>
  </si>
  <si>
    <t>Pyronado DMG</t>
  </si>
  <si>
    <t>C6</t>
  </si>
  <si>
    <t>N1</t>
  </si>
  <si>
    <t>Lisa A4</t>
  </si>
  <si>
    <t>N2</t>
  </si>
  <si>
    <t>N3</t>
  </si>
  <si>
    <t>XLC6</t>
  </si>
  <si>
    <t>Hit1</t>
  </si>
  <si>
    <t>Hit2</t>
  </si>
  <si>
    <t>Hit3</t>
  </si>
  <si>
    <t>Pyronado</t>
  </si>
  <si>
    <t>Guoba</t>
  </si>
  <si>
    <t>Shared damage</t>
  </si>
  <si>
    <t>Char 3 name</t>
  </si>
  <si>
    <t>Favonius Sword</t>
  </si>
  <si>
    <t>2VV</t>
  </si>
  <si>
    <t>3-Hit DMG (1/2)</t>
  </si>
  <si>
    <t>3-Hit DMG (2/2)</t>
  </si>
  <si>
    <t>Charged Attack DMG (1/2)</t>
  </si>
  <si>
    <t>Charged Attack DMG (2/2)</t>
  </si>
  <si>
    <t>Press Skill DMG</t>
  </si>
  <si>
    <t>Hold Skill DMG</t>
  </si>
  <si>
    <t>A1</t>
  </si>
  <si>
    <t>Slashing DMG</t>
  </si>
  <si>
    <t>DoT</t>
  </si>
  <si>
    <t>Additional Elemental DMG</t>
  </si>
  <si>
    <t>P.A1</t>
  </si>
  <si>
    <t>H.Plunge</t>
  </si>
  <si>
    <t>BurstSlash</t>
  </si>
  <si>
    <t>BurstDoT</t>
  </si>
  <si>
    <t>P.BurstDoT</t>
  </si>
  <si>
    <t>Swirl</t>
  </si>
  <si>
    <t>P.Swirl</t>
  </si>
  <si>
    <t>Char 4 name</t>
  </si>
  <si>
    <t>Prototype Rancour</t>
  </si>
  <si>
    <t>2NO</t>
  </si>
  <si>
    <t>Charge Level 1 DMG (1/2)</t>
  </si>
  <si>
    <t>Charge Level 1 DMG (2/2)</t>
  </si>
  <si>
    <t>Charge Level 2 DMG (1/2)</t>
  </si>
  <si>
    <t>Charge Level 2 DMG (2/2)</t>
  </si>
  <si>
    <t>Explosion DMG</t>
  </si>
  <si>
    <t>C4</t>
  </si>
  <si>
    <t>Skill DMG</t>
  </si>
  <si>
    <t>Continuous Regeneration Per Sec</t>
  </si>
  <si>
    <t>Continuous Regeneration Per Sec (flat)</t>
  </si>
  <si>
    <t>ATK Bonus Ratio</t>
  </si>
  <si>
    <t>E</t>
  </si>
  <si>
    <t>Q</t>
  </si>
  <si>
    <t>Electrocharge</t>
  </si>
  <si>
    <t>Stat base</t>
  </si>
  <si>
    <t>Element</t>
  </si>
  <si>
    <t>HP</t>
  </si>
  <si>
    <t>ATK</t>
  </si>
  <si>
    <t>DEF</t>
  </si>
  <si>
    <t>Albedo</t>
  </si>
  <si>
    <t>5*</t>
  </si>
  <si>
    <t>Aloy</t>
  </si>
  <si>
    <t>Amber</t>
  </si>
  <si>
    <t>4*</t>
  </si>
  <si>
    <t>AMC</t>
  </si>
  <si>
    <t>Ayaka</t>
  </si>
  <si>
    <t>Ayato</t>
  </si>
  <si>
    <t>Barbara</t>
  </si>
  <si>
    <t>Beidou</t>
  </si>
  <si>
    <t>Chongyun</t>
  </si>
  <si>
    <t>Diluc</t>
  </si>
  <si>
    <t>Diona</t>
  </si>
  <si>
    <t>EMC</t>
  </si>
  <si>
    <t>Eula</t>
  </si>
  <si>
    <t>Fischl</t>
  </si>
  <si>
    <t>Ganyu</t>
  </si>
  <si>
    <t>GMC</t>
  </si>
  <si>
    <t>Gorou</t>
  </si>
  <si>
    <t>Hu Tao</t>
  </si>
  <si>
    <t>Itto</t>
  </si>
  <si>
    <t>Jean</t>
  </si>
  <si>
    <t>Kaeya</t>
  </si>
  <si>
    <t>Keqing</t>
  </si>
  <si>
    <t>Klee</t>
  </si>
  <si>
    <t>Kokomi</t>
  </si>
  <si>
    <t>Mona</t>
  </si>
  <si>
    <t>Ningguang</t>
  </si>
  <si>
    <t>Noelle</t>
  </si>
  <si>
    <t>Qiqi</t>
  </si>
  <si>
    <t>Raiden</t>
  </si>
  <si>
    <t>Razor</t>
  </si>
  <si>
    <t>Rosaria</t>
  </si>
  <si>
    <t>Sara</t>
  </si>
  <si>
    <t>Sayu</t>
  </si>
  <si>
    <t>Shenhe</t>
  </si>
  <si>
    <t>Shinobu</t>
  </si>
  <si>
    <t>Sucrose</t>
  </si>
  <si>
    <t>Tartaglia</t>
  </si>
  <si>
    <t>Thoma</t>
  </si>
  <si>
    <t>Venti</t>
  </si>
  <si>
    <t>Xiao</t>
  </si>
  <si>
    <t>Xingqiu</t>
  </si>
  <si>
    <t>Xinyan</t>
  </si>
  <si>
    <t>Yae</t>
  </si>
  <si>
    <t>Yanfei</t>
  </si>
  <si>
    <t>Yelan</t>
  </si>
  <si>
    <t>Yoimiya</t>
  </si>
  <si>
    <t>Yunjin</t>
  </si>
  <si>
    <t>Zhongli</t>
  </si>
  <si>
    <t>LVL scaling</t>
  </si>
  <si>
    <t>Transformative base damage</t>
  </si>
  <si>
    <t>Crystallize base shield</t>
  </si>
  <si>
    <t>Artifact sets</t>
  </si>
  <si>
    <t>Stat type 1</t>
  </si>
  <si>
    <t>Stat value 1</t>
  </si>
  <si>
    <t>Stat type 2</t>
  </si>
  <si>
    <t>Stat value 2</t>
  </si>
  <si>
    <t>2glad</t>
  </si>
  <si>
    <t>4glad</t>
  </si>
  <si>
    <t>4WT</t>
  </si>
  <si>
    <t>4TS</t>
  </si>
  <si>
    <t xml:space="preserve">2TF </t>
  </si>
  <si>
    <t>4TF</t>
  </si>
  <si>
    <t>Rxn DMG bonus</t>
  </si>
  <si>
    <t>2MB</t>
  </si>
  <si>
    <t>2CW</t>
  </si>
  <si>
    <t>4CW</t>
  </si>
  <si>
    <t>4LW</t>
  </si>
  <si>
    <t>BUFF</t>
  </si>
  <si>
    <t>2BSC</t>
  </si>
  <si>
    <t>4BSC</t>
  </si>
  <si>
    <t>2AP</t>
  </si>
  <si>
    <t>4AP</t>
  </si>
  <si>
    <t>4bolide</t>
  </si>
  <si>
    <t>NA/CA DMG%</t>
  </si>
  <si>
    <t>2BS</t>
  </si>
  <si>
    <t>4BS (cryo)</t>
  </si>
  <si>
    <t>4BS (frozen)</t>
  </si>
  <si>
    <t>2HoD</t>
  </si>
  <si>
    <t>4HoD</t>
  </si>
  <si>
    <t>2TotM</t>
  </si>
  <si>
    <t>2PF</t>
  </si>
  <si>
    <t>4PF</t>
  </si>
  <si>
    <t>NONE</t>
  </si>
  <si>
    <t>2SR</t>
  </si>
  <si>
    <t>4SR</t>
  </si>
  <si>
    <t>NA/CA/PA DMG%</t>
  </si>
  <si>
    <t>2clam</t>
  </si>
  <si>
    <t>4clam</t>
  </si>
  <si>
    <t>DMG</t>
  </si>
  <si>
    <t>2husk</t>
  </si>
  <si>
    <t>4husk</t>
  </si>
  <si>
    <t>2echoes</t>
  </si>
  <si>
    <t>4echoes</t>
  </si>
  <si>
    <t>2verm</t>
  </si>
  <si>
    <t>4verm</t>
  </si>
  <si>
    <t>Weapons</t>
  </si>
  <si>
    <t>Base atk</t>
  </si>
  <si>
    <t>Secondary stat type</t>
  </si>
  <si>
    <t>Secondary stat value</t>
  </si>
  <si>
    <t>Stat refines value 1</t>
  </si>
  <si>
    <t>Stat refines value 2</t>
  </si>
  <si>
    <t>Stat type 3</t>
  </si>
  <si>
    <t>Stat value 3</t>
  </si>
  <si>
    <t>Stat refines value 3</t>
  </si>
  <si>
    <t>Black Tassel</t>
  </si>
  <si>
    <t>White Tassel</t>
  </si>
  <si>
    <t>Wavebreaker's Fin</t>
  </si>
  <si>
    <t>Blackcliff Pole</t>
  </si>
  <si>
    <t>Crescent Pike</t>
  </si>
  <si>
    <t>Deathmatch</t>
  </si>
  <si>
    <t>Dragon's Bane</t>
  </si>
  <si>
    <t>Lithic Spear</t>
  </si>
  <si>
    <t>Prototype Starglitter</t>
  </si>
  <si>
    <t>Favonius Lance</t>
  </si>
  <si>
    <t>Royal Spear</t>
  </si>
  <si>
    <t>Dragonspine Spear</t>
  </si>
  <si>
    <t>Kitain Cross Spear</t>
  </si>
  <si>
    <t>Vortex Vanquisher</t>
  </si>
  <si>
    <t>Primordial Jade-Winged Spear</t>
  </si>
  <si>
    <t>Skyward Spine</t>
  </si>
  <si>
    <t>Staff of Homa</t>
  </si>
  <si>
    <t>Engulfing Lightning</t>
  </si>
  <si>
    <t>Calamity Queller</t>
  </si>
  <si>
    <t>Recurve Bow</t>
  </si>
  <si>
    <t>Raven Bow</t>
  </si>
  <si>
    <t>Sharpshooter's Oath</t>
  </si>
  <si>
    <t>Slingshot</t>
  </si>
  <si>
    <t>Mouun's Moon</t>
  </si>
  <si>
    <t>Royal Bow</t>
  </si>
  <si>
    <t>Rust</t>
  </si>
  <si>
    <t>The Stringless</t>
  </si>
  <si>
    <t>Skill/Burst DMG%</t>
  </si>
  <si>
    <t>Sacrificial Bow</t>
  </si>
  <si>
    <t>Favonius Warbow</t>
  </si>
  <si>
    <t>Blackcliff Warbow</t>
  </si>
  <si>
    <t>Alley Hunter</t>
  </si>
  <si>
    <t>Windblume Ode</t>
  </si>
  <si>
    <t>Mitternachts Waltz</t>
  </si>
  <si>
    <t>Hamayumi</t>
  </si>
  <si>
    <t>Prototype Crescent</t>
  </si>
  <si>
    <t>Predator</t>
  </si>
  <si>
    <t>The Viridescent Hunt</t>
  </si>
  <si>
    <t>Compound Bow</t>
  </si>
  <si>
    <t>Fading Twilight</t>
  </si>
  <si>
    <t>Polar Star</t>
  </si>
  <si>
    <t>Skyward Harp</t>
  </si>
  <si>
    <t>Elegy for the End</t>
  </si>
  <si>
    <t>Aqua Simulacra</t>
  </si>
  <si>
    <t>Amos' Bow</t>
  </si>
  <si>
    <t>Thundering Pulse</t>
  </si>
  <si>
    <t>Skyrider Sword</t>
  </si>
  <si>
    <t>Cool Steel</t>
  </si>
  <si>
    <t>Harbinger of Dawn</t>
  </si>
  <si>
    <t>Iron Sting</t>
  </si>
  <si>
    <t>Lion's Roar</t>
  </si>
  <si>
    <t>Royal Longsword</t>
  </si>
  <si>
    <t>Sacrificial Sword</t>
  </si>
  <si>
    <t>The Flute</t>
  </si>
  <si>
    <t>Blackcliff Longsword</t>
  </si>
  <si>
    <t>The Black Sword</t>
  </si>
  <si>
    <t>The Alley Flash</t>
  </si>
  <si>
    <t>Festering Desire</t>
  </si>
  <si>
    <t>Amenoma Kageuchi</t>
  </si>
  <si>
    <t>Cinnabar Spindle</t>
  </si>
  <si>
    <t>Summit Shaper</t>
  </si>
  <si>
    <t>Primordial Jade Cutter</t>
  </si>
  <si>
    <t>Freedom-Sworn</t>
  </si>
  <si>
    <t>Skyward Blade</t>
  </si>
  <si>
    <t>Mistsplitter Reforged</t>
  </si>
  <si>
    <t>Primary Ele DMG%</t>
  </si>
  <si>
    <t>Bloodtainted Greatsword</t>
  </si>
  <si>
    <t>Akuoumaru</t>
  </si>
  <si>
    <t>Favonius Greatsword</t>
  </si>
  <si>
    <t>Prototype Archaic</t>
  </si>
  <si>
    <t>Rainslasher</t>
  </si>
  <si>
    <t>Royal Greatsword</t>
  </si>
  <si>
    <t>The Bell</t>
  </si>
  <si>
    <t>Whiteblind</t>
  </si>
  <si>
    <t>Serpent Spine</t>
  </si>
  <si>
    <t>Lithic Blade</t>
  </si>
  <si>
    <t>Sacrificial Greatsword</t>
  </si>
  <si>
    <t>Snow-Tombed Starsilver</t>
  </si>
  <si>
    <t>Blackcliff Slasher</t>
  </si>
  <si>
    <t>Katsuragikiri Nagamasa</t>
  </si>
  <si>
    <t>Luxurious Sea-Lord</t>
  </si>
  <si>
    <t>The Unforged</t>
  </si>
  <si>
    <t>Song of Broken Pines</t>
  </si>
  <si>
    <t>Skyward Pride</t>
  </si>
  <si>
    <t>Wolf's Gravestone</t>
  </si>
  <si>
    <t>Redhorn Stonethresher</t>
  </si>
  <si>
    <t>Thrilling Tales of Dragon Slayers</t>
  </si>
  <si>
    <t>Magic Guide</t>
  </si>
  <si>
    <t>Oathsworn Eye</t>
  </si>
  <si>
    <t>Eye of Perception</t>
  </si>
  <si>
    <t>Frostbearer</t>
  </si>
  <si>
    <t>Prototype Amber</t>
  </si>
  <si>
    <t>Wine and Song</t>
  </si>
  <si>
    <t>Favonius Codex</t>
  </si>
  <si>
    <t>Dodoco Tales</t>
  </si>
  <si>
    <t>The Widsith</t>
  </si>
  <si>
    <t>Solar Pearl</t>
  </si>
  <si>
    <t>Sacrificial Fragments</t>
  </si>
  <si>
    <t>Royal Grimoire</t>
  </si>
  <si>
    <t>Blackcliff Agate</t>
  </si>
  <si>
    <t>Mappa Mare</t>
  </si>
  <si>
    <t>Kagura's Verity</t>
  </si>
  <si>
    <t>Everlasting Moonglow</t>
  </si>
  <si>
    <t>Memory of Dust</t>
  </si>
  <si>
    <t>Skyward Atlas</t>
  </si>
  <si>
    <t>Lost Prayer to the Sacred Winds</t>
  </si>
  <si>
    <t>MV from refines</t>
  </si>
  <si>
    <t>Scaling Factor</t>
  </si>
  <si>
    <t>Dragonspine Spear (Cryo)</t>
  </si>
  <si>
    <t>Snow-Tombed Starsilver (Cryo)</t>
  </si>
  <si>
    <t>Redhorn Stonethresher (NA)</t>
  </si>
  <si>
    <t>Redhorn Stonethresher (CA)</t>
  </si>
  <si>
    <t>Frostbearer (Cryo)</t>
  </si>
  <si>
    <t>Transient Blossom DMG</t>
  </si>
  <si>
    <t>Elemental Burst DMG</t>
  </si>
  <si>
    <t>Fatal Blossom DMG</t>
  </si>
  <si>
    <t>phy high</t>
  </si>
  <si>
    <t>phy</t>
  </si>
  <si>
    <t>elem</t>
  </si>
  <si>
    <t>zero gain</t>
  </si>
  <si>
    <t>1-Hit DMG (1/2)</t>
  </si>
  <si>
    <t>1-Hit DMG (2/2)</t>
  </si>
  <si>
    <t>Aimed Shot</t>
  </si>
  <si>
    <t>Fully-Charged Aimed Shot</t>
  </si>
  <si>
    <t>Freeze Bomb DMG</t>
  </si>
  <si>
    <t>Chillwater Bomblets</t>
  </si>
  <si>
    <t>Coil NA DMG Bonus</t>
  </si>
  <si>
    <t>Rushing Ice NA DMG Bonus</t>
  </si>
  <si>
    <t>A1 (Aloy)</t>
  </si>
  <si>
    <t>A1 (party)</t>
  </si>
  <si>
    <t>Skill DMG (Burst)</t>
  </si>
  <si>
    <t>aloy</t>
  </si>
  <si>
    <t>elem low</t>
  </si>
  <si>
    <t>Inherited HP</t>
  </si>
  <si>
    <t>Fiery Rain DMG Per Wave</t>
  </si>
  <si>
    <t>Total Fiery Rain DMG</t>
  </si>
  <si>
    <t>Charged Attack DMG (1/2) (Aether)</t>
  </si>
  <si>
    <t>Charged Attack DMG (2/2) (Aether)</t>
  </si>
  <si>
    <t>Charged Attack DMG (1/2) (Lumine)</t>
  </si>
  <si>
    <t>Charged Attack DMG (2/2) (Lumine)</t>
  </si>
  <si>
    <t>Initial Cutting DMG</t>
  </si>
  <si>
    <t>Max Cutting DMG</t>
  </si>
  <si>
    <t>Initial Storm DMG</t>
  </si>
  <si>
    <t>Max Storm DMG</t>
  </si>
  <si>
    <t>Tornado DMG</t>
  </si>
  <si>
    <t>4-Hit DMG (*3)</t>
  </si>
  <si>
    <t>Charged Attack DMG (*3)</t>
  </si>
  <si>
    <t>Cutting DMG</t>
  </si>
  <si>
    <t>Bloom DMG</t>
  </si>
  <si>
    <t>4-Hit DMG (*2)</t>
  </si>
  <si>
    <t>Shunsuiken 1-Hit DMG</t>
  </si>
  <si>
    <t>Shunsuiken 2-Hit DMG</t>
  </si>
  <si>
    <t>Shunsuiken 3-Hit DMG</t>
  </si>
  <si>
    <t>Namisen DMG Bonus</t>
  </si>
  <si>
    <t>Water Illusion DMG</t>
  </si>
  <si>
    <t>Bloomwater Blade DMG</t>
  </si>
  <si>
    <t>Normal Attack DMG Bonus</t>
  </si>
  <si>
    <t>ayato</t>
  </si>
  <si>
    <t>HP Regeneration Per Hit</t>
  </si>
  <si>
    <t>HP Regeneration Per Hit (flat)</t>
  </si>
  <si>
    <t>Continuous Regeneration</t>
  </si>
  <si>
    <t>Continuous Regeneration (flat)</t>
  </si>
  <si>
    <t>Droplet DMG</t>
  </si>
  <si>
    <t>Regeneration</t>
  </si>
  <si>
    <t>Regeneration (flat)</t>
  </si>
  <si>
    <t>flat</t>
  </si>
  <si>
    <t>Charged Attack Spinning DMG</t>
  </si>
  <si>
    <t>Charged Attack Final DMG</t>
  </si>
  <si>
    <t>Shield DMG Absorption</t>
  </si>
  <si>
    <t>Shield DMG Absorption (flat)</t>
  </si>
  <si>
    <t>Base DMG</t>
  </si>
  <si>
    <t>DMG Bonus on Hit Taken</t>
  </si>
  <si>
    <t>Lightning DMG</t>
  </si>
  <si>
    <t>DMG Reduction</t>
  </si>
  <si>
    <t>beidou</t>
  </si>
  <si>
    <t>C1 (*3)</t>
  </si>
  <si>
    <t>Skill DMG (Skill)</t>
  </si>
  <si>
    <t xml:space="preserve">zero gain </t>
  </si>
  <si>
    <t>1-Hit DMG (Skill)</t>
  </si>
  <si>
    <t>2-Hit DMG (Skill)</t>
  </si>
  <si>
    <t>3-Hit DMG (Skill)</t>
  </si>
  <si>
    <t>Icy Paw DMG</t>
  </si>
  <si>
    <t>Base Shield DMG Absorption</t>
  </si>
  <si>
    <t>Base Shield DMG Absorption (flat)</t>
  </si>
  <si>
    <t>Continuous Field DMG</t>
  </si>
  <si>
    <t>HP Regeneration Over Time</t>
  </si>
  <si>
    <t>HP Regeneration Over Time (flat)</t>
  </si>
  <si>
    <t>C6 HB</t>
  </si>
  <si>
    <t>C6 EM</t>
  </si>
  <si>
    <t>elem high</t>
  </si>
  <si>
    <t>Energy Recharge Increase</t>
  </si>
  <si>
    <t>Falling Thunder DMG</t>
  </si>
  <si>
    <t>5-Hit DMG (1/2)</t>
  </si>
  <si>
    <t>Hold DMG</t>
  </si>
  <si>
    <t>Icewhirl Brand DMG</t>
  </si>
  <si>
    <t>RES Decrease</t>
  </si>
  <si>
    <t>DEF Bonus</t>
  </si>
  <si>
    <t>Lightfall Sword Base DMG</t>
  </si>
  <si>
    <t>DMG Per Stack</t>
  </si>
  <si>
    <t>eula</t>
  </si>
  <si>
    <t>Oz's ATK DMG</t>
  </si>
  <si>
    <t>Summoning DMG</t>
  </si>
  <si>
    <t>C4 (damage)</t>
  </si>
  <si>
    <t>C4 (healing)</t>
  </si>
  <si>
    <t>6-Hit DMG</t>
  </si>
  <si>
    <t>Aimed Shot Charge Level 1</t>
  </si>
  <si>
    <t>Frostflake Arrow DMG</t>
  </si>
  <si>
    <t>Frostflake Arrow Bloom DMG</t>
  </si>
  <si>
    <t>Ice Shard DMG</t>
  </si>
  <si>
    <t>DMG Per Shockwave</t>
  </si>
  <si>
    <t>DEF Increase</t>
  </si>
  <si>
    <t>Geo DMG Bonus</t>
  </si>
  <si>
    <t>A4 (Skill)</t>
  </si>
  <si>
    <t>Crystal Collapse DMG</t>
  </si>
  <si>
    <t>A4 (Burst)</t>
  </si>
  <si>
    <t>C6 Standing Firm</t>
  </si>
  <si>
    <t>C6 Impregnable</t>
  </si>
  <si>
    <t>C6 Crunch</t>
  </si>
  <si>
    <t>5-Hit DMG (2/2)</t>
  </si>
  <si>
    <t>6-HIT DMG</t>
  </si>
  <si>
    <t>ATK increase</t>
  </si>
  <si>
    <t>Blood Blossom DMG</t>
  </si>
  <si>
    <t>Low HP Skill DMG</t>
  </si>
  <si>
    <t>Skill HP Regeneration</t>
  </si>
  <si>
    <t>Low HP Skill Regeneration</t>
  </si>
  <si>
    <t>phy low</t>
  </si>
  <si>
    <t>Arataki Kesagiri Combo Slash DMG</t>
  </si>
  <si>
    <t>Arataki Kesagiri Finisher Slash DMG</t>
  </si>
  <si>
    <t>Saichimonji Slash DMG</t>
  </si>
  <si>
    <t>ATK Bonus</t>
  </si>
  <si>
    <t>Field Entering/Exiting DMG</t>
  </si>
  <si>
    <t>Field Activation Healing</t>
  </si>
  <si>
    <t>Field Activation Healing (flat)</t>
  </si>
  <si>
    <t>4-Hit DMG (1/2)</t>
  </si>
  <si>
    <t>4-Hit DMG (2/2)</t>
  </si>
  <si>
    <t>Lightning Stiletto DMG</t>
  </si>
  <si>
    <t>Thunderclap Slash DMG (*2)</t>
  </si>
  <si>
    <t>C1 (*2)</t>
  </si>
  <si>
    <t>Consecutive Slash DMG (*8)</t>
  </si>
  <si>
    <t>Last Attack DMG</t>
  </si>
  <si>
    <t>Jumpy Dumpty DMG</t>
  </si>
  <si>
    <t>Mine DMG</t>
  </si>
  <si>
    <t>Sparks 'n' Splash DMG</t>
  </si>
  <si>
    <t>Ripple DMG</t>
  </si>
  <si>
    <t>C2 (Skill)</t>
  </si>
  <si>
    <t>Charged Attack DMG Bonus</t>
  </si>
  <si>
    <t>Bake-Kurage DMG Bonus</t>
  </si>
  <si>
    <t>Flawless Strategy HB</t>
  </si>
  <si>
    <t>Flawless Strategy CR</t>
  </si>
  <si>
    <t>C2 (Burst)</t>
  </si>
  <si>
    <t>Illusory Bubble Explosion DMG</t>
  </si>
  <si>
    <t>DMG Bonus</t>
  </si>
  <si>
    <t>mona</t>
  </si>
  <si>
    <t>Normal Attack DMG (*2)</t>
  </si>
  <si>
    <t>DMG per Star Jade</t>
  </si>
  <si>
    <t>DMG Per Gem</t>
  </si>
  <si>
    <t>DMG Absorption</t>
  </si>
  <si>
    <t>DMG Absorption (flat)</t>
  </si>
  <si>
    <t>Healing (flat)</t>
  </si>
  <si>
    <t>Burst DMG</t>
  </si>
  <si>
    <t>Charged Attack DMG (*2)</t>
  </si>
  <si>
    <t>Regeneration on Hit</t>
  </si>
  <si>
    <t>Regeneration on Hit (flat)</t>
  </si>
  <si>
    <t>Herald of Frost DMG</t>
  </si>
  <si>
    <t>Coordinated ATK DMG</t>
  </si>
  <si>
    <t>Elemental Burst DMG Bonus</t>
  </si>
  <si>
    <t>Musou no Hitotachi Base DMG</t>
  </si>
  <si>
    <t>Resolve Bonus (initial)</t>
  </si>
  <si>
    <t>Resolve Bonus (ATK DMG Per Stack)</t>
  </si>
  <si>
    <t>1-Hit DMG (Burst)</t>
  </si>
  <si>
    <t>2-Hit DMG (Burst)</t>
  </si>
  <si>
    <t>3-Hit DMG (Burst)</t>
  </si>
  <si>
    <t>4-Hit DMG (1/2) (Burst)</t>
  </si>
  <si>
    <t>4-Hit DMG (2/2) (Burst)</t>
  </si>
  <si>
    <t>5-Hit DMG (Burst)</t>
  </si>
  <si>
    <t>Charged Attack DMG (1/2) (Burst)</t>
  </si>
  <si>
    <t>Charged Attack DMG (2/2) (Burst)</t>
  </si>
  <si>
    <t>Plunge DMG (Burst)</t>
  </si>
  <si>
    <t>Low Plunge DMG (Burst)</t>
  </si>
  <si>
    <t>High Plunge DMG (Burst)</t>
  </si>
  <si>
    <t>raiden</t>
  </si>
  <si>
    <t>OTHER</t>
  </si>
  <si>
    <t>Energy Recharge Bonus</t>
  </si>
  <si>
    <t xml:space="preserve">C4 </t>
  </si>
  <si>
    <t>Soul Companion DMG</t>
  </si>
  <si>
    <t>Normal ATK SPD Bonus</t>
  </si>
  <si>
    <t>Electro RES Bonus</t>
  </si>
  <si>
    <t>razor</t>
  </si>
  <si>
    <t>Skill DMG (1/2) (Skill)</t>
  </si>
  <si>
    <t>Skill DMG (2/2) (Skill)</t>
  </si>
  <si>
    <t>Skill DMG (1/2) (Burst)</t>
  </si>
  <si>
    <t>Skill DMG (2/2) (Burst)</t>
  </si>
  <si>
    <t>Ice Lance DoT</t>
  </si>
  <si>
    <t>Tengu Juurai: Ambush DMG</t>
  </si>
  <si>
    <t>Tengu Juurai: Titanbreaker DMG</t>
  </si>
  <si>
    <t>Tengu Juurai: Stormcluster DMG</t>
  </si>
  <si>
    <t>A1 flat</t>
  </si>
  <si>
    <t>A1 scaling</t>
  </si>
  <si>
    <t>Fuufuu Windwheel DMG</t>
  </si>
  <si>
    <t>PressFuufuu Whirlwind Kick DMG</t>
  </si>
  <si>
    <t>Fuufuu Whirlwind Kick Hold DMG</t>
  </si>
  <si>
    <t>Fuufuu Windwheel Elemental DMG</t>
  </si>
  <si>
    <t>Fuufuu Whirlwind Kick Elemental DMG</t>
  </si>
  <si>
    <t>Skill Activation DMG</t>
  </si>
  <si>
    <t>Skill Activation Healing</t>
  </si>
  <si>
    <t>Skill Activation Healing (flat)</t>
  </si>
  <si>
    <t>Muji-Muji Daruma DMG</t>
  </si>
  <si>
    <t>Muji-Muji Daruma Healing</t>
  </si>
  <si>
    <t>Muji-Muji Daruma Healing (flat)</t>
  </si>
  <si>
    <t>C6 (damage)</t>
  </si>
  <si>
    <t>C6 (healing)</t>
  </si>
  <si>
    <t>shenhe</t>
  </si>
  <si>
    <t>Grass Ring of Sanctification Healing</t>
  </si>
  <si>
    <t>Grass Ring of Sanctification Healing (flat)</t>
  </si>
  <si>
    <t>Grass Ring of Sanctification DMG</t>
  </si>
  <si>
    <t>A4 Healing</t>
  </si>
  <si>
    <t>A4 DMG</t>
  </si>
  <si>
    <t>Single Instance DMG</t>
  </si>
  <si>
    <t>Total DMG</t>
  </si>
  <si>
    <t>Riptide Flash DMG</t>
  </si>
  <si>
    <t>Riptide Burst DMG</t>
  </si>
  <si>
    <t>Stance Change DMG</t>
  </si>
  <si>
    <t>4-Hit DMG (Skill)</t>
  </si>
  <si>
    <t>5-Hit DMG (Skill)</t>
  </si>
  <si>
    <t>6-Hit DMG (1/2) (Skill)</t>
  </si>
  <si>
    <t>6-Hit DMG (2/2) (Skill)</t>
  </si>
  <si>
    <t>Charged Attack DMG (1/2) (Skill)</t>
  </si>
  <si>
    <t>Charged Attack DMG (2/2) (Skill)</t>
  </si>
  <si>
    <t>Riptide Slash</t>
  </si>
  <si>
    <t>Skill DMG: Melee</t>
  </si>
  <si>
    <t>Skill DMG: Ranged</t>
  </si>
  <si>
    <t>Riptide Blast DMG</t>
  </si>
  <si>
    <t>Shield DMG Absorption (Skill)</t>
  </si>
  <si>
    <t>Shield DMG Absorption (flat) (Skill)</t>
  </si>
  <si>
    <t>Max Shield DMG Absorption</t>
  </si>
  <si>
    <t>Max Shield DMG Absorption (flat)</t>
  </si>
  <si>
    <t>Fiery Collapse DMG</t>
  </si>
  <si>
    <t>Shield DMG Absorption (Burst)</t>
  </si>
  <si>
    <t>Shield DMG Absorption (flat) (Burst)</t>
  </si>
  <si>
    <t>1-Hit DMG (*2)</t>
  </si>
  <si>
    <t>Normal/Charged/Plunging Attack DMG Bonus</t>
  </si>
  <si>
    <t>5-Hit DMG (*2)</t>
  </si>
  <si>
    <t>Skill DMG (1/2)</t>
  </si>
  <si>
    <t>Skill DMG (2/2)</t>
  </si>
  <si>
    <t>Damage Reduction</t>
  </si>
  <si>
    <t>Sword Rain DMG</t>
  </si>
  <si>
    <t>xq</t>
  </si>
  <si>
    <t>Swing DMG</t>
  </si>
  <si>
    <t>Shield Level 1 DMG Absorption</t>
  </si>
  <si>
    <t>Shield Level 1 DMG Absorption (flat)</t>
  </si>
  <si>
    <t>Shield Level 2 DMG Absorption</t>
  </si>
  <si>
    <t>Shield Level 2 DMG Absorption (flat)</t>
  </si>
  <si>
    <t>Shield Level 3 DMG Absorption</t>
  </si>
  <si>
    <t>Shield Level 3 DMG Absorption (flat)</t>
  </si>
  <si>
    <t>DoT (Skill)</t>
  </si>
  <si>
    <t>DoT (Burst)</t>
  </si>
  <si>
    <t>Sesshou Sakura DMG: Level 1</t>
  </si>
  <si>
    <t>Sesshou Sakura DMG: Level 2</t>
  </si>
  <si>
    <t>Sesshou Sakura DMG: Level 3</t>
  </si>
  <si>
    <t>Sesshou Sakura DMG: Level 4</t>
  </si>
  <si>
    <t>Tenko Thunderbolt DMG</t>
  </si>
  <si>
    <t>Charged Attack DMG (0 sigil)</t>
  </si>
  <si>
    <t>Charged Attack DMG (1 sigil)</t>
  </si>
  <si>
    <t>Charged Attack DMG (2 sigil)</t>
  </si>
  <si>
    <t>Charged Attack DMG (3 sigil)</t>
  </si>
  <si>
    <t>Charged Attack DMG (4 sigil)</t>
  </si>
  <si>
    <t>Breakthrough Barb DMG</t>
  </si>
  <si>
    <t>Exquisite Throw DMG</t>
  </si>
  <si>
    <t>A1 (*1/2/3/5)</t>
  </si>
  <si>
    <t>A4 flat</t>
  </si>
  <si>
    <t>A4 scaling</t>
  </si>
  <si>
    <t>Kindling Arrow DMG</t>
  </si>
  <si>
    <t>Blazing Arrow DMG</t>
  </si>
  <si>
    <t>Aurous Blaze Explosion DMG</t>
  </si>
  <si>
    <t>yoi</t>
  </si>
  <si>
    <t>Level 1 DMG</t>
  </si>
  <si>
    <t>Level 2 DMG</t>
  </si>
  <si>
    <t>DMG Increase</t>
  </si>
  <si>
    <t>A4 (1/2/3/4)</t>
  </si>
  <si>
    <t>A4 Four Element Additional</t>
  </si>
  <si>
    <t>5-Hit DMG (*4)</t>
  </si>
  <si>
    <t>A4 (NA)</t>
  </si>
  <si>
    <t>A4 (CA)</t>
  </si>
  <si>
    <t>A4 (PA)</t>
  </si>
  <si>
    <t>Stone Stele</t>
  </si>
  <si>
    <t>Resonance</t>
  </si>
  <si>
    <t>Shield Base Absorption</t>
  </si>
  <si>
    <t>Additional Shield Absorption</t>
  </si>
  <si>
    <t>Res shred</t>
  </si>
  <si>
    <t>zhongli</t>
  </si>
  <si>
    <t>MVs scaling from TLs</t>
  </si>
  <si>
    <t>TL</t>
  </si>
  <si>
    <t>emc</t>
  </si>
  <si>
    <t>20218181631987280104</t>
  </si>
  <si>
    <t>qFuF3kbvEA0auvuv</t>
  </si>
  <si>
    <t>DhQF</t>
  </si>
  <si>
    <t>NhQy</t>
  </si>
  <si>
    <t>eWhySQV/f1NPcERIdEkcUmd2ckkEY39OUnFYVGhUAEx5cXdVBn9jU09x</t>
  </si>
  <si>
    <t>end2Sg==</t>
  </si>
  <si>
    <t>QndBdQBYUQ==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</si>
</sst>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000000"/>
  </numFmts>
  <fonts count="9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color theme="1"/>
      <name val="Arial"/>
      <scheme val="minor"/>
    </font>
    <font>
      <u/>
      <color theme="1"/>
    </font>
    <font>
      <u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05B85"/>
        <bgColor rgb="FFB05B85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EEF9EB"/>
        <bgColor rgb="FFEEF9EB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6" fillId="2" fontId="4" numFmtId="0" xfId="0" applyAlignment="1" applyBorder="1" applyFill="1" applyFont="1">
      <alignment readingOrder="0"/>
    </xf>
    <xf borderId="7" fillId="3" fontId="4" numFmtId="0" xfId="0" applyAlignment="1" applyBorder="1" applyFill="1" applyFont="1">
      <alignment readingOrder="0"/>
    </xf>
    <xf borderId="7" fillId="4" fontId="4" numFmtId="0" xfId="0" applyAlignment="1" applyBorder="1" applyFill="1" applyFont="1">
      <alignment readingOrder="0"/>
    </xf>
    <xf borderId="8" fillId="5" fontId="4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horizontal="right"/>
    </xf>
    <xf borderId="0" fillId="0" fontId="4" numFmtId="1" xfId="0" applyFont="1" applyNumberFormat="1"/>
    <xf borderId="4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2" fillId="5" fontId="4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11" fillId="6" fontId="4" numFmtId="0" xfId="0" applyAlignment="1" applyBorder="1" applyFill="1" applyFont="1">
      <alignment readingOrder="0"/>
    </xf>
    <xf borderId="0" fillId="6" fontId="4" numFmtId="1" xfId="0" applyAlignment="1" applyFont="1" applyNumberFormat="1">
      <alignment readingOrder="0"/>
    </xf>
    <xf borderId="12" fillId="6" fontId="4" numFmtId="164" xfId="0" applyAlignment="1" applyBorder="1" applyFont="1" applyNumberFormat="1">
      <alignment readingOrder="0"/>
    </xf>
    <xf borderId="11" fillId="7" fontId="4" numFmtId="0" xfId="0" applyAlignment="1" applyBorder="1" applyFill="1" applyFont="1">
      <alignment readingOrder="0"/>
    </xf>
    <xf borderId="0" fillId="7" fontId="4" numFmtId="1" xfId="0" applyAlignment="1" applyFont="1" applyNumberFormat="1">
      <alignment readingOrder="0"/>
    </xf>
    <xf borderId="12" fillId="7" fontId="4" numFmtId="164" xfId="0" applyAlignment="1" applyBorder="1" applyFont="1" applyNumberFormat="1">
      <alignment readingOrder="0"/>
    </xf>
    <xf borderId="11" fillId="8" fontId="4" numFmtId="0" xfId="0" applyAlignment="1" applyBorder="1" applyFill="1" applyFont="1">
      <alignment readingOrder="0"/>
    </xf>
    <xf borderId="0" fillId="8" fontId="4" numFmtId="1" xfId="0" applyAlignment="1" applyFont="1" applyNumberFormat="1">
      <alignment readingOrder="0"/>
    </xf>
    <xf borderId="12" fillId="8" fontId="4" numFmtId="164" xfId="0" applyAlignment="1" applyBorder="1" applyFont="1" applyNumberFormat="1">
      <alignment readingOrder="0"/>
    </xf>
    <xf borderId="11" fillId="9" fontId="4" numFmtId="0" xfId="0" applyAlignment="1" applyBorder="1" applyFill="1" applyFont="1">
      <alignment readingOrder="0"/>
    </xf>
    <xf borderId="0" fillId="9" fontId="4" numFmtId="1" xfId="0" applyAlignment="1" applyFont="1" applyNumberFormat="1">
      <alignment readingOrder="0"/>
    </xf>
    <xf borderId="12" fillId="9" fontId="4" numFmtId="164" xfId="0" applyAlignment="1" applyBorder="1" applyFont="1" applyNumberFormat="1">
      <alignment readingOrder="0"/>
    </xf>
    <xf borderId="0" fillId="0" fontId="4" numFmtId="1" xfId="0" applyAlignment="1" applyFont="1" applyNumberFormat="1">
      <alignment readingOrder="0"/>
    </xf>
    <xf borderId="13" fillId="0" fontId="4" numFmtId="1" xfId="0" applyAlignment="1" applyBorder="1" applyFont="1" applyNumberFormat="1">
      <alignment readingOrder="0"/>
    </xf>
    <xf borderId="13" fillId="0" fontId="7" numFmtId="1" xfId="0" applyAlignment="1" applyBorder="1" applyFont="1" applyNumberFormat="1">
      <alignment readingOrder="0"/>
    </xf>
    <xf borderId="14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12" fillId="0" fontId="2" numFmtId="0" xfId="0" applyBorder="1" applyFont="1"/>
    <xf borderId="9" fillId="9" fontId="4" numFmtId="0" xfId="0" applyAlignment="1" applyBorder="1" applyFont="1">
      <alignment readingOrder="0"/>
    </xf>
    <xf borderId="13" fillId="0" fontId="2" numFmtId="0" xfId="0" applyBorder="1" applyFont="1"/>
    <xf borderId="10" fillId="0" fontId="2" numFmtId="0" xfId="0" applyBorder="1" applyFont="1"/>
    <xf borderId="13" fillId="0" fontId="4" numFmtId="0" xfId="0" applyBorder="1" applyFont="1"/>
    <xf borderId="13" fillId="0" fontId="1" numFmtId="0" xfId="0" applyAlignment="1" applyBorder="1" applyFont="1">
      <alignment readingOrder="0"/>
    </xf>
    <xf borderId="13" fillId="0" fontId="1" numFmtId="10" xfId="0" applyAlignment="1" applyBorder="1" applyFont="1" applyNumberFormat="1">
      <alignment horizontal="right"/>
    </xf>
    <xf borderId="11" fillId="5" fontId="4" numFmtId="0" xfId="0" applyAlignment="1" applyBorder="1" applyFont="1">
      <alignment readingOrder="0"/>
    </xf>
    <xf borderId="11" fillId="0" fontId="2" numFmtId="0" xfId="0" applyBorder="1" applyFont="1"/>
    <xf borderId="9" fillId="0" fontId="2" numFmtId="0" xfId="0" applyBorder="1" applyFont="1"/>
    <xf borderId="0" fillId="4" fontId="4" numFmtId="3" xfId="0" applyAlignment="1" applyFont="1" applyNumberFormat="1">
      <alignment readingOrder="0"/>
    </xf>
    <xf borderId="12" fillId="4" fontId="4" numFmtId="3" xfId="0" applyAlignment="1" applyBorder="1" applyFont="1" applyNumberFormat="1">
      <alignment readingOrder="0"/>
    </xf>
    <xf borderId="0" fillId="10" fontId="4" numFmtId="10" xfId="0" applyFill="1" applyFont="1" applyNumberFormat="1"/>
    <xf borderId="0" fillId="10" fontId="4" numFmtId="4" xfId="0" applyFont="1" applyNumberFormat="1"/>
    <xf borderId="13" fillId="4" fontId="4" numFmtId="3" xfId="0" applyAlignment="1" applyBorder="1" applyFont="1" applyNumberFormat="1">
      <alignment readingOrder="0"/>
    </xf>
    <xf borderId="10" fillId="4" fontId="4" numFmtId="3" xfId="0" applyAlignment="1" applyBorder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3" fontId="4" numFmtId="3" xfId="0" applyAlignment="1" applyFont="1" applyNumberFormat="1">
      <alignment readingOrder="0"/>
    </xf>
    <xf borderId="12" fillId="3" fontId="4" numFmtId="3" xfId="0" applyAlignment="1" applyBorder="1" applyFont="1" applyNumberFormat="1">
      <alignment readingOrder="0"/>
    </xf>
    <xf borderId="13" fillId="3" fontId="4" numFmtId="3" xfId="0" applyAlignment="1" applyBorder="1" applyFont="1" applyNumberFormat="1">
      <alignment readingOrder="0"/>
    </xf>
    <xf borderId="10" fillId="3" fontId="4" numFmtId="3" xfId="0" applyAlignment="1" applyBorder="1" applyFont="1" applyNumberFormat="1">
      <alignment readingOrder="0"/>
    </xf>
    <xf borderId="10" fillId="0" fontId="4" numFmtId="0" xfId="0" applyBorder="1" applyFont="1"/>
    <xf borderId="14" fillId="0" fontId="4" numFmtId="0" xfId="0" applyAlignment="1" applyBorder="1" applyFont="1">
      <alignment horizontal="center" readingOrder="0"/>
    </xf>
    <xf borderId="12" fillId="2" fontId="4" numFmtId="9" xfId="0" applyAlignment="1" applyBorder="1" applyFont="1" applyNumberFormat="1">
      <alignment readingOrder="0"/>
    </xf>
    <xf borderId="15" fillId="2" fontId="4" numFmtId="9" xfId="0" applyAlignment="1" applyBorder="1" applyFont="1" applyNumberFormat="1">
      <alignment readingOrder="0"/>
    </xf>
    <xf borderId="10" fillId="2" fontId="4" numFmtId="9" xfId="0" applyAlignment="1" applyBorder="1" applyFont="1" applyNumberFormat="1">
      <alignment readingOrder="0"/>
    </xf>
    <xf borderId="5" fillId="2" fontId="4" numFmtId="9" xfId="0" applyAlignment="1" applyBorder="1" applyFont="1" applyNumberFormat="1">
      <alignment readingOrder="0"/>
    </xf>
    <xf borderId="3" fillId="2" fontId="4" numFmtId="3" xfId="0" applyAlignment="1" applyBorder="1" applyFont="1" applyNumberFormat="1">
      <alignment readingOrder="0"/>
    </xf>
    <xf borderId="11" fillId="0" fontId="4" numFmtId="0" xfId="0" applyAlignment="1" applyBorder="1" applyFont="1">
      <alignment readingOrder="0"/>
    </xf>
    <xf borderId="12" fillId="2" fontId="4" numFmtId="164" xfId="0" applyAlignment="1" applyBorder="1" applyFont="1" applyNumberFormat="1">
      <alignment readingOrder="0"/>
    </xf>
    <xf borderId="10" fillId="2" fontId="4" numFmtId="164" xfId="0" applyAlignment="1" applyBorder="1" applyFont="1" applyNumberFormat="1">
      <alignment readingOrder="0"/>
    </xf>
    <xf borderId="12" fillId="3" fontId="4" numFmtId="9" xfId="0" applyAlignment="1" applyBorder="1" applyFont="1" applyNumberFormat="1">
      <alignment readingOrder="0"/>
    </xf>
    <xf borderId="12" fillId="3" fontId="4" numFmtId="4" xfId="0" applyAlignment="1" applyBorder="1" applyFont="1" applyNumberFormat="1">
      <alignment readingOrder="0"/>
    </xf>
    <xf borderId="12" fillId="3" fontId="4" numFmtId="10" xfId="0" applyAlignment="1" applyBorder="1" applyFont="1" applyNumberFormat="1">
      <alignment readingOrder="0"/>
    </xf>
    <xf borderId="12" fillId="0" fontId="4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9" fillId="0" fontId="4" numFmtId="0" xfId="0" applyBorder="1" applyFont="1"/>
    <xf borderId="2" fillId="0" fontId="4" numFmtId="0" xfId="0" applyBorder="1" applyFont="1"/>
    <xf borderId="3" fillId="3" fontId="4" numFmtId="164" xfId="0" applyAlignment="1" applyBorder="1" applyFont="1" applyNumberFormat="1">
      <alignment readingOrder="0"/>
    </xf>
    <xf borderId="2" fillId="0" fontId="4" numFmtId="1" xfId="0" applyBorder="1" applyFont="1" applyNumberFormat="1"/>
    <xf borderId="3" fillId="4" fontId="4" numFmtId="164" xfId="0" applyBorder="1" applyFont="1" applyNumberFormat="1"/>
    <xf borderId="11" fillId="0" fontId="1" numFmtId="0" xfId="0" applyAlignment="1" applyBorder="1" applyFont="1">
      <alignment readingOrder="0"/>
    </xf>
    <xf borderId="12" fillId="4" fontId="4" numFmtId="0" xfId="0" applyAlignment="1" applyBorder="1" applyFont="1">
      <alignment readingOrder="0"/>
    </xf>
    <xf borderId="12" fillId="2" fontId="4" numFmtId="0" xfId="0" applyAlignment="1" applyBorder="1" applyFont="1">
      <alignment readingOrder="0"/>
    </xf>
    <xf borderId="0" fillId="3" fontId="4" numFmtId="164" xfId="0" applyAlignment="1" applyFont="1" applyNumberFormat="1">
      <alignment readingOrder="0"/>
    </xf>
    <xf borderId="12" fillId="3" fontId="4" numFmtId="164" xfId="0" applyAlignment="1" applyBorder="1" applyFont="1" applyNumberFormat="1">
      <alignment readingOrder="0"/>
    </xf>
    <xf borderId="0" fillId="4" fontId="4" numFmtId="1" xfId="0" applyFont="1" applyNumberFormat="1"/>
    <xf borderId="12" fillId="4" fontId="4" numFmtId="164" xfId="0" applyBorder="1" applyFont="1" applyNumberFormat="1"/>
    <xf borderId="12" fillId="4" fontId="4" numFmtId="0" xfId="0" applyBorder="1" applyFont="1"/>
    <xf borderId="0" fillId="3" fontId="4" numFmtId="1" xfId="0" applyAlignment="1" applyFont="1" applyNumberFormat="1">
      <alignment readingOrder="0"/>
    </xf>
    <xf borderId="0" fillId="4" fontId="4" numFmtId="164" xfId="0" applyFont="1" applyNumberFormat="1"/>
    <xf borderId="12" fillId="4" fontId="1" numFmtId="9" xfId="0" applyAlignment="1" applyBorder="1" applyFont="1" applyNumberFormat="1">
      <alignment readingOrder="0"/>
    </xf>
    <xf borderId="12" fillId="4" fontId="1" numFmtId="0" xfId="0" applyAlignment="1" applyBorder="1" applyFont="1">
      <alignment readingOrder="0"/>
    </xf>
    <xf borderId="12" fillId="4" fontId="1" numFmtId="2" xfId="0" applyAlignment="1" applyBorder="1" applyFont="1" applyNumberFormat="1">
      <alignment readingOrder="0"/>
    </xf>
    <xf borderId="12" fillId="3" fontId="4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2" fillId="4" fontId="1" numFmtId="4" xfId="0" applyBorder="1" applyFont="1" applyNumberFormat="1"/>
    <xf borderId="0" fillId="0" fontId="4" numFmtId="3" xfId="0" applyAlignment="1" applyFont="1" applyNumberFormat="1">
      <alignment readingOrder="0"/>
    </xf>
    <xf borderId="12" fillId="3" fontId="1" numFmtId="0" xfId="0" applyAlignment="1" applyBorder="1" applyFont="1">
      <alignment readingOrder="0"/>
    </xf>
    <xf borderId="0" fillId="0" fontId="4" numFmtId="164" xfId="0" applyAlignment="1" applyFont="1" applyNumberFormat="1">
      <alignment readingOrder="0"/>
    </xf>
    <xf borderId="12" fillId="4" fontId="1" numFmtId="10" xfId="0" applyBorder="1" applyFont="1" applyNumberFormat="1"/>
    <xf borderId="12" fillId="2" fontId="1" numFmtId="0" xfId="0" applyAlignment="1" applyBorder="1" applyFont="1">
      <alignment readingOrder="0"/>
    </xf>
    <xf borderId="3" fillId="0" fontId="4" numFmtId="0" xfId="0" applyBorder="1" applyFont="1"/>
    <xf borderId="12" fillId="3" fontId="1" numFmtId="3" xfId="0" applyAlignment="1" applyBorder="1" applyFont="1" applyNumberFormat="1">
      <alignment readingOrder="0"/>
    </xf>
    <xf borderId="0" fillId="0" fontId="4" numFmtId="10" xfId="0" applyFont="1" applyNumberFormat="1"/>
    <xf borderId="12" fillId="0" fontId="4" numFmtId="0" xfId="0" applyBorder="1" applyFont="1"/>
    <xf borderId="10" fillId="3" fontId="4" numFmtId="164" xfId="0" applyAlignment="1" applyBorder="1" applyFont="1" applyNumberFormat="1">
      <alignment readingOrder="0"/>
    </xf>
    <xf borderId="1" fillId="0" fontId="4" numFmtId="0" xfId="0" applyBorder="1" applyFont="1"/>
    <xf borderId="12" fillId="3" fontId="1" numFmtId="10" xfId="0" applyBorder="1" applyFont="1" applyNumberFormat="1"/>
    <xf borderId="10" fillId="2" fontId="1" numFmtId="0" xfId="0" applyAlignment="1" applyBorder="1" applyFont="1">
      <alignment readingOrder="0"/>
    </xf>
    <xf borderId="0" fillId="4" fontId="4" numFmtId="10" xfId="0" applyFont="1" applyNumberFormat="1"/>
    <xf borderId="11" fillId="0" fontId="4" numFmtId="0" xfId="0" applyBorder="1" applyFont="1"/>
    <xf borderId="12" fillId="4" fontId="4" numFmtId="10" xfId="0" applyBorder="1" applyFont="1" applyNumberFormat="1"/>
    <xf borderId="10" fillId="4" fontId="1" numFmtId="10" xfId="0" applyBorder="1" applyFont="1" applyNumberFormat="1"/>
    <xf borderId="10" fillId="4" fontId="4" numFmtId="164" xfId="0" applyBorder="1" applyFont="1" applyNumberFormat="1"/>
    <xf borderId="1" fillId="0" fontId="0" numFmtId="0" xfId="0" applyAlignment="1" applyBorder="1" applyFont="1">
      <alignment readingOrder="0" vertical="bottom"/>
    </xf>
    <xf borderId="0" fillId="0" fontId="0" numFmtId="0" xfId="0" applyAlignment="1" applyFont="1">
      <alignment readingOrder="0" vertical="bottom"/>
    </xf>
    <xf borderId="2" fillId="4" fontId="1" numFmtId="0" xfId="0" applyBorder="1" applyFont="1"/>
    <xf borderId="2" fillId="4" fontId="4" numFmtId="0" xfId="0" applyBorder="1" applyFont="1"/>
    <xf borderId="3" fillId="4" fontId="4" numFmtId="0" xfId="0" applyBorder="1" applyFont="1"/>
    <xf borderId="13" fillId="4" fontId="1" numFmtId="10" xfId="0" applyBorder="1" applyFont="1" applyNumberFormat="1"/>
    <xf quotePrefix="1" borderId="2" fillId="0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3" fontId="4" numFmtId="10" xfId="0" applyAlignment="1" applyFont="1" applyNumberFormat="1">
      <alignment readingOrder="0"/>
    </xf>
    <xf borderId="0" fillId="4" fontId="4" numFmtId="10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4" fontId="4" numFmtId="1" xfId="0" applyAlignment="1" applyFont="1" applyNumberFormat="1">
      <alignment readingOrder="0"/>
    </xf>
    <xf borderId="12" fillId="4" fontId="4" numFmtId="1" xfId="0" applyBorder="1" applyFont="1" applyNumberFormat="1"/>
    <xf borderId="0" fillId="3" fontId="4" numFmtId="4" xfId="0" applyAlignment="1" applyFont="1" applyNumberFormat="1">
      <alignment readingOrder="0"/>
    </xf>
    <xf borderId="2" fillId="0" fontId="4" numFmtId="10" xfId="0" applyAlignment="1" applyBorder="1" applyFont="1" applyNumberFormat="1">
      <alignment readingOrder="0"/>
    </xf>
    <xf borderId="2" fillId="2" fontId="4" numFmtId="10" xfId="0" applyAlignment="1" applyBorder="1" applyFont="1" applyNumberFormat="1">
      <alignment readingOrder="0"/>
    </xf>
    <xf borderId="2" fillId="2" fontId="4" numFmtId="0" xfId="0" applyAlignment="1" applyBorder="1" applyFont="1">
      <alignment readingOrder="0"/>
    </xf>
    <xf borderId="2" fillId="0" fontId="4" numFmtId="164" xfId="0" applyAlignment="1" applyBorder="1" applyFont="1" applyNumberFormat="1">
      <alignment readingOrder="0"/>
    </xf>
    <xf borderId="2" fillId="3" fontId="4" numFmtId="0" xfId="0" applyAlignment="1" applyBorder="1" applyFont="1">
      <alignment readingOrder="0"/>
    </xf>
    <xf borderId="2" fillId="3" fontId="4" numFmtId="164" xfId="0" applyAlignment="1" applyBorder="1" applyFont="1" applyNumberFormat="1">
      <alignment readingOrder="0"/>
    </xf>
    <xf borderId="2" fillId="4" fontId="4" numFmtId="1" xfId="0" applyBorder="1" applyFont="1" applyNumberFormat="1"/>
    <xf borderId="2" fillId="2" fontId="4" numFmtId="164" xfId="0" applyAlignment="1" applyBorder="1" applyFont="1" applyNumberFormat="1">
      <alignment readingOrder="0"/>
    </xf>
    <xf borderId="2" fillId="4" fontId="4" numFmtId="1" xfId="0" applyAlignment="1" applyBorder="1" applyFont="1" applyNumberFormat="1">
      <alignment readingOrder="0"/>
    </xf>
    <xf borderId="3" fillId="4" fontId="4" numFmtId="1" xfId="0" applyBorder="1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0" xfId="0" applyFont="1"/>
    <xf quotePrefix="1" borderId="0" fillId="0" fontId="4" numFmtId="0" xfId="0" applyAlignment="1" applyFont="1">
      <alignment readingOrder="0"/>
    </xf>
    <xf borderId="9" fillId="5" fontId="4" numFmtId="0" xfId="0" applyAlignment="1" applyBorder="1" applyFont="1">
      <alignment readingOrder="0"/>
    </xf>
    <xf borderId="13" fillId="2" fontId="4" numFmtId="0" xfId="0" applyAlignment="1" applyBorder="1" applyFont="1">
      <alignment readingOrder="0"/>
    </xf>
    <xf borderId="13" fillId="3" fontId="4" numFmtId="10" xfId="0" applyAlignment="1" applyBorder="1" applyFont="1" applyNumberFormat="1">
      <alignment readingOrder="0"/>
    </xf>
    <xf borderId="13" fillId="4" fontId="4" numFmtId="10" xfId="0" applyAlignment="1" applyBorder="1" applyFont="1" applyNumberFormat="1">
      <alignment readingOrder="0"/>
    </xf>
    <xf borderId="13" fillId="4" fontId="4" numFmtId="0" xfId="0" applyAlignment="1" applyBorder="1" applyFont="1">
      <alignment readingOrder="0"/>
    </xf>
    <xf borderId="13" fillId="3" fontId="4" numFmtId="164" xfId="0" applyAlignment="1" applyBorder="1" applyFont="1" applyNumberFormat="1">
      <alignment readingOrder="0"/>
    </xf>
    <xf borderId="13" fillId="3" fontId="4" numFmtId="0" xfId="0" applyAlignment="1" applyBorder="1" applyFont="1">
      <alignment readingOrder="0"/>
    </xf>
    <xf borderId="13" fillId="4" fontId="4" numFmtId="1" xfId="0" applyAlignment="1" applyBorder="1" applyFont="1" applyNumberFormat="1">
      <alignment readingOrder="0"/>
    </xf>
    <xf borderId="10" fillId="4" fontId="4" numFmtId="1" xfId="0" applyBorder="1" applyFont="1" applyNumberFormat="1"/>
    <xf borderId="1" fillId="7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2" fillId="3" fontId="4" numFmtId="10" xfId="0" applyAlignment="1" applyBorder="1" applyFont="1" applyNumberFormat="1">
      <alignment readingOrder="0"/>
    </xf>
    <xf borderId="2" fillId="4" fontId="4" numFmtId="10" xfId="0" applyAlignment="1" applyBorder="1" applyFont="1" applyNumberFormat="1">
      <alignment readingOrder="0"/>
    </xf>
    <xf borderId="2" fillId="4" fontId="4" numFmtId="0" xfId="0" applyAlignment="1" applyBorder="1" applyFont="1">
      <alignment readingOrder="0"/>
    </xf>
    <xf borderId="11" fillId="5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12" fillId="4" fontId="1" numFmtId="1" xfId="0" applyAlignment="1" applyBorder="1" applyFont="1" applyNumberFormat="1">
      <alignment horizontal="right" vertical="bottom"/>
    </xf>
    <xf borderId="1" fillId="8" fontId="1" numFmtId="0" xfId="0" applyAlignment="1" applyBorder="1" applyFont="1">
      <alignment readingOrder="0"/>
    </xf>
    <xf borderId="1" fillId="9" fontId="1" numFmtId="0" xfId="0" applyAlignment="1" applyBorder="1" applyFont="1">
      <alignment readingOrder="0"/>
    </xf>
    <xf borderId="0" fillId="0" fontId="1" numFmtId="0" xfId="0" applyFont="1"/>
    <xf borderId="0" fillId="0" fontId="0" numFmtId="0" xfId="0" applyAlignment="1" applyFont="1">
      <alignment horizontal="right"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0" numFmtId="1" xfId="0" applyAlignment="1" applyFont="1" applyNumberFormat="1">
      <alignment horizontal="right" vertical="bottom"/>
    </xf>
    <xf borderId="0" fillId="0" fontId="4" numFmtId="9" xfId="0" applyFont="1" applyNumberFormat="1"/>
    <xf borderId="0" fillId="0" fontId="8" numFmtId="0" xfId="0" applyAlignment="1" applyFont="1">
      <alignment readingOrder="0"/>
    </xf>
    <xf borderId="0" fillId="0" fontId="8" numFmtId="0" xfId="0" applyFont="1"/>
    <xf borderId="0" fillId="0" fontId="0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center" readingOrder="0"/>
    </xf>
    <xf borderId="0" fillId="0" fontId="8" numFmtId="9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0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8" numFmtId="10" xfId="0" applyAlignment="1" applyFont="1" applyNumberFormat="1">
      <alignment horizontal="right" readingOrder="0" shrinkToFit="0" vertical="bottom" wrapText="0"/>
    </xf>
    <xf borderId="0" fillId="0" fontId="8" numFmtId="9" xfId="0" applyAlignment="1" applyFont="1" applyNumberFormat="1">
      <alignment readingOrder="0" shrinkToFit="0" vertical="bottom" wrapText="0"/>
    </xf>
    <xf borderId="0" fillId="0" fontId="8" numFmtId="10" xfId="0" applyAlignment="1" applyFont="1" applyNumberForma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 vertical="bottom"/>
    </xf>
    <xf borderId="0" fillId="0" fontId="1" numFmtId="9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8" numFmtId="9" xfId="0" applyAlignment="1" applyFont="1" applyNumberFormat="1">
      <alignment horizontal="right" readingOrder="0" shrinkToFit="0" vertical="bottom" wrapText="0"/>
    </xf>
    <xf borderId="0" fillId="0" fontId="8" numFmtId="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0" xfId="0" applyAlignment="1" applyFont="1" applyNumberForma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0" numFmtId="165" xfId="0" applyAlignment="1" applyFont="1" applyNumberFormat="1">
      <alignment horizontal="right" readingOrder="0" shrinkToFit="0" vertical="bottom" wrapText="0"/>
    </xf>
    <xf borderId="0" fillId="0" fontId="4" numFmtId="3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Template!$D$11</c:f>
            </c:strRef>
          </c:tx>
          <c:dPt>
            <c:idx val="0"/>
            <c:spPr>
              <a:solidFill>
                <a:srgbClr val="B05B85"/>
              </a:solidFill>
            </c:spPr>
          </c:dPt>
          <c:dPt>
            <c:idx val="1"/>
            <c:spPr>
              <a:solidFill>
                <a:srgbClr val="C27BA0"/>
              </a:solidFill>
            </c:spPr>
          </c:dPt>
          <c:dPt>
            <c:idx val="2"/>
            <c:spPr>
              <a:solidFill>
                <a:srgbClr val="D5A6BD"/>
              </a:solidFill>
            </c:spPr>
          </c:dPt>
          <c:dPt>
            <c:idx val="3"/>
            <c:spPr>
              <a:solidFill>
                <a:srgbClr val="EAD1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Template!$A$12:$A$15</c:f>
            </c:strRef>
          </c:cat>
          <c:val>
            <c:numRef>
              <c:f>Template!$D$12:$D$15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6</xdr:row>
      <xdr:rowOff>180975</xdr:rowOff>
    </xdr:from>
    <xdr:ext cx="4791075" cy="2971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-MXK5w-L1OV-XGickbYrVp6CN6EOTmogCAjMyuvN6k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75"/>
    <col customWidth="1" min="15" max="24" width="6.63"/>
  </cols>
  <sheetData>
    <row r="1">
      <c r="A1" s="1" t="s">
        <v>0</v>
      </c>
      <c r="B1" s="2"/>
      <c r="C1" s="2"/>
      <c r="D1" s="2"/>
      <c r="E1" s="2"/>
      <c r="F1" s="2"/>
      <c r="G1" s="3"/>
      <c r="X1" s="4" t="s">
        <v>1</v>
      </c>
      <c r="Y1" s="4" t="s">
        <v>2</v>
      </c>
      <c r="Z1" s="4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4" t="s">
        <v>9</v>
      </c>
      <c r="AG1" s="4" t="s">
        <v>10</v>
      </c>
      <c r="AK1" s="5" t="s">
        <v>11</v>
      </c>
    </row>
    <row r="2">
      <c r="A2" s="6" t="s">
        <v>12</v>
      </c>
      <c r="B2" s="7"/>
      <c r="C2" s="7"/>
      <c r="D2" s="7"/>
      <c r="E2" s="7"/>
      <c r="F2" s="7"/>
      <c r="G2" s="7"/>
      <c r="X2" s="8">
        <v>0.0496</v>
      </c>
      <c r="Y2" s="8">
        <f>0.0331</f>
        <v>0.0331</v>
      </c>
      <c r="Z2" s="8">
        <v>0.0662</v>
      </c>
      <c r="AA2" s="8">
        <v>19.82</v>
      </c>
      <c r="AB2" s="8">
        <v>0.0551</v>
      </c>
      <c r="AC2" s="8">
        <v>0.0496</v>
      </c>
      <c r="AD2" s="8">
        <v>0.062</v>
      </c>
      <c r="AE2" s="8">
        <v>16.54</v>
      </c>
      <c r="AF2" s="8">
        <v>19.68</v>
      </c>
      <c r="AG2" s="9">
        <v>253.94</v>
      </c>
      <c r="AK2" s="5" t="s">
        <v>13</v>
      </c>
      <c r="AT2" s="5">
        <v>1.0</v>
      </c>
    </row>
    <row r="3">
      <c r="F3" s="5"/>
      <c r="AK3" s="5" t="s">
        <v>14</v>
      </c>
      <c r="AR3" s="5">
        <v>2.0</v>
      </c>
    </row>
    <row r="4">
      <c r="A4" s="10" t="s">
        <v>15</v>
      </c>
      <c r="B4" s="11" t="s">
        <v>16</v>
      </c>
      <c r="C4" s="12" t="s">
        <v>17</v>
      </c>
      <c r="D4" s="13" t="s">
        <v>18</v>
      </c>
      <c r="E4" s="5"/>
      <c r="G4" s="14"/>
      <c r="I4" s="15"/>
      <c r="K4" s="5"/>
      <c r="L4" s="5"/>
      <c r="M4" s="5"/>
      <c r="N4" s="5"/>
      <c r="P4" s="5"/>
      <c r="AK4" s="5" t="s">
        <v>19</v>
      </c>
      <c r="AM4" s="5"/>
      <c r="AN4" s="16"/>
      <c r="AR4" s="5">
        <v>2.0</v>
      </c>
    </row>
    <row r="5">
      <c r="G5" s="5"/>
      <c r="I5" s="15"/>
      <c r="K5" s="5"/>
      <c r="L5" s="5"/>
      <c r="M5" s="5"/>
      <c r="N5" s="5"/>
      <c r="P5" s="5"/>
      <c r="AK5" s="5" t="s">
        <v>20</v>
      </c>
      <c r="AM5" s="5"/>
      <c r="AN5" s="16"/>
      <c r="AP5" s="5">
        <v>27.0</v>
      </c>
    </row>
    <row r="6">
      <c r="A6" s="17" t="s">
        <v>21</v>
      </c>
      <c r="C6" s="18"/>
      <c r="F6" s="5"/>
      <c r="G6" s="5"/>
      <c r="H6" s="5"/>
      <c r="I6" s="5"/>
      <c r="J6" s="5"/>
      <c r="K6" s="5"/>
      <c r="L6" s="5"/>
      <c r="M6" s="5"/>
      <c r="N6" s="5"/>
      <c r="P6" s="5"/>
      <c r="AK6" s="5" t="s">
        <v>22</v>
      </c>
      <c r="AM6" s="5"/>
      <c r="AN6" s="16"/>
      <c r="AT6" s="5">
        <v>6.0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P7" s="5"/>
      <c r="AK7" s="5" t="s">
        <v>23</v>
      </c>
      <c r="AM7" s="5"/>
      <c r="AN7" s="16"/>
      <c r="AS7" s="5">
        <v>18.0</v>
      </c>
    </row>
    <row r="8">
      <c r="A8" s="19" t="s">
        <v>24</v>
      </c>
      <c r="B8" s="20" t="s">
        <v>25</v>
      </c>
      <c r="C8" s="2"/>
      <c r="D8" s="3"/>
      <c r="E8" s="5"/>
      <c r="F8" s="5"/>
      <c r="G8" s="5"/>
      <c r="H8" s="5"/>
      <c r="I8" s="5"/>
      <c r="J8" s="5"/>
      <c r="K8" s="5"/>
      <c r="M8" s="5"/>
      <c r="N8" s="5"/>
      <c r="P8" s="5"/>
      <c r="AK8" s="5" t="s">
        <v>26</v>
      </c>
      <c r="AM8" s="5"/>
      <c r="AN8" s="16"/>
      <c r="AQ8" s="5">
        <v>2.0</v>
      </c>
    </row>
    <row r="9">
      <c r="A9" s="21" t="s">
        <v>27</v>
      </c>
      <c r="B9" s="22">
        <v>21.0</v>
      </c>
      <c r="C9" s="23"/>
      <c r="D9" s="23"/>
      <c r="E9" s="5"/>
      <c r="F9" s="5"/>
      <c r="G9" s="5"/>
      <c r="H9" s="5"/>
      <c r="I9" s="5"/>
      <c r="J9" s="5"/>
      <c r="K9" s="5"/>
      <c r="L9" s="5"/>
      <c r="M9" s="5"/>
      <c r="N9" s="5"/>
      <c r="P9" s="5"/>
      <c r="AM9" s="5"/>
      <c r="AN9" s="16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P10" s="5"/>
      <c r="AK10" s="5" t="s">
        <v>28</v>
      </c>
      <c r="AM10" s="5"/>
      <c r="AN10" s="16"/>
    </row>
    <row r="11">
      <c r="A11" s="24"/>
      <c r="B11" s="23" t="s">
        <v>29</v>
      </c>
      <c r="C11" s="23" t="s">
        <v>30</v>
      </c>
      <c r="D11" s="25" t="s">
        <v>31</v>
      </c>
      <c r="E11" s="5"/>
      <c r="F11" s="5"/>
      <c r="G11" s="5"/>
      <c r="H11" s="5"/>
      <c r="I11" s="5"/>
      <c r="J11" s="5"/>
      <c r="K11" s="5"/>
      <c r="L11" s="5"/>
      <c r="M11" s="5"/>
      <c r="N11" s="5"/>
      <c r="P11" s="5"/>
      <c r="AK11" s="5" t="s">
        <v>32</v>
      </c>
      <c r="AM11" s="5"/>
      <c r="AN11" s="16"/>
      <c r="AT11" s="5">
        <v>1.0</v>
      </c>
    </row>
    <row r="12">
      <c r="A12" s="26" t="str">
        <f>B$83</f>
        <v>Lisa</v>
      </c>
      <c r="B12" s="27">
        <f>SUM(W106:W114)</f>
        <v>471065.0507</v>
      </c>
      <c r="C12" s="27">
        <f t="shared" ref="C12:C15" si="1">B12/B$9</f>
        <v>22431.66908</v>
      </c>
      <c r="D12" s="28">
        <f t="shared" ref="D12:D15" si="2">C12/C$16</f>
        <v>0.300330741</v>
      </c>
      <c r="E12" s="5"/>
      <c r="F12" s="5"/>
      <c r="G12" s="5"/>
      <c r="H12" s="5"/>
      <c r="I12" s="5"/>
      <c r="J12" s="5"/>
      <c r="K12" s="5"/>
      <c r="L12" s="5"/>
      <c r="M12" s="5"/>
      <c r="N12" s="5"/>
      <c r="P12" s="5"/>
      <c r="AK12" s="5" t="s">
        <v>33</v>
      </c>
      <c r="AM12" s="5"/>
      <c r="AN12" s="16"/>
      <c r="AT12" s="5">
        <v>1.0</v>
      </c>
    </row>
    <row r="13">
      <c r="A13" s="29" t="str">
        <f>B$121</f>
        <v>Xiangling</v>
      </c>
      <c r="B13" s="30">
        <f>SUM(W144:W160)</f>
        <v>742745.5346</v>
      </c>
      <c r="C13" s="30">
        <f t="shared" si="1"/>
        <v>35368.83498</v>
      </c>
      <c r="D13" s="31">
        <f t="shared" si="2"/>
        <v>0.4735424895</v>
      </c>
      <c r="E13" s="5"/>
      <c r="F13" s="5"/>
      <c r="G13" s="5"/>
      <c r="H13" s="5"/>
      <c r="I13" s="5"/>
      <c r="J13" s="5"/>
      <c r="K13" s="5"/>
      <c r="L13" s="5"/>
      <c r="M13" s="5"/>
      <c r="N13" s="5"/>
      <c r="P13" s="5"/>
      <c r="AK13" s="5" t="s">
        <v>34</v>
      </c>
      <c r="AM13" s="5"/>
      <c r="AN13" s="16"/>
      <c r="AT13" s="5">
        <v>1.0</v>
      </c>
    </row>
    <row r="14">
      <c r="A14" s="32" t="str">
        <f>B$166</f>
        <v>Kazuha</v>
      </c>
      <c r="B14" s="33">
        <f>SUM(W189:W206)</f>
        <v>306134.5524</v>
      </c>
      <c r="C14" s="33">
        <f t="shared" si="1"/>
        <v>14577.83583</v>
      </c>
      <c r="D14" s="34">
        <f t="shared" si="2"/>
        <v>0.1951781752</v>
      </c>
      <c r="E14" s="5"/>
      <c r="F14" s="5"/>
      <c r="G14" s="5"/>
      <c r="H14" s="5"/>
      <c r="I14" s="5"/>
      <c r="J14" s="5"/>
      <c r="K14" s="5"/>
      <c r="L14" s="5"/>
      <c r="M14" s="5"/>
      <c r="N14" s="5"/>
      <c r="P14" s="5"/>
      <c r="AK14" s="5" t="s">
        <v>35</v>
      </c>
      <c r="AM14" s="5"/>
      <c r="AN14" s="16"/>
      <c r="AP14" s="5">
        <v>1.0</v>
      </c>
    </row>
    <row r="15">
      <c r="A15" s="35" t="str">
        <f>B$213</f>
        <v>Bennett</v>
      </c>
      <c r="B15" s="36">
        <f>SUM(W236:W243)</f>
        <v>48542.48725</v>
      </c>
      <c r="C15" s="36">
        <f t="shared" si="1"/>
        <v>2311.547012</v>
      </c>
      <c r="D15" s="37">
        <f t="shared" si="2"/>
        <v>0.03094859435</v>
      </c>
      <c r="E15" s="5"/>
      <c r="F15" s="5"/>
      <c r="G15" s="5"/>
      <c r="H15" s="5"/>
      <c r="I15" s="5"/>
      <c r="J15" s="5"/>
      <c r="K15" s="5"/>
      <c r="L15" s="5"/>
      <c r="M15" s="5"/>
      <c r="N15" s="5"/>
      <c r="P15" s="5"/>
      <c r="AK15" s="5" t="s">
        <v>36</v>
      </c>
      <c r="AM15" s="5"/>
      <c r="AN15" s="38">
        <v>1.0</v>
      </c>
    </row>
    <row r="16">
      <c r="A16" s="21" t="s">
        <v>37</v>
      </c>
      <c r="B16" s="39">
        <f t="shared" ref="B16:C16" si="3">SUM(B12:B15)</f>
        <v>1568487.625</v>
      </c>
      <c r="C16" s="40">
        <f t="shared" si="3"/>
        <v>74689.8869</v>
      </c>
      <c r="D16" s="19"/>
      <c r="E16" s="5"/>
      <c r="F16" s="5"/>
      <c r="G16" s="5"/>
      <c r="H16" s="5"/>
      <c r="I16" s="5"/>
      <c r="J16" s="5"/>
      <c r="K16" s="5"/>
      <c r="L16" s="5"/>
      <c r="M16" s="5"/>
      <c r="N16" s="5"/>
      <c r="P16" s="5"/>
      <c r="AK16" s="5" t="s">
        <v>38</v>
      </c>
      <c r="AM16" s="5"/>
      <c r="AN16" s="38">
        <v>1.0</v>
      </c>
    </row>
    <row r="17">
      <c r="A17" s="5"/>
      <c r="B17" s="5"/>
      <c r="C17" s="5"/>
      <c r="D17" s="5"/>
      <c r="E17" s="5"/>
      <c r="G17" s="14"/>
      <c r="I17" s="15"/>
      <c r="K17" s="5"/>
      <c r="L17" s="5"/>
      <c r="M17" s="5"/>
      <c r="N17" s="5"/>
      <c r="P17" s="5"/>
      <c r="AK17" s="5" t="s">
        <v>39</v>
      </c>
      <c r="AM17" s="5">
        <v>2.0</v>
      </c>
      <c r="AN17" s="16"/>
    </row>
    <row r="18">
      <c r="A18" s="41" t="s">
        <v>40</v>
      </c>
      <c r="B18" s="42"/>
      <c r="C18" s="42"/>
      <c r="D18" s="42"/>
      <c r="E18" s="5"/>
      <c r="G18" s="14"/>
      <c r="I18" s="15"/>
      <c r="K18" s="5"/>
      <c r="L18" s="5"/>
      <c r="M18" s="5"/>
      <c r="N18" s="5"/>
      <c r="P18" s="5"/>
      <c r="AK18" s="5" t="s">
        <v>41</v>
      </c>
      <c r="AM18" s="5">
        <v>2.0</v>
      </c>
      <c r="AN18" s="16"/>
    </row>
    <row r="19">
      <c r="A19" s="26" t="str">
        <f>SUBSTITUTE(SUBSTITUTE(CONCATENATE(B83," C",B92,", ",E83," R",E84,", ",IF(LEFT(H87)="4",H87,CONCATENATE(H84,H87))," ",H95,"/",H96,"/",H97),"%","")," DMG","")</f>
        <v>Lisa C2, Hakushin Ring R5, 2ESF2WT ER/EM/EM</v>
      </c>
      <c r="D19" s="43"/>
      <c r="E19" s="5"/>
      <c r="G19" s="14"/>
      <c r="I19" s="15"/>
      <c r="K19" s="5"/>
      <c r="L19" s="5"/>
      <c r="M19" s="5"/>
      <c r="N19" s="5"/>
      <c r="P19" s="5"/>
      <c r="AK19" s="5" t="s">
        <v>42</v>
      </c>
      <c r="AL19" s="5">
        <v>2.0</v>
      </c>
      <c r="AM19" s="5"/>
      <c r="AN19" s="16"/>
    </row>
    <row r="20">
      <c r="A20" s="29" t="str">
        <f>SUBSTITUTE(SUBSTITUTE(CONCATENATE(B121," C",B130,", ",E121," R",E122,", ",IF(LEFT(H125)="4",H125,CONCATENATE(H122,H125))," ",H133,"/",H134,"/",H135),"%","")," DMG","")</f>
        <v>Xiangling C6, The Catch R5, 4ESF ATK/Pyro/CR</v>
      </c>
      <c r="D20" s="43"/>
      <c r="E20" s="5"/>
      <c r="G20" s="14"/>
      <c r="I20" s="15"/>
      <c r="K20" s="5"/>
      <c r="L20" s="5"/>
      <c r="M20" s="5"/>
      <c r="N20" s="5"/>
      <c r="P20" s="5"/>
      <c r="AK20" s="5" t="s">
        <v>43</v>
      </c>
      <c r="AM20" s="5">
        <v>6.0</v>
      </c>
      <c r="AN20" s="16"/>
    </row>
    <row r="21">
      <c r="A21" s="32" t="str">
        <f>SUBSTITUTE(SUBSTITUTE(CONCATENATE(B166," C",B175,", ",E166," R",E167,", ",IF(LEFT(H170)="4",H170,CONCATENATE(H167,H170))," ",H178,"/",H179,"/",H180),"%","")," DMG","")</f>
        <v>Kazuha C0, Favonius Sword R3, 4VV EM/EM/EM</v>
      </c>
      <c r="D21" s="43"/>
      <c r="E21" s="5"/>
      <c r="G21" s="14"/>
      <c r="I21" s="15"/>
      <c r="K21" s="5"/>
      <c r="L21" s="5"/>
      <c r="M21" s="5"/>
      <c r="N21" s="5"/>
      <c r="P21" s="5"/>
      <c r="AK21" s="5" t="s">
        <v>44</v>
      </c>
      <c r="AL21" s="5">
        <v>18.0</v>
      </c>
      <c r="AM21" s="5"/>
      <c r="AN21" s="16"/>
    </row>
    <row r="22">
      <c r="A22" s="44" t="str">
        <f>SUBSTITUTE(SUBSTITUTE(CONCATENATE(B213," C",B222,", ",E213," R",E214,", ",IF(LEFT(H217)="4",H217,CONCATENATE(H214,H217))," ",H225,"/",H226,"/",H227),"%","")," DMG","")</f>
        <v>Bennett C6, Prototype Rancour R5, 4NO ER/Pyro/CR</v>
      </c>
      <c r="B22" s="45"/>
      <c r="C22" s="45"/>
      <c r="D22" s="46"/>
      <c r="E22" s="5"/>
      <c r="G22" s="14"/>
      <c r="I22" s="15"/>
      <c r="K22" s="5"/>
      <c r="L22" s="5"/>
      <c r="M22" s="5"/>
      <c r="N22" s="5"/>
      <c r="P22" s="5"/>
      <c r="AK22" s="5" t="s">
        <v>45</v>
      </c>
      <c r="AM22" s="5"/>
      <c r="AN22" s="38">
        <v>2.0</v>
      </c>
    </row>
    <row r="23">
      <c r="A23" s="5"/>
      <c r="B23" s="5"/>
      <c r="C23" s="5"/>
      <c r="D23" s="5"/>
      <c r="E23" s="5"/>
      <c r="G23" s="14"/>
      <c r="I23" s="15"/>
      <c r="K23" s="5"/>
      <c r="L23" s="5"/>
      <c r="M23" s="5"/>
      <c r="N23" s="5"/>
      <c r="P23" s="5"/>
      <c r="AK23" s="5" t="s">
        <v>46</v>
      </c>
      <c r="AM23" s="5">
        <v>6.0</v>
      </c>
      <c r="AN23" s="16"/>
    </row>
    <row r="24">
      <c r="A24" s="41" t="s">
        <v>47</v>
      </c>
      <c r="B24" s="42"/>
      <c r="C24" s="42"/>
      <c r="D24" s="42"/>
      <c r="E24" s="42"/>
      <c r="F24" s="47"/>
      <c r="G24" s="48"/>
      <c r="H24" s="47"/>
      <c r="I24" s="49"/>
      <c r="J24" s="47"/>
      <c r="K24" s="5"/>
      <c r="L24" s="5"/>
      <c r="M24" s="5"/>
      <c r="N24" s="5"/>
      <c r="P24" s="5"/>
      <c r="AK24" s="5" t="s">
        <v>48</v>
      </c>
      <c r="AM24" s="5"/>
      <c r="AN24" s="16"/>
      <c r="AU24" s="5">
        <v>2.0</v>
      </c>
    </row>
    <row r="25">
      <c r="A25" s="50" t="s">
        <v>49</v>
      </c>
      <c r="J25" s="43"/>
      <c r="K25" s="5"/>
      <c r="L25" s="5"/>
      <c r="M25" s="5"/>
      <c r="N25" s="5"/>
      <c r="P25" s="5"/>
      <c r="AM25" s="5"/>
      <c r="AN25" s="16"/>
    </row>
    <row r="26">
      <c r="A26" s="51"/>
      <c r="J26" s="43"/>
      <c r="K26" s="5"/>
      <c r="L26" s="5"/>
      <c r="M26" s="5"/>
      <c r="N26" s="5"/>
      <c r="P26" s="5"/>
      <c r="AK26" s="5" t="s">
        <v>50</v>
      </c>
      <c r="AM26" s="5"/>
      <c r="AN26" s="16"/>
    </row>
    <row r="27">
      <c r="A27" s="51"/>
      <c r="J27" s="43"/>
      <c r="K27" s="5"/>
      <c r="L27" s="5"/>
      <c r="M27" s="5"/>
      <c r="N27" s="5"/>
      <c r="P27" s="5"/>
      <c r="AK27" s="5" t="s">
        <v>51</v>
      </c>
      <c r="AM27" s="5"/>
      <c r="AN27" s="16"/>
      <c r="AT27" s="5">
        <v>4.0</v>
      </c>
    </row>
    <row r="28">
      <c r="A28" s="51"/>
      <c r="J28" s="43"/>
      <c r="K28" s="5"/>
      <c r="L28" s="5"/>
      <c r="M28" s="5"/>
      <c r="N28" s="5"/>
      <c r="P28" s="5"/>
      <c r="AK28" s="5" t="s">
        <v>52</v>
      </c>
      <c r="AM28" s="5"/>
      <c r="AN28" s="16"/>
      <c r="AS28" s="5">
        <v>2.0</v>
      </c>
    </row>
    <row r="29">
      <c r="A29" s="51"/>
      <c r="J29" s="43"/>
      <c r="K29" s="5"/>
      <c r="L29" s="5"/>
      <c r="M29" s="5"/>
      <c r="N29" s="5"/>
      <c r="P29" s="5"/>
      <c r="AK29" s="5" t="s">
        <v>53</v>
      </c>
      <c r="AM29" s="5"/>
      <c r="AN29" s="16"/>
      <c r="AO29" s="5">
        <v>2.0</v>
      </c>
    </row>
    <row r="30">
      <c r="A30" s="52"/>
      <c r="B30" s="45"/>
      <c r="C30" s="45"/>
      <c r="D30" s="45"/>
      <c r="E30" s="45"/>
      <c r="F30" s="45"/>
      <c r="G30" s="45"/>
      <c r="H30" s="45"/>
      <c r="I30" s="45"/>
      <c r="J30" s="46"/>
      <c r="K30" s="5"/>
      <c r="L30" s="5"/>
      <c r="M30" s="5"/>
      <c r="N30" s="5"/>
      <c r="P30" s="5"/>
      <c r="AK30" s="5" t="s">
        <v>54</v>
      </c>
      <c r="AM30" s="5"/>
      <c r="AN30" s="16"/>
      <c r="AQ30" s="5">
        <v>2.0</v>
      </c>
    </row>
    <row r="31">
      <c r="A31" s="5"/>
      <c r="B31" s="5"/>
      <c r="C31" s="5"/>
      <c r="D31" s="5"/>
      <c r="E31" s="5"/>
      <c r="G31" s="14"/>
      <c r="I31" s="15"/>
      <c r="K31" s="5"/>
      <c r="L31" s="5"/>
      <c r="M31" s="5"/>
      <c r="N31" s="5"/>
      <c r="P31" s="5"/>
      <c r="AK31" s="5" t="s">
        <v>55</v>
      </c>
      <c r="AL31" s="5" t="s">
        <v>56</v>
      </c>
      <c r="AM31" s="5"/>
      <c r="AN31" s="16"/>
      <c r="AP31" s="5">
        <v>2.0</v>
      </c>
    </row>
    <row r="32">
      <c r="A32" s="19" t="s">
        <v>57</v>
      </c>
      <c r="B32" s="23" t="s">
        <v>6</v>
      </c>
      <c r="C32" s="23" t="s">
        <v>10</v>
      </c>
      <c r="D32" s="23" t="s">
        <v>58</v>
      </c>
      <c r="E32" s="23" t="s">
        <v>59</v>
      </c>
      <c r="F32" s="23" t="s">
        <v>60</v>
      </c>
      <c r="G32" s="23" t="s">
        <v>61</v>
      </c>
      <c r="H32" s="23" t="s">
        <v>4</v>
      </c>
      <c r="I32" s="23" t="s">
        <v>2</v>
      </c>
      <c r="J32" s="23" t="s">
        <v>3</v>
      </c>
      <c r="K32" s="23" t="s">
        <v>5</v>
      </c>
      <c r="L32" s="25" t="s">
        <v>37</v>
      </c>
      <c r="N32" s="5"/>
      <c r="O32" s="23" t="s">
        <v>6</v>
      </c>
      <c r="P32" s="23" t="s">
        <v>10</v>
      </c>
      <c r="Q32" s="23" t="s">
        <v>58</v>
      </c>
      <c r="R32" s="23" t="s">
        <v>59</v>
      </c>
      <c r="S32" s="23" t="s">
        <v>60</v>
      </c>
      <c r="T32" s="23" t="s">
        <v>61</v>
      </c>
      <c r="U32" s="23" t="s">
        <v>4</v>
      </c>
      <c r="V32" s="23" t="s">
        <v>2</v>
      </c>
      <c r="W32" s="23" t="s">
        <v>3</v>
      </c>
      <c r="X32" s="23" t="s">
        <v>5</v>
      </c>
      <c r="AK32" s="5" t="s">
        <v>62</v>
      </c>
      <c r="AR32" s="5">
        <v>2.0</v>
      </c>
    </row>
    <row r="33">
      <c r="A33" s="26" t="str">
        <f>B$83</f>
        <v>Lisa</v>
      </c>
      <c r="B33" s="53">
        <v>2.0</v>
      </c>
      <c r="C33" s="53">
        <v>2.0</v>
      </c>
      <c r="D33" s="53">
        <v>2.0</v>
      </c>
      <c r="E33" s="53">
        <v>2.0</v>
      </c>
      <c r="F33" s="53">
        <v>2.0</v>
      </c>
      <c r="G33" s="53">
        <v>2.0</v>
      </c>
      <c r="H33" s="53">
        <v>8.0</v>
      </c>
      <c r="I33" s="53">
        <v>6.0</v>
      </c>
      <c r="J33" s="53">
        <v>4.0</v>
      </c>
      <c r="K33" s="53">
        <v>10.0</v>
      </c>
      <c r="L33" s="54">
        <f t="shared" ref="L33:L36" si="4">SUM(B33:K33)</f>
        <v>40</v>
      </c>
      <c r="N33" s="5" t="str">
        <f t="shared" ref="N33:N36" si="5">A33</f>
        <v>Lisa</v>
      </c>
      <c r="O33" s="55">
        <f t="shared" ref="O33:O36" si="6">B33*$AC$2</f>
        <v>0.0992</v>
      </c>
      <c r="P33" s="56">
        <f t="shared" ref="P33:P36" si="7">C33*$AG$2</f>
        <v>507.88</v>
      </c>
      <c r="Q33" s="55">
        <f t="shared" ref="Q33:Q36" si="8">D33*$X$2</f>
        <v>0.0992</v>
      </c>
      <c r="R33" s="56">
        <f t="shared" ref="R33:R36" si="9">E33*$AE$2</f>
        <v>33.08</v>
      </c>
      <c r="S33" s="55">
        <f t="shared" ref="S33:S36" si="10">F33*$AD$2</f>
        <v>0.124</v>
      </c>
      <c r="T33" s="56">
        <f t="shared" ref="T33:T36" si="11">G33*$AF$2</f>
        <v>39.36</v>
      </c>
      <c r="U33" s="56">
        <f t="shared" ref="U33:U36" si="12">H33*$AA$2</f>
        <v>158.56</v>
      </c>
      <c r="V33" s="55">
        <f t="shared" ref="V33:V36" si="13">I33*$Y$2</f>
        <v>0.1986</v>
      </c>
      <c r="W33" s="55">
        <f t="shared" ref="W33:W36" si="14">J33*$Z$2</f>
        <v>0.2648</v>
      </c>
      <c r="X33" s="55">
        <f t="shared" ref="X33:X36" si="15">K33*$AB$2</f>
        <v>0.551</v>
      </c>
      <c r="AK33" s="5" t="s">
        <v>63</v>
      </c>
      <c r="AS33" s="5">
        <v>2.0</v>
      </c>
    </row>
    <row r="34">
      <c r="A34" s="29" t="str">
        <f>B$121</f>
        <v>Xiangling</v>
      </c>
      <c r="B34" s="53">
        <v>2.0</v>
      </c>
      <c r="C34" s="53">
        <v>2.0</v>
      </c>
      <c r="D34" s="53">
        <v>2.0</v>
      </c>
      <c r="E34" s="53">
        <v>2.0</v>
      </c>
      <c r="F34" s="53">
        <v>2.0</v>
      </c>
      <c r="G34" s="53">
        <v>2.0</v>
      </c>
      <c r="H34" s="53">
        <v>2.0</v>
      </c>
      <c r="I34" s="53">
        <v>10.0</v>
      </c>
      <c r="J34" s="53">
        <v>12.0</v>
      </c>
      <c r="K34" s="53">
        <v>4.0</v>
      </c>
      <c r="L34" s="54">
        <f t="shared" si="4"/>
        <v>40</v>
      </c>
      <c r="N34" s="5" t="str">
        <f t="shared" si="5"/>
        <v>Xiangling</v>
      </c>
      <c r="O34" s="55">
        <f t="shared" si="6"/>
        <v>0.0992</v>
      </c>
      <c r="P34" s="56">
        <f t="shared" si="7"/>
        <v>507.88</v>
      </c>
      <c r="Q34" s="55">
        <f t="shared" si="8"/>
        <v>0.0992</v>
      </c>
      <c r="R34" s="56">
        <f t="shared" si="9"/>
        <v>33.08</v>
      </c>
      <c r="S34" s="55">
        <f t="shared" si="10"/>
        <v>0.124</v>
      </c>
      <c r="T34" s="56">
        <f t="shared" si="11"/>
        <v>39.36</v>
      </c>
      <c r="U34" s="56">
        <f t="shared" si="12"/>
        <v>39.64</v>
      </c>
      <c r="V34" s="55">
        <f t="shared" si="13"/>
        <v>0.331</v>
      </c>
      <c r="W34" s="55">
        <f t="shared" si="14"/>
        <v>0.7944</v>
      </c>
      <c r="X34" s="55">
        <f t="shared" si="15"/>
        <v>0.2204</v>
      </c>
      <c r="AK34" s="5" t="s">
        <v>64</v>
      </c>
      <c r="AR34" s="5">
        <v>2.0</v>
      </c>
    </row>
    <row r="35">
      <c r="A35" s="32" t="str">
        <f>B$166</f>
        <v>Kazuha</v>
      </c>
      <c r="B35" s="53">
        <v>2.0</v>
      </c>
      <c r="C35" s="53">
        <v>2.0</v>
      </c>
      <c r="D35" s="53">
        <v>2.0</v>
      </c>
      <c r="E35" s="53">
        <v>2.0</v>
      </c>
      <c r="F35" s="53">
        <v>2.0</v>
      </c>
      <c r="G35" s="53">
        <v>2.0</v>
      </c>
      <c r="H35" s="53">
        <v>6.0</v>
      </c>
      <c r="I35" s="53">
        <v>12.0</v>
      </c>
      <c r="J35" s="53">
        <v>2.0</v>
      </c>
      <c r="K35" s="53">
        <v>8.0</v>
      </c>
      <c r="L35" s="54">
        <f t="shared" si="4"/>
        <v>40</v>
      </c>
      <c r="N35" s="5" t="str">
        <f t="shared" si="5"/>
        <v>Kazuha</v>
      </c>
      <c r="O35" s="55">
        <f t="shared" si="6"/>
        <v>0.0992</v>
      </c>
      <c r="P35" s="56">
        <f t="shared" si="7"/>
        <v>507.88</v>
      </c>
      <c r="Q35" s="55">
        <f t="shared" si="8"/>
        <v>0.0992</v>
      </c>
      <c r="R35" s="56">
        <f t="shared" si="9"/>
        <v>33.08</v>
      </c>
      <c r="S35" s="55">
        <f t="shared" si="10"/>
        <v>0.124</v>
      </c>
      <c r="T35" s="56">
        <f t="shared" si="11"/>
        <v>39.36</v>
      </c>
      <c r="U35" s="56">
        <f t="shared" si="12"/>
        <v>118.92</v>
      </c>
      <c r="V35" s="55">
        <f t="shared" si="13"/>
        <v>0.3972</v>
      </c>
      <c r="W35" s="55">
        <f t="shared" si="14"/>
        <v>0.1324</v>
      </c>
      <c r="X35" s="55">
        <f t="shared" si="15"/>
        <v>0.4408</v>
      </c>
      <c r="AK35" s="5" t="s">
        <v>65</v>
      </c>
      <c r="AR35" s="5">
        <v>2.0</v>
      </c>
    </row>
    <row r="36">
      <c r="A36" s="44" t="str">
        <f>B$213</f>
        <v>Bennett</v>
      </c>
      <c r="B36" s="57">
        <v>2.0</v>
      </c>
      <c r="C36" s="57">
        <v>2.0</v>
      </c>
      <c r="D36" s="57">
        <v>4.0</v>
      </c>
      <c r="E36" s="57">
        <v>2.0</v>
      </c>
      <c r="F36" s="57">
        <v>2.0</v>
      </c>
      <c r="G36" s="57">
        <v>2.0</v>
      </c>
      <c r="H36" s="57">
        <v>2.0</v>
      </c>
      <c r="I36" s="57">
        <v>10.0</v>
      </c>
      <c r="J36" s="57">
        <v>12.0</v>
      </c>
      <c r="K36" s="57">
        <v>2.0</v>
      </c>
      <c r="L36" s="58">
        <f t="shared" si="4"/>
        <v>40</v>
      </c>
      <c r="N36" s="5" t="str">
        <f t="shared" si="5"/>
        <v>Bennett</v>
      </c>
      <c r="O36" s="55">
        <f t="shared" si="6"/>
        <v>0.0992</v>
      </c>
      <c r="P36" s="56">
        <f t="shared" si="7"/>
        <v>507.88</v>
      </c>
      <c r="Q36" s="55">
        <f t="shared" si="8"/>
        <v>0.1984</v>
      </c>
      <c r="R36" s="56">
        <f t="shared" si="9"/>
        <v>33.08</v>
      </c>
      <c r="S36" s="55">
        <f t="shared" si="10"/>
        <v>0.124</v>
      </c>
      <c r="T36" s="56">
        <f t="shared" si="11"/>
        <v>39.36</v>
      </c>
      <c r="U36" s="56">
        <f t="shared" si="12"/>
        <v>39.64</v>
      </c>
      <c r="V36" s="55">
        <f t="shared" si="13"/>
        <v>0.331</v>
      </c>
      <c r="W36" s="55">
        <f t="shared" si="14"/>
        <v>0.7944</v>
      </c>
      <c r="X36" s="55">
        <f t="shared" si="15"/>
        <v>0.1102</v>
      </c>
      <c r="AK36" s="5" t="s">
        <v>66</v>
      </c>
      <c r="AR36" s="5">
        <v>2.0</v>
      </c>
    </row>
    <row r="37">
      <c r="A37" s="5"/>
      <c r="B37" s="59"/>
      <c r="C37" s="5"/>
      <c r="D37" s="5"/>
      <c r="E37" s="5"/>
      <c r="F37" s="59"/>
      <c r="G37" s="5"/>
      <c r="I37" s="5"/>
      <c r="J37" s="59"/>
      <c r="K37" s="5"/>
      <c r="L37" s="5"/>
      <c r="M37" s="5"/>
      <c r="N37" s="59"/>
      <c r="O37" s="5"/>
      <c r="P37" s="5"/>
      <c r="AK37" s="5" t="s">
        <v>67</v>
      </c>
      <c r="AM37" s="5"/>
      <c r="AN37" s="16"/>
      <c r="AQ37" s="5">
        <v>8.0</v>
      </c>
    </row>
    <row r="38">
      <c r="A38" s="19" t="s">
        <v>68</v>
      </c>
      <c r="B38" s="23" t="s">
        <v>6</v>
      </c>
      <c r="C38" s="23" t="s">
        <v>10</v>
      </c>
      <c r="D38" s="23" t="s">
        <v>58</v>
      </c>
      <c r="E38" s="23" t="s">
        <v>59</v>
      </c>
      <c r="F38" s="23" t="s">
        <v>60</v>
      </c>
      <c r="G38" s="23" t="s">
        <v>61</v>
      </c>
      <c r="H38" s="23" t="s">
        <v>4</v>
      </c>
      <c r="I38" s="23" t="s">
        <v>2</v>
      </c>
      <c r="J38" s="23" t="s">
        <v>3</v>
      </c>
      <c r="K38" s="23" t="s">
        <v>5</v>
      </c>
      <c r="L38" s="25" t="s">
        <v>37</v>
      </c>
      <c r="M38" s="5"/>
      <c r="N38" s="59"/>
      <c r="O38" s="5"/>
      <c r="P38" s="5"/>
      <c r="AK38" s="5" t="s">
        <v>69</v>
      </c>
      <c r="AM38" s="5"/>
      <c r="AN38" s="16"/>
      <c r="AO38" s="5">
        <v>2.0</v>
      </c>
    </row>
    <row r="39">
      <c r="A39" s="26" t="str">
        <f>B$83</f>
        <v>Lisa</v>
      </c>
      <c r="B39" s="53">
        <f>MIN(B45,(12-IF($H$95=B$38,2,0)-IF($H$96=B$38,2,0)-IF($H$97=B$38,2,0)))</f>
        <v>2</v>
      </c>
      <c r="C39" s="53">
        <f t="shared" ref="C39:C42" si="17">MIN(C45,10)</f>
        <v>2</v>
      </c>
      <c r="D39" s="53">
        <f>MIN(D45,(12-IF($H$95=D$38,2,0)-IF($H$96=D$38,2,0)-IF($H$97=D$38,2,0)))</f>
        <v>12</v>
      </c>
      <c r="E39" s="53">
        <f t="shared" ref="E39:E42" si="18">MIN(E45,10)</f>
        <v>2</v>
      </c>
      <c r="F39" s="53">
        <f t="shared" ref="F39:K39" si="16">MIN(F45,(12-IF($H$95=F$38,2,0)-IF($H$96=F$38,2,0)-IF($H$97=F$38,2,0)))</f>
        <v>2</v>
      </c>
      <c r="G39" s="53">
        <f t="shared" si="16"/>
        <v>2</v>
      </c>
      <c r="H39" s="53">
        <f t="shared" si="16"/>
        <v>8</v>
      </c>
      <c r="I39" s="53">
        <f t="shared" si="16"/>
        <v>12</v>
      </c>
      <c r="J39" s="53">
        <f t="shared" si="16"/>
        <v>12</v>
      </c>
      <c r="K39" s="53">
        <f t="shared" si="16"/>
        <v>10</v>
      </c>
      <c r="L39" s="54">
        <v>40.0</v>
      </c>
      <c r="M39" s="5"/>
      <c r="N39" s="59"/>
      <c r="O39" s="5"/>
      <c r="P39" s="5"/>
      <c r="AK39" s="5" t="s">
        <v>70</v>
      </c>
      <c r="AM39" s="5"/>
      <c r="AN39" s="38">
        <v>4.0</v>
      </c>
    </row>
    <row r="40">
      <c r="A40" s="29" t="str">
        <f>B$121</f>
        <v>Xiangling</v>
      </c>
      <c r="B40" s="53">
        <f>MIN(B46,(12-IF($H$133=B$38,2,0)-IF($H$134=B$38,2,0)-IF($H$135=B$38,2,0)))</f>
        <v>2</v>
      </c>
      <c r="C40" s="53">
        <f t="shared" si="17"/>
        <v>2</v>
      </c>
      <c r="D40" s="53">
        <f>MIN(D46,(12-IF($H$133=D$38,2,0)-IF($H$134=D$38,2,0)-IF($H$135=D$38,2,0)))</f>
        <v>10</v>
      </c>
      <c r="E40" s="53">
        <f t="shared" si="18"/>
        <v>2</v>
      </c>
      <c r="F40" s="53">
        <f t="shared" ref="F40:K40" si="19">MIN(F46,(12-IF($H$133=F$38,2,0)-IF($H$134=F$38,2,0)-IF($H$135=F$38,2,0)))</f>
        <v>2</v>
      </c>
      <c r="G40" s="53">
        <f t="shared" si="19"/>
        <v>2</v>
      </c>
      <c r="H40" s="53">
        <f t="shared" si="19"/>
        <v>12</v>
      </c>
      <c r="I40" s="53">
        <f t="shared" si="19"/>
        <v>10</v>
      </c>
      <c r="J40" s="53">
        <f t="shared" si="19"/>
        <v>12</v>
      </c>
      <c r="K40" s="53">
        <f t="shared" si="19"/>
        <v>12</v>
      </c>
      <c r="L40" s="54">
        <v>40.0</v>
      </c>
      <c r="M40" s="5"/>
      <c r="N40" s="59"/>
      <c r="O40" s="5"/>
      <c r="P40" s="5"/>
      <c r="AK40" s="5" t="s">
        <v>71</v>
      </c>
      <c r="AM40" s="5"/>
      <c r="AN40" s="16"/>
      <c r="AO40" s="5">
        <v>4.0</v>
      </c>
    </row>
    <row r="41">
      <c r="A41" s="32" t="str">
        <f>B$166</f>
        <v>Kazuha</v>
      </c>
      <c r="B41" s="53">
        <f>MIN(B47,(12-IF($H$178=B$38,2,0)-IF($H$179=B$38,2,0)-IF($H$180=B$38,2,0)))</f>
        <v>2</v>
      </c>
      <c r="C41" s="53">
        <f t="shared" si="17"/>
        <v>2</v>
      </c>
      <c r="D41" s="53">
        <f>MIN(D47,(12-IF($H$178=D$38,2,0)-IF($H$179=D$38,2,0)-IF($H$180=D$38,2,0)))</f>
        <v>12</v>
      </c>
      <c r="E41" s="53">
        <f t="shared" si="18"/>
        <v>2</v>
      </c>
      <c r="F41" s="53">
        <f t="shared" ref="F41:K41" si="20">MIN(F47,(12-IF($H$178=F$38,2,0)-IF($H$179=F$38,2,0)-IF($H$180=F$38,2,0)))</f>
        <v>2</v>
      </c>
      <c r="G41" s="53">
        <f t="shared" si="20"/>
        <v>2</v>
      </c>
      <c r="H41" s="53">
        <f t="shared" si="20"/>
        <v>6</v>
      </c>
      <c r="I41" s="53">
        <f t="shared" si="20"/>
        <v>12</v>
      </c>
      <c r="J41" s="53">
        <f t="shared" si="20"/>
        <v>12</v>
      </c>
      <c r="K41" s="53">
        <f t="shared" si="20"/>
        <v>12</v>
      </c>
      <c r="L41" s="54">
        <v>40.0</v>
      </c>
      <c r="M41" s="5"/>
      <c r="N41" s="59"/>
      <c r="O41" s="5"/>
      <c r="P41" s="5"/>
      <c r="AK41" s="5" t="s">
        <v>72</v>
      </c>
      <c r="AM41" s="5"/>
      <c r="AN41" s="16"/>
      <c r="AT41" s="5">
        <v>28.0</v>
      </c>
    </row>
    <row r="42">
      <c r="A42" s="44" t="str">
        <f>B$213</f>
        <v>Bennett</v>
      </c>
      <c r="B42" s="57">
        <f>MIN(B48,(12-IF($H$225=B$38,2,0)-IF($H$226=B$38,2,0)-IF($H$227=B$38,2,0)))</f>
        <v>2</v>
      </c>
      <c r="C42" s="57">
        <f t="shared" si="17"/>
        <v>2</v>
      </c>
      <c r="D42" s="57">
        <f>MIN(D48,(12-IF($H$225=D$38,2,0)-IF($H$226=D$38,2,0)-IF($H$227=D$38,2,0)))</f>
        <v>12</v>
      </c>
      <c r="E42" s="57">
        <f t="shared" si="18"/>
        <v>2</v>
      </c>
      <c r="F42" s="57">
        <f t="shared" ref="F42:K42" si="21">MIN(F48,(12-IF($H$225=F$38,2,0)-IF($H$226=F$38,2,0)-IF($H$227=F$38,2,0)))</f>
        <v>2</v>
      </c>
      <c r="G42" s="57">
        <f t="shared" si="21"/>
        <v>2</v>
      </c>
      <c r="H42" s="57">
        <f t="shared" si="21"/>
        <v>12</v>
      </c>
      <c r="I42" s="57">
        <f t="shared" si="21"/>
        <v>10</v>
      </c>
      <c r="J42" s="57">
        <f t="shared" si="21"/>
        <v>12</v>
      </c>
      <c r="K42" s="57">
        <f t="shared" si="21"/>
        <v>10</v>
      </c>
      <c r="L42" s="58">
        <v>40.0</v>
      </c>
      <c r="M42" s="5"/>
      <c r="N42" s="59"/>
      <c r="O42" s="5"/>
      <c r="P42" s="5"/>
      <c r="AK42" s="5" t="s">
        <v>73</v>
      </c>
      <c r="AM42" s="5"/>
      <c r="AN42" s="16"/>
      <c r="AS42" s="5">
        <v>14.0</v>
      </c>
    </row>
    <row r="43">
      <c r="A43" s="5"/>
      <c r="B43" s="59"/>
      <c r="C43" s="5"/>
      <c r="D43" s="5"/>
      <c r="E43" s="5"/>
      <c r="F43" s="59"/>
      <c r="G43" s="5"/>
      <c r="I43" s="5"/>
      <c r="J43" s="59"/>
      <c r="K43" s="5"/>
      <c r="L43" s="5"/>
      <c r="M43" s="5"/>
      <c r="N43" s="59"/>
      <c r="O43" s="5"/>
      <c r="P43" s="5"/>
      <c r="AM43" s="5"/>
      <c r="AN43" s="16"/>
    </row>
    <row r="44">
      <c r="A44" s="19" t="s">
        <v>74</v>
      </c>
      <c r="B44" s="23" t="s">
        <v>6</v>
      </c>
      <c r="C44" s="23" t="s">
        <v>10</v>
      </c>
      <c r="D44" s="23" t="s">
        <v>58</v>
      </c>
      <c r="E44" s="23" t="s">
        <v>59</v>
      </c>
      <c r="F44" s="23" t="s">
        <v>60</v>
      </c>
      <c r="G44" s="23" t="s">
        <v>61</v>
      </c>
      <c r="H44" s="23" t="s">
        <v>4</v>
      </c>
      <c r="I44" s="23" t="s">
        <v>2</v>
      </c>
      <c r="J44" s="23" t="s">
        <v>3</v>
      </c>
      <c r="K44" s="25" t="s">
        <v>5</v>
      </c>
      <c r="L44" s="5"/>
      <c r="M44" s="5"/>
      <c r="N44" s="59"/>
      <c r="O44" s="5"/>
      <c r="P44" s="5"/>
      <c r="AK44" s="5" t="s">
        <v>75</v>
      </c>
      <c r="AM44" s="5"/>
      <c r="AN44" s="16"/>
    </row>
    <row r="45">
      <c r="A45" s="26" t="str">
        <f>B$83</f>
        <v>Lisa</v>
      </c>
      <c r="B45" s="60">
        <v>2.0</v>
      </c>
      <c r="C45" s="60">
        <v>2.0</v>
      </c>
      <c r="D45" s="60">
        <v>12.0</v>
      </c>
      <c r="E45" s="60">
        <v>2.0</v>
      </c>
      <c r="F45" s="60">
        <v>2.0</v>
      </c>
      <c r="G45" s="60">
        <v>2.0</v>
      </c>
      <c r="H45" s="60">
        <v>12.0</v>
      </c>
      <c r="I45" s="60">
        <v>12.0</v>
      </c>
      <c r="J45" s="60">
        <v>12.0</v>
      </c>
      <c r="K45" s="61">
        <v>12.0</v>
      </c>
      <c r="L45" s="5"/>
      <c r="M45" s="5"/>
      <c r="N45" s="59"/>
      <c r="O45" s="5"/>
      <c r="P45" s="5"/>
      <c r="AK45" s="5" t="s">
        <v>76</v>
      </c>
      <c r="AM45" s="5"/>
      <c r="AN45" s="16"/>
      <c r="AU45" s="5">
        <v>1.0</v>
      </c>
    </row>
    <row r="46">
      <c r="A46" s="29" t="str">
        <f>B$121</f>
        <v>Xiangling</v>
      </c>
      <c r="B46" s="60">
        <v>2.0</v>
      </c>
      <c r="C46" s="60">
        <v>2.0</v>
      </c>
      <c r="D46" s="60">
        <v>12.0</v>
      </c>
      <c r="E46" s="60">
        <v>2.0</v>
      </c>
      <c r="F46" s="60">
        <v>2.0</v>
      </c>
      <c r="G46" s="60">
        <v>2.0</v>
      </c>
      <c r="H46" s="60">
        <v>12.0</v>
      </c>
      <c r="I46" s="60">
        <v>12.0</v>
      </c>
      <c r="J46" s="60">
        <v>12.0</v>
      </c>
      <c r="K46" s="61">
        <v>12.0</v>
      </c>
      <c r="L46" s="5"/>
      <c r="M46" s="5"/>
      <c r="N46" s="59"/>
      <c r="O46" s="5"/>
      <c r="P46" s="5"/>
      <c r="AK46" s="5" t="s">
        <v>77</v>
      </c>
      <c r="AM46" s="5"/>
      <c r="AN46" s="16"/>
      <c r="AR46" s="5">
        <v>1.0</v>
      </c>
    </row>
    <row r="47">
      <c r="A47" s="32" t="str">
        <f>B$166</f>
        <v>Kazuha</v>
      </c>
      <c r="B47" s="60">
        <v>2.0</v>
      </c>
      <c r="C47" s="60">
        <v>2.0</v>
      </c>
      <c r="D47" s="60">
        <v>12.0</v>
      </c>
      <c r="E47" s="60">
        <v>2.0</v>
      </c>
      <c r="F47" s="60">
        <v>2.0</v>
      </c>
      <c r="G47" s="60">
        <v>2.0</v>
      </c>
      <c r="H47" s="60">
        <v>12.0</v>
      </c>
      <c r="I47" s="60">
        <v>12.0</v>
      </c>
      <c r="J47" s="60">
        <v>12.0</v>
      </c>
      <c r="K47" s="61">
        <v>12.0</v>
      </c>
      <c r="L47" s="5"/>
      <c r="M47" s="5"/>
      <c r="N47" s="59"/>
      <c r="O47" s="5"/>
      <c r="P47" s="5"/>
      <c r="AK47" s="5" t="s">
        <v>78</v>
      </c>
      <c r="AM47" s="5"/>
      <c r="AN47" s="38">
        <v>1.0</v>
      </c>
    </row>
    <row r="48">
      <c r="A48" s="44" t="str">
        <f>B$213</f>
        <v>Bennett</v>
      </c>
      <c r="B48" s="62">
        <v>2.0</v>
      </c>
      <c r="C48" s="62">
        <v>2.0</v>
      </c>
      <c r="D48" s="62">
        <v>12.0</v>
      </c>
      <c r="E48" s="62">
        <v>2.0</v>
      </c>
      <c r="F48" s="62">
        <v>2.0</v>
      </c>
      <c r="G48" s="62">
        <v>2.0</v>
      </c>
      <c r="H48" s="62">
        <v>12.0</v>
      </c>
      <c r="I48" s="62">
        <v>12.0</v>
      </c>
      <c r="J48" s="62">
        <v>12.0</v>
      </c>
      <c r="K48" s="63">
        <v>12.0</v>
      </c>
      <c r="L48" s="5"/>
      <c r="M48" s="5"/>
      <c r="N48" s="59"/>
      <c r="O48" s="5"/>
      <c r="P48" s="5"/>
      <c r="AK48" s="5" t="s">
        <v>79</v>
      </c>
      <c r="AM48" s="5"/>
      <c r="AN48" s="16"/>
      <c r="AU48" s="5">
        <v>2.0</v>
      </c>
    </row>
    <row r="49">
      <c r="A49" s="5"/>
      <c r="B49" s="59"/>
      <c r="C49" s="5"/>
      <c r="D49" s="5"/>
      <c r="E49" s="5"/>
      <c r="F49" s="59"/>
      <c r="G49" s="5"/>
      <c r="I49" s="5"/>
      <c r="J49" s="59"/>
      <c r="K49" s="5"/>
      <c r="L49" s="5"/>
      <c r="M49" s="5"/>
      <c r="N49" s="59"/>
      <c r="O49" s="5"/>
      <c r="P49" s="5"/>
      <c r="S49" s="5"/>
      <c r="T49" s="16"/>
    </row>
    <row r="50">
      <c r="A50" s="64"/>
      <c r="B50" s="25" t="s">
        <v>80</v>
      </c>
      <c r="C50" s="5"/>
      <c r="D50" s="65" t="s">
        <v>81</v>
      </c>
      <c r="E50" s="5"/>
      <c r="F50" s="59"/>
      <c r="G50" s="5"/>
      <c r="I50" s="5"/>
      <c r="J50" s="59"/>
      <c r="K50" s="5"/>
      <c r="L50" s="5"/>
      <c r="M50" s="5"/>
      <c r="N50" s="59"/>
      <c r="O50" s="5"/>
      <c r="P50" s="5"/>
      <c r="S50" s="5"/>
      <c r="T50" s="16"/>
    </row>
    <row r="51">
      <c r="A51" s="26" t="str">
        <f>B$83</f>
        <v>Lisa</v>
      </c>
      <c r="B51" s="66">
        <v>2.55</v>
      </c>
      <c r="C51" s="5"/>
      <c r="D51" s="67">
        <f>P99</f>
        <v>2.575</v>
      </c>
      <c r="E51" s="5"/>
      <c r="F51" s="59"/>
      <c r="G51" s="5"/>
      <c r="I51" s="5"/>
      <c r="J51" s="59"/>
      <c r="K51" s="5"/>
      <c r="L51" s="5"/>
      <c r="M51" s="5"/>
      <c r="N51" s="59"/>
      <c r="O51" s="5"/>
      <c r="P51" s="5"/>
      <c r="S51" s="5"/>
      <c r="T51" s="16"/>
    </row>
    <row r="52">
      <c r="A52" s="29" t="str">
        <f>B$121</f>
        <v>Xiangling</v>
      </c>
      <c r="B52" s="66">
        <v>1.84</v>
      </c>
      <c r="C52" s="5"/>
      <c r="D52" s="67">
        <f>P137</f>
        <v>1.8794</v>
      </c>
      <c r="E52" s="5"/>
      <c r="F52" s="59"/>
      <c r="G52" s="5"/>
      <c r="I52" s="5"/>
      <c r="J52" s="59"/>
      <c r="K52" s="5"/>
      <c r="L52" s="5"/>
      <c r="M52" s="5"/>
      <c r="N52" s="59"/>
      <c r="O52" s="5"/>
      <c r="P52" s="5"/>
      <c r="S52" s="5"/>
      <c r="T52" s="16"/>
    </row>
    <row r="53">
      <c r="A53" s="32" t="str">
        <f>B$166</f>
        <v>Kazuha</v>
      </c>
      <c r="B53" s="66">
        <v>1.98</v>
      </c>
      <c r="C53" s="5"/>
      <c r="D53" s="67">
        <f>P182</f>
        <v>2.0538</v>
      </c>
      <c r="E53" s="5"/>
      <c r="F53" s="59"/>
      <c r="G53" s="5"/>
      <c r="I53" s="5"/>
      <c r="J53" s="59"/>
      <c r="K53" s="5"/>
      <c r="L53" s="5"/>
      <c r="M53" s="5"/>
      <c r="N53" s="59"/>
      <c r="O53" s="5"/>
      <c r="P53" s="5"/>
      <c r="S53" s="5"/>
      <c r="T53" s="16"/>
    </row>
    <row r="54">
      <c r="A54" s="44" t="str">
        <f>B$213</f>
        <v>Bennett</v>
      </c>
      <c r="B54" s="68">
        <v>1.88</v>
      </c>
      <c r="C54" s="5"/>
      <c r="D54" s="69">
        <f>P229</f>
        <v>1.8962</v>
      </c>
      <c r="E54" s="5"/>
      <c r="F54" s="59"/>
      <c r="G54" s="5"/>
      <c r="I54" s="5"/>
      <c r="J54" s="59"/>
      <c r="K54" s="5"/>
      <c r="L54" s="5"/>
      <c r="M54" s="5"/>
      <c r="N54" s="59"/>
      <c r="O54" s="5"/>
      <c r="P54" s="5"/>
      <c r="S54" s="5"/>
      <c r="T54" s="16"/>
    </row>
    <row r="55">
      <c r="A55" s="5"/>
      <c r="B55" s="59"/>
      <c r="C55" s="5"/>
      <c r="D55" s="5"/>
      <c r="E55" s="5"/>
      <c r="F55" s="59"/>
      <c r="G55" s="5"/>
      <c r="I55" s="5"/>
      <c r="J55" s="59"/>
      <c r="K55" s="5"/>
      <c r="L55" s="5"/>
      <c r="M55" s="5"/>
      <c r="N55" s="59"/>
      <c r="O55" s="5"/>
      <c r="P55" s="5"/>
      <c r="S55" s="5"/>
      <c r="T55" s="16"/>
    </row>
    <row r="56">
      <c r="A56" s="19" t="s">
        <v>82</v>
      </c>
      <c r="B56" s="70">
        <v>100.0</v>
      </c>
      <c r="C56" s="5"/>
      <c r="D56" s="5"/>
      <c r="E56" s="5"/>
      <c r="G56" s="14"/>
      <c r="I56" s="15"/>
      <c r="K56" s="5"/>
      <c r="L56" s="5"/>
      <c r="M56" s="5"/>
      <c r="N56" s="5"/>
      <c r="P56" s="5"/>
      <c r="S56" s="5"/>
      <c r="T56" s="16"/>
    </row>
    <row r="57">
      <c r="A57" s="71" t="s">
        <v>83</v>
      </c>
      <c r="B57" s="72">
        <v>0.1</v>
      </c>
      <c r="C57" s="5"/>
      <c r="D57" s="5"/>
      <c r="E57" s="5"/>
      <c r="G57" s="14"/>
      <c r="I57" s="15"/>
      <c r="K57" s="5"/>
      <c r="L57" s="5"/>
      <c r="M57" s="5"/>
      <c r="N57" s="5"/>
      <c r="P57" s="5"/>
      <c r="S57" s="5"/>
      <c r="T57" s="16"/>
    </row>
    <row r="58">
      <c r="A58" s="71" t="s">
        <v>84</v>
      </c>
      <c r="B58" s="72">
        <v>0.1</v>
      </c>
      <c r="C58" s="5"/>
      <c r="D58" s="5"/>
      <c r="E58" s="5"/>
      <c r="G58" s="14"/>
      <c r="I58" s="15"/>
      <c r="K58" s="5"/>
      <c r="L58" s="5"/>
      <c r="M58" s="5"/>
      <c r="N58" s="5"/>
      <c r="P58" s="5"/>
      <c r="S58" s="5"/>
      <c r="T58" s="16"/>
    </row>
    <row r="59">
      <c r="A59" s="71" t="s">
        <v>85</v>
      </c>
      <c r="B59" s="72">
        <v>0.1</v>
      </c>
      <c r="C59" s="5"/>
      <c r="D59" s="5"/>
      <c r="E59" s="5"/>
      <c r="G59" s="14"/>
      <c r="I59" s="15"/>
      <c r="K59" s="5"/>
      <c r="L59" s="5"/>
      <c r="M59" s="5"/>
      <c r="N59" s="5"/>
      <c r="P59" s="5"/>
      <c r="S59" s="5"/>
      <c r="T59" s="16"/>
    </row>
    <row r="60">
      <c r="A60" s="71" t="s">
        <v>86</v>
      </c>
      <c r="B60" s="72">
        <v>0.1</v>
      </c>
      <c r="C60" s="5"/>
      <c r="D60" s="5"/>
      <c r="E60" s="5"/>
      <c r="G60" s="14"/>
      <c r="I60" s="15"/>
      <c r="K60" s="5"/>
      <c r="L60" s="5"/>
      <c r="M60" s="5"/>
      <c r="N60" s="5"/>
      <c r="P60" s="5"/>
      <c r="S60" s="5"/>
      <c r="T60" s="16"/>
    </row>
    <row r="61">
      <c r="A61" s="71" t="s">
        <v>87</v>
      </c>
      <c r="B61" s="72">
        <v>0.1</v>
      </c>
      <c r="C61" s="5"/>
      <c r="D61" s="5"/>
      <c r="E61" s="5"/>
      <c r="G61" s="14"/>
      <c r="I61" s="15"/>
      <c r="K61" s="5"/>
      <c r="L61" s="5"/>
      <c r="M61" s="5"/>
      <c r="N61" s="5"/>
      <c r="P61" s="5"/>
      <c r="S61" s="5"/>
      <c r="T61" s="16"/>
    </row>
    <row r="62">
      <c r="A62" s="71" t="s">
        <v>88</v>
      </c>
      <c r="B62" s="72">
        <v>0.1</v>
      </c>
      <c r="C62" s="5"/>
      <c r="D62" s="5"/>
      <c r="E62" s="5"/>
      <c r="G62" s="14"/>
      <c r="I62" s="15"/>
      <c r="K62" s="5"/>
      <c r="L62" s="5"/>
      <c r="M62" s="5"/>
      <c r="N62" s="5"/>
      <c r="P62" s="5"/>
      <c r="S62" s="5"/>
      <c r="T62" s="16"/>
    </row>
    <row r="63">
      <c r="A63" s="21" t="s">
        <v>89</v>
      </c>
      <c r="B63" s="73">
        <v>0.1</v>
      </c>
      <c r="C63" s="5"/>
      <c r="D63" s="5"/>
      <c r="E63" s="5"/>
      <c r="G63" s="14"/>
      <c r="I63" s="15"/>
      <c r="K63" s="5"/>
      <c r="L63" s="5"/>
      <c r="M63" s="5"/>
      <c r="N63" s="5"/>
      <c r="P63" s="5"/>
      <c r="S63" s="5"/>
      <c r="T63" s="16"/>
    </row>
    <row r="64">
      <c r="A64" s="5"/>
      <c r="B64" s="5"/>
      <c r="C64" s="5"/>
      <c r="D64" s="5"/>
      <c r="E64" s="5"/>
      <c r="G64" s="14"/>
      <c r="I64" s="15"/>
      <c r="K64" s="5"/>
      <c r="L64" s="5"/>
      <c r="M64" s="5"/>
      <c r="N64" s="5"/>
      <c r="P64" s="5"/>
      <c r="S64" s="5"/>
      <c r="T64" s="16"/>
    </row>
    <row r="65">
      <c r="A65" s="19" t="s">
        <v>90</v>
      </c>
      <c r="B65" s="25" t="s">
        <v>91</v>
      </c>
      <c r="C65" s="5"/>
      <c r="E65" s="14"/>
      <c r="G65" s="15"/>
      <c r="I65" s="5"/>
      <c r="J65" s="5"/>
      <c r="K65" s="5"/>
      <c r="L65" s="5"/>
      <c r="N65" s="5"/>
      <c r="Q65" s="5"/>
      <c r="R65" s="16"/>
    </row>
    <row r="66">
      <c r="A66" s="50" t="s">
        <v>92</v>
      </c>
      <c r="B66" s="74">
        <v>0.2</v>
      </c>
      <c r="C66" s="5"/>
      <c r="E66" s="14"/>
      <c r="G66" s="15"/>
      <c r="I66" s="5"/>
      <c r="J66" s="5"/>
      <c r="K66" s="5"/>
      <c r="L66" s="5"/>
      <c r="N66" s="5"/>
      <c r="Q66" s="5"/>
      <c r="R66" s="16"/>
    </row>
    <row r="67">
      <c r="A67" s="50" t="s">
        <v>93</v>
      </c>
      <c r="B67" s="74">
        <v>0.2</v>
      </c>
      <c r="C67" s="5"/>
      <c r="E67" s="14"/>
      <c r="G67" s="15"/>
      <c r="I67" s="5"/>
      <c r="J67" s="5"/>
      <c r="K67" s="5"/>
      <c r="L67" s="5"/>
      <c r="N67" s="5"/>
      <c r="Q67" s="5"/>
      <c r="R67" s="16"/>
    </row>
    <row r="68">
      <c r="A68" s="50" t="s">
        <v>94</v>
      </c>
      <c r="B68" s="74">
        <v>-0.4</v>
      </c>
      <c r="C68" s="5"/>
      <c r="E68" s="14"/>
      <c r="G68" s="15"/>
      <c r="I68" s="5"/>
      <c r="J68" s="5"/>
      <c r="K68" s="5"/>
      <c r="L68" s="5"/>
      <c r="N68" s="5"/>
      <c r="Q68" s="5"/>
      <c r="R68" s="16"/>
    </row>
    <row r="69">
      <c r="A69" s="50" t="s">
        <v>95</v>
      </c>
      <c r="B69" s="74">
        <v>-0.4</v>
      </c>
      <c r="C69" s="5"/>
      <c r="E69" s="14"/>
      <c r="G69" s="15"/>
      <c r="I69" s="5"/>
      <c r="J69" s="5"/>
      <c r="K69" s="5"/>
      <c r="L69" s="5"/>
      <c r="N69" s="5"/>
      <c r="Q69" s="5"/>
      <c r="R69" s="16"/>
    </row>
    <row r="70">
      <c r="A70" s="50" t="s">
        <v>96</v>
      </c>
      <c r="B70" s="74">
        <v>0.48</v>
      </c>
      <c r="C70" s="5"/>
      <c r="E70" s="14"/>
      <c r="G70" s="15"/>
      <c r="I70" s="5"/>
      <c r="J70" s="5"/>
      <c r="K70" s="5"/>
      <c r="L70" s="5"/>
      <c r="Q70" s="5"/>
      <c r="R70" s="16"/>
    </row>
    <row r="71">
      <c r="A71" s="50" t="s">
        <v>97</v>
      </c>
      <c r="B71" s="74">
        <v>0.25</v>
      </c>
      <c r="C71" s="5"/>
      <c r="E71" s="14"/>
      <c r="G71" s="15"/>
      <c r="I71" s="5"/>
      <c r="J71" s="5"/>
      <c r="K71" s="5"/>
      <c r="L71" s="5"/>
      <c r="N71" s="5"/>
      <c r="Q71" s="5"/>
      <c r="R71" s="16"/>
    </row>
    <row r="72">
      <c r="A72" s="50" t="s">
        <v>98</v>
      </c>
      <c r="B72" s="74">
        <v>0.15</v>
      </c>
      <c r="C72" s="5"/>
      <c r="E72" s="14"/>
      <c r="G72" s="15"/>
      <c r="I72" s="5"/>
      <c r="J72" s="5"/>
      <c r="K72" s="5"/>
      <c r="L72" s="5"/>
      <c r="N72" s="5"/>
      <c r="Q72" s="5"/>
      <c r="R72" s="16"/>
    </row>
    <row r="73">
      <c r="A73" s="50" t="s">
        <v>99</v>
      </c>
      <c r="B73" s="74">
        <v>0.15</v>
      </c>
      <c r="C73" s="5"/>
      <c r="E73" s="14"/>
      <c r="G73" s="15"/>
      <c r="I73" s="5"/>
      <c r="J73" s="5"/>
      <c r="K73" s="5"/>
      <c r="L73" s="5"/>
      <c r="N73" s="5"/>
      <c r="Q73" s="5"/>
      <c r="R73" s="16"/>
    </row>
    <row r="74">
      <c r="A74" s="50" t="s">
        <v>100</v>
      </c>
      <c r="B74" s="74">
        <v>-0.2</v>
      </c>
      <c r="C74" s="5"/>
      <c r="E74" s="14"/>
      <c r="G74" s="15"/>
      <c r="I74" s="5"/>
      <c r="J74" s="5"/>
      <c r="K74" s="5"/>
      <c r="L74" s="5"/>
      <c r="N74" s="5"/>
      <c r="Q74" s="5"/>
      <c r="R74" s="16"/>
    </row>
    <row r="75">
      <c r="A75" s="50" t="s">
        <v>101</v>
      </c>
      <c r="B75" s="74">
        <v>0.12</v>
      </c>
      <c r="C75" s="5"/>
      <c r="E75" s="14"/>
      <c r="G75" s="15"/>
      <c r="I75" s="5"/>
      <c r="J75" s="5"/>
      <c r="K75" s="5"/>
      <c r="L75" s="5"/>
      <c r="N75" s="5"/>
      <c r="Q75" s="5"/>
      <c r="R75" s="16"/>
    </row>
    <row r="76">
      <c r="A76" s="50" t="s">
        <v>102</v>
      </c>
      <c r="B76" s="74">
        <v>0.12</v>
      </c>
      <c r="C76" s="5"/>
      <c r="E76" s="14"/>
      <c r="G76" s="15"/>
      <c r="I76" s="5"/>
      <c r="J76" s="5"/>
      <c r="K76" s="5"/>
      <c r="L76" s="5"/>
      <c r="N76" s="5"/>
      <c r="Q76" s="5"/>
      <c r="R76" s="16"/>
    </row>
    <row r="77">
      <c r="A77" s="50" t="s">
        <v>56</v>
      </c>
      <c r="B77" s="74">
        <v>-0.15</v>
      </c>
      <c r="C77" s="5"/>
      <c r="E77" s="14"/>
      <c r="G77" s="15"/>
      <c r="I77" s="5"/>
      <c r="J77" s="5"/>
      <c r="K77" s="5"/>
      <c r="L77" s="5"/>
      <c r="N77" s="5"/>
      <c r="Q77" s="5"/>
      <c r="R77" s="16"/>
    </row>
    <row r="78">
      <c r="A78" s="50" t="s">
        <v>75</v>
      </c>
      <c r="B78" s="75">
        <f>1.32*P218</f>
        <v>998.1146284</v>
      </c>
      <c r="C78" s="5"/>
      <c r="E78" s="14"/>
      <c r="G78" s="15"/>
      <c r="I78" s="5"/>
      <c r="J78" s="5"/>
      <c r="K78" s="5"/>
      <c r="L78" s="5"/>
      <c r="N78" s="5"/>
      <c r="Q78" s="5"/>
      <c r="R78" s="16"/>
    </row>
    <row r="79">
      <c r="A79" s="50" t="s">
        <v>103</v>
      </c>
      <c r="B79" s="76">
        <f>0.04*P179%</f>
        <v>0.318048</v>
      </c>
      <c r="C79" s="5"/>
      <c r="E79" s="14"/>
      <c r="G79" s="15"/>
      <c r="I79" s="5"/>
      <c r="J79" s="5"/>
      <c r="K79" s="5"/>
      <c r="L79" s="5"/>
      <c r="N79" s="5"/>
      <c r="Q79" s="5"/>
      <c r="R79" s="16"/>
    </row>
    <row r="80">
      <c r="A80" s="71"/>
      <c r="B80" s="77"/>
      <c r="C80" s="5"/>
      <c r="E80" s="14"/>
      <c r="G80" s="15"/>
      <c r="I80" s="5"/>
      <c r="J80" s="5"/>
      <c r="K80" s="5"/>
      <c r="L80" s="5"/>
      <c r="N80" s="5"/>
      <c r="Q80" s="5"/>
      <c r="R80" s="16"/>
    </row>
    <row r="81">
      <c r="A81" s="21" t="s">
        <v>104</v>
      </c>
      <c r="B81" s="24"/>
      <c r="C81" s="5"/>
      <c r="E81" s="14"/>
      <c r="G81" s="15"/>
      <c r="I81" s="5"/>
      <c r="J81" s="5"/>
      <c r="K81" s="5"/>
      <c r="L81" s="5"/>
      <c r="N81" s="5"/>
      <c r="Q81" s="5"/>
      <c r="R81" s="16"/>
    </row>
    <row r="82">
      <c r="A82" s="5"/>
      <c r="B82" s="5"/>
      <c r="C82" s="5"/>
      <c r="D82" s="5"/>
      <c r="E82" s="5"/>
      <c r="G82" s="14"/>
      <c r="I82" s="15"/>
      <c r="K82" s="5"/>
      <c r="L82" s="5"/>
      <c r="M82" s="5"/>
      <c r="N82" s="5"/>
      <c r="P82" s="5"/>
      <c r="S82" s="5"/>
      <c r="T82" s="16"/>
    </row>
    <row r="83">
      <c r="A83" s="78" t="s">
        <v>105</v>
      </c>
      <c r="B83" s="79" t="s">
        <v>11</v>
      </c>
      <c r="C83" s="5"/>
      <c r="D83" s="1" t="s">
        <v>106</v>
      </c>
      <c r="E83" s="79" t="s">
        <v>107</v>
      </c>
      <c r="G83" s="1" t="s">
        <v>108</v>
      </c>
      <c r="H83" s="80"/>
      <c r="J83" s="19" t="s">
        <v>109</v>
      </c>
      <c r="K83" s="81"/>
      <c r="L83" s="23" t="s">
        <v>110</v>
      </c>
      <c r="M83" s="82">
        <v>0.0</v>
      </c>
      <c r="O83" s="19" t="s">
        <v>111</v>
      </c>
      <c r="P83" s="83"/>
      <c r="Q83" s="23" t="s">
        <v>110</v>
      </c>
      <c r="R83" s="84">
        <f>IF(B88="Phys DMG%",IF(B84="4*",0.06,0.072)*IFS(B87="A6",4,B87="A5",3,OR(B87="A4",B87="A3"),2,B87="A2",1,OR(B87="A1",B87="A0"),0),0)
+IF(E86="Phys DMG%",E87,0)
+IF(H85="Phys DMG%",H86,0)+IF(H88="Phys DMG%",H89*H90,0)+IF(H91="Phys DMG%",H92*H93,0)+IF(H96="Phys DMG%",0.583,0)
+M83</f>
        <v>0</v>
      </c>
    </row>
    <row r="84">
      <c r="A84" s="85" t="s">
        <v>112</v>
      </c>
      <c r="B84" s="86" t="str">
        <f>VLOOKUP(B83,CharBaseStats,3,false)</f>
        <v>4*</v>
      </c>
      <c r="C84" s="5"/>
      <c r="D84" s="85" t="s">
        <v>113</v>
      </c>
      <c r="E84" s="87">
        <v>5.0</v>
      </c>
      <c r="G84" s="85" t="s">
        <v>114</v>
      </c>
      <c r="H84" s="87" t="s">
        <v>115</v>
      </c>
      <c r="J84" s="71" t="s">
        <v>6</v>
      </c>
      <c r="K84" s="88">
        <v>0.0</v>
      </c>
      <c r="L84" s="5" t="s">
        <v>116</v>
      </c>
      <c r="M84" s="89">
        <v>0.0</v>
      </c>
      <c r="O84" s="71" t="s">
        <v>117</v>
      </c>
      <c r="P84" s="90">
        <f>VLOOKUP(B83,CharBaseStats,4,false)
*((IF(B84="4*",0.082566,0.087394)*(B86-1)+1)+IF(B84="4*",0.7470687,0.8573469)*IFS(B87="A6",4.7894737,B87="A5",4.078947,B87="A4",3.368421,B87="A3",2.6578,B87="A2",1.7105263,B87="A1",1,B87="A0",0))</f>
        <v>9569.49031</v>
      </c>
      <c r="Q84" s="5" t="s">
        <v>116</v>
      </c>
      <c r="R84" s="91">
        <f>IF(B88="Pyro DMG%",IF(B84="4*",0.06,0.072)*IFS(B87="A6",4,B87="A5",3,OR(B87="A4",B87="A3"),2,B87="A2",1,OR(B87="A1",B87="A0"),0),0)
+IF(OR(AND(E88="Primary Ele DMG%",B85="Pyro"),E88="All Ele DMG%"),E89*E90,0)+IF(OR(AND(E91="Primary Ele DMG%",B85="Pyro"),E91="All Ele DMG%"),E92*E93,0)+IF(OR(AND(E94="Primary Ele DMG%",B85="Pyro"),E94="All Ele DMG%"),E95*E96,0)
+IF(H85="Pyro DMG%",H86,0)+IF(H88="Pyro DMG%",H89*H90,0)+IF(H91="Pyro DMG%",H92*H93,0)+IF(H96="Pyro DMG%",0.466,0)
+M84+M90</f>
        <v>0</v>
      </c>
    </row>
    <row r="85">
      <c r="A85" s="85" t="s">
        <v>118</v>
      </c>
      <c r="B85" s="92" t="str">
        <f>VLOOKUP(B83,CharBaseStats,2,false)</f>
        <v>Electro</v>
      </c>
      <c r="C85" s="5"/>
      <c r="D85" s="85" t="s">
        <v>119</v>
      </c>
      <c r="E85" s="86">
        <f>VLOOKUP(E83,WeaponStats,2,false)</f>
        <v>565</v>
      </c>
      <c r="G85" s="85" t="s">
        <v>120</v>
      </c>
      <c r="H85" s="92" t="str">
        <f>VLOOKUP(H84,ArtifactSetStats,2,false)</f>
        <v>ER</v>
      </c>
      <c r="J85" s="71" t="s">
        <v>10</v>
      </c>
      <c r="K85" s="93">
        <v>0.0</v>
      </c>
      <c r="L85" s="5" t="s">
        <v>121</v>
      </c>
      <c r="M85" s="89">
        <v>0.0</v>
      </c>
      <c r="O85" s="71" t="s">
        <v>6</v>
      </c>
      <c r="P85" s="94">
        <f>IF(B88="HP%",IF(B84="4*",0.06,0.072)*IFS(B87="A6",4,B87="A5",3,OR(B87="A4",B87="A3"),2,B87="A2",1,OR(B87="A1",B87="A0"),0),0)
+IF(E86="HP%",E87,0)+IF(E88="HP%",E90*E89,0)+IF(E91="HP%",E93*E92,0)+IF(E94="HP%",E96*E95,0)
+IF(H85="HP%",H86,0)+IF(H88="HP%",H89*H90,0)+IF(H91="HP%",H92*H93,0)+IF(H95="HP%",0.466,0)+IF(H96="HP%",0.466,0)+IF(H97="HP%",0.466,0)+B33*0.0496
+K84</f>
        <v>0.0992</v>
      </c>
      <c r="Q85" s="5" t="s">
        <v>121</v>
      </c>
      <c r="R85" s="91">
        <f>IF(B88="Hydro DMG%",IF(B84="4*",0.06,0.072)*IFS(B87="A6",4,B87="A5",3,OR(B87="A4",B87="A3"),2,B87="A2",1,OR(B87="A1",B87="A0"),0),0)
+IF(OR(AND(E88="Primary Ele DMG%",B85="Hydro"),E88="All Ele DMG%"),E89*E90,0)+IF(OR(AND(E91="Primary Ele DMG%",B85="Hydro"),E91="All Ele DMG%"),E92*E93,0)+IF(OR(AND(E94="Primary Ele DMG%",B85="Hydro"),E94="All Ele DMG%"),E95*E96,0)
+IF(H85="Hydro DMG%",H86,0)+IF(H88="Hydro DMG%",H89*H90,0)+IF(H91="Hydro DMG%",H92*H93,0)+IF(H96="Hydro DMG%",0.466,0)
+M85+M90</f>
        <v>0</v>
      </c>
    </row>
    <row r="86">
      <c r="A86" s="85" t="s">
        <v>122</v>
      </c>
      <c r="B86" s="87">
        <v>90.0</v>
      </c>
      <c r="D86" s="85" t="s">
        <v>123</v>
      </c>
      <c r="E86" s="86" t="str">
        <f>VLOOKUP(E83,WeaponStats,3,false)</f>
        <v>ER</v>
      </c>
      <c r="G86" s="85" t="s">
        <v>124</v>
      </c>
      <c r="H86" s="95">
        <f>VLOOKUP(H84,ArtifactSetStats,3,false)</f>
        <v>0.2</v>
      </c>
      <c r="J86" s="71" t="s">
        <v>58</v>
      </c>
      <c r="K86" s="88">
        <v>0.0</v>
      </c>
      <c r="L86" s="5" t="s">
        <v>125</v>
      </c>
      <c r="M86" s="89">
        <v>0.0</v>
      </c>
      <c r="O86" s="71" t="s">
        <v>10</v>
      </c>
      <c r="P86" s="90">
        <f>4780+C33*253.94
+K85</f>
        <v>5287.88</v>
      </c>
      <c r="Q86" s="5" t="s">
        <v>125</v>
      </c>
      <c r="R86" s="91">
        <f>IF(B88="Electro DMG%",IF(B84="4*",0.06,0.072)*IFS(B87="A6",4,B87="A5",3,OR(B87="A4",B87="A3"),2,B87="A2",1,OR(B87="A1",B87="A0"),0),0)
+IF(OR(AND(E88="Primary Ele DMG%",B85="Electro"),E88="All Ele DMG%"),E89*E90,0)+IF(OR(AND(E91="Primary Ele DMG%",B85="Electro"),E91="All Ele DMG%"),E92*E93,0)+IF(OR(AND(E94="Primary Ele DMG%",B85="Electro"),E94="All Ele DMG%"),E95*E96,0)
+IF(H85="Electro DMG%",H86,0)+IF(H88="Electro DMG%",H89*H90,0)+IF(H91="Electro DMG%",H92*H93,0)+IF(H96="Electro DMG%",0.466,0)
+M86+M90</f>
        <v>0</v>
      </c>
    </row>
    <row r="87">
      <c r="A87" s="85" t="s">
        <v>126</v>
      </c>
      <c r="B87" s="87" t="s">
        <v>127</v>
      </c>
      <c r="D87" s="85" t="s">
        <v>128</v>
      </c>
      <c r="E87" s="96">
        <f>VLOOKUP(E83,WeaponStats,4,false)</f>
        <v>0.306</v>
      </c>
      <c r="G87" s="85" t="s">
        <v>129</v>
      </c>
      <c r="H87" s="87" t="s">
        <v>130</v>
      </c>
      <c r="J87" s="71" t="s">
        <v>59</v>
      </c>
      <c r="K87" s="93">
        <v>0.0</v>
      </c>
      <c r="L87" s="5" t="s">
        <v>131</v>
      </c>
      <c r="M87" s="89">
        <v>0.0</v>
      </c>
      <c r="O87" s="71" t="s">
        <v>132</v>
      </c>
      <c r="P87" s="90">
        <f>P84*(1+P85)+P86</f>
        <v>15806.66375</v>
      </c>
      <c r="Q87" s="5" t="s">
        <v>131</v>
      </c>
      <c r="R87" s="91">
        <f>IF(B88="Cryo DMG%",IF(B84="4*",0.06,0.072)*IFS(B87="A6",4,B87="A5",3,OR(B87="A4",B87="A3"),2,B87="A2",1,OR(B87="A1",B87="A0"),0),0)
+IF(OR(AND(E88="Primary Ele DMG%",B85="Cryo"),E88="All Ele DMG%"),E89*E90,0)+IF(OR(AND(E91="Primary Ele DMG%",B85="Cryo"),E91="All Ele DMG%"),E92*E93,0)+IF(OR(AND(E94="Primary Ele DMG%",B85="Cryo"),E94="All Ele DMG%"),E95*E96,0)
+IF(H85="Cryo DMG%",H86,0)+IF(H88="Cryo DMG%",H89*H90,0)+IF(H91="Cryo DMG%",H92*H93,0)+IF(H96="Cryo DMG%",0.466,0)
+M87+M90</f>
        <v>0</v>
      </c>
    </row>
    <row r="88">
      <c r="A88" s="85" t="s">
        <v>133</v>
      </c>
      <c r="B88" s="92" t="str">
        <f>VLOOKUP(B83,CharBaseStats,7,false)</f>
        <v>EM</v>
      </c>
      <c r="D88" s="85" t="s">
        <v>134</v>
      </c>
      <c r="E88" s="86" t="str">
        <f>VLOOKUP(E83,WeaponStats,5,false)</f>
        <v>All Ele DMG%</v>
      </c>
      <c r="G88" s="85" t="s">
        <v>135</v>
      </c>
      <c r="H88" s="96" t="str">
        <f>VLOOKUP(H87,ArtifactSetStats,2,false)</f>
        <v>EM</v>
      </c>
      <c r="J88" s="71" t="s">
        <v>60</v>
      </c>
      <c r="K88" s="88">
        <v>0.0</v>
      </c>
      <c r="L88" s="5" t="s">
        <v>136</v>
      </c>
      <c r="M88" s="89">
        <v>0.0</v>
      </c>
      <c r="O88" s="71" t="s">
        <v>137</v>
      </c>
      <c r="P88" s="90">
        <f>VLOOKUP(B83,CharBaseStats,5,false)
*((IF(B84="4*",0.082566,0.087394)*(B86-1)+1)+IF(B84="4*",0.7470687,0.8573469)*IFS(B87="A6",4.7894737,B87="A5",4.078947,B87="A4",3.368421,B87="A3",2.6578,B87="A2",1.7105263,B87="A1",1,B87="A0",0))
+E85</f>
        <v>796.5007952</v>
      </c>
      <c r="Q88" s="5" t="s">
        <v>136</v>
      </c>
      <c r="R88" s="91">
        <f>IF(B88="Anemo DMG%",IF(B84="4*",0.06,0.072)*IFS(B87="A6",4,B87="A5",3,OR(B87="A4",B87="A3"),2,B87="A2",1,OR(B87="A1",B87="A0"),0),0)
+IF(OR(AND(E88="Primary Ele DMG%",B85="Anemo"),E88="All Ele DMG%"),E89*E90,0)+IF(OR(AND(E91="Primary Ele DMG%",B85="Anemo"),E91="All Ele DMG%"),E92*E93,0)+IF(OR(AND(E94="Primary Ele DMG%",B85="Anemo"),E94="All Ele DMG%"),E95*E96,0)
+IF(H85="Anemo DMG%",H86,0)+IF(H88="Anemo DMG%",H89*H90,0)+IF(H91="Anemo DMG%",H92*H93,0)+IF(H96="Anemo DMG%",0.466,0)
+M88+M90</f>
        <v>0</v>
      </c>
    </row>
    <row r="89">
      <c r="A89" s="85" t="s">
        <v>138</v>
      </c>
      <c r="B89" s="87">
        <v>9.0</v>
      </c>
      <c r="D89" s="85" t="s">
        <v>139</v>
      </c>
      <c r="E89" s="97">
        <f>VLOOKUP(E83,WeaponStats,6,false)+(E84-1)*VLOOKUP(E83,WeaponStats,7,false)</f>
        <v>0.2</v>
      </c>
      <c r="G89" s="85" t="s">
        <v>140</v>
      </c>
      <c r="H89" s="95">
        <f>VLOOKUP(H87,ArtifactSetStats,3,false)</f>
        <v>80</v>
      </c>
      <c r="J89" s="71" t="s">
        <v>61</v>
      </c>
      <c r="K89" s="93">
        <v>0.0</v>
      </c>
      <c r="L89" s="5" t="s">
        <v>141</v>
      </c>
      <c r="M89" s="89">
        <v>0.0</v>
      </c>
      <c r="O89" s="71" t="s">
        <v>58</v>
      </c>
      <c r="P89" s="94">
        <f>IF(B88="ATK%",IF(B84="4*",0.06,0.072)*IFS(B87="A6",4,B87="A5",3,OR(B87="A4",B87="A3"),2,B87="A2",1,OR(B87="A1",B87="A0"),0),0)
+IF(E86="ATK%",E87,0)+IF(E88="ATK%",E90*E89,0)+IF(E91="ATK%",E93*E92,0)+IF(E94="ATK%",E96*E95,0)+E99
+IF(H85="ATK%",H86,0)+IF(H88="ATK%",H89*H90,0)+IF(H91="ATK%",H92*H93,0)+IF(H95="ATK%",0.466,0)+IF(H96="ATK%",0.466,0)+IF(H97="ATK%",0.466,0)+D33*0.0496
+K86</f>
        <v>0.0992</v>
      </c>
      <c r="Q89" s="5" t="s">
        <v>141</v>
      </c>
      <c r="R89" s="91">
        <f>IF(B88="Geo DMG%",IF(B84="4*",0.06,0.072)*IFS(B87="A6",4,B87="A5",3,OR(B87="A4",B87="A3"),2,B87="A2",1,OR(B87="A1",B87="A0"),0),0)
+IF(OR(AND(E88="Primary Ele DMG%",B85="Geo"),E88="All Ele DMG%"),E89*E90,0)+IF(OR(AND(E91="Primary Ele DMG%",B85="Geo"),E91="All Ele DMG%"),E92*E93,0)+IF(OR(AND(E94="Primary Ele DMG%",B85="Geo"),E94="All Ele DMG%"),E95*E96,0)
+IF(H85="Geo DMG%",H86,0)+IF(H88="Geo DMG%",H89*H90,0)+IF(H91="Geo DMG%",H92*H93,0)+IF(H96="Geo DMG%",0.466,0)
+M89+M90</f>
        <v>0</v>
      </c>
    </row>
    <row r="90">
      <c r="A90" s="85" t="s">
        <v>142</v>
      </c>
      <c r="B90" s="87">
        <v>9.0</v>
      </c>
      <c r="D90" s="85" t="s">
        <v>143</v>
      </c>
      <c r="E90" s="98">
        <v>0.0</v>
      </c>
      <c r="G90" s="71" t="s">
        <v>144</v>
      </c>
      <c r="H90" s="98">
        <v>1.0</v>
      </c>
      <c r="J90" s="71" t="s">
        <v>145</v>
      </c>
      <c r="K90" s="93">
        <v>0.0</v>
      </c>
      <c r="L90" s="5" t="s">
        <v>146</v>
      </c>
      <c r="M90" s="89">
        <v>0.0</v>
      </c>
      <c r="O90" s="71" t="s">
        <v>59</v>
      </c>
      <c r="P90" s="90">
        <f>E98
+311+E33*16.54
+K87</f>
        <v>344.08</v>
      </c>
      <c r="Q90" s="5" t="s">
        <v>147</v>
      </c>
      <c r="R90" s="91">
        <f>IF(OR(E88="NA DMG%",E88="NA/CA DMG%",E88="NA/CA/PA DMG%"),E90*E89,0)+IF(OR(E91="NA DMG%",E91="NA/CA DMG%",E91="NA/CA/PA DMG%"),E93*E92,0)+IF(OR(E94="NA DMG%",E94="NA/CA DMG%",E94="NA/CA/PA DMG%"),E96*E95,0)
+IF(OR(H88="NA DMG%",H88="NA/CA DMG%",H88="NA/CA/PA DMG%"),H89*H90,0)+IF(OR(H91="NA DMG%",H91="NA/CA DMG%",H91="NA/CA/PA DMG%"),H92*H93,0)
+M91</f>
        <v>0</v>
      </c>
    </row>
    <row r="91">
      <c r="A91" s="85" t="s">
        <v>148</v>
      </c>
      <c r="B91" s="87">
        <v>9.0</v>
      </c>
      <c r="D91" s="85" t="s">
        <v>149</v>
      </c>
      <c r="E91" s="92" t="str">
        <f>VLOOKUP(E83,WeaponStats,8,false)</f>
        <v/>
      </c>
      <c r="G91" s="85" t="s">
        <v>150</v>
      </c>
      <c r="H91" s="92" t="str">
        <f>VLOOKUP(H87,ArtifactSetStats,4,false)</f>
        <v/>
      </c>
      <c r="J91" s="71" t="s">
        <v>2</v>
      </c>
      <c r="K91" s="88">
        <v>0.0</v>
      </c>
      <c r="L91" s="5" t="s">
        <v>147</v>
      </c>
      <c r="M91" s="89">
        <v>0.0</v>
      </c>
      <c r="O91" s="71" t="s">
        <v>151</v>
      </c>
      <c r="P91" s="90">
        <f>P88*(1+P89)+P90</f>
        <v>1219.593674</v>
      </c>
      <c r="Q91" s="5" t="s">
        <v>152</v>
      </c>
      <c r="R91" s="91">
        <f>IF(OR(E88="CA DMG%",E88="NA/CA DMG%",E88="NA/CA/PA DMG%"),E90*E89,0)+IF(OR(E91="CA DMG%",E91="NA/CA DMG%",E91="NA/CA/PA DMG%"),E93*E92,0)+IF(OR(E94="CA DMG%",E94="NA/CA DMG%",E94="NA/CA/PA DMG%"),E96*E95,0)
+IF(OR(H88="CA DMG%",H88="NA/CA DMG%",H88="NA/CA/PA DMG%"),H89*H90,0)+IF(OR(H91="CA DMG%",H91="NA/CA DMG%",H91="NA/CA/PA DMG%"),H92*H93,0)
+M92</f>
        <v>0</v>
      </c>
    </row>
    <row r="92">
      <c r="A92" s="99" t="s">
        <v>153</v>
      </c>
      <c r="B92" s="22">
        <v>2.0</v>
      </c>
      <c r="D92" s="85" t="s">
        <v>154</v>
      </c>
      <c r="E92" s="100">
        <f>VLOOKUP(E83,WeaponStats,9,false)+(E84-1)*VLOOKUP(E83,WeaponStats,10,false)</f>
        <v>0</v>
      </c>
      <c r="G92" s="85" t="s">
        <v>155</v>
      </c>
      <c r="H92" s="92" t="str">
        <f>VLOOKUP(H87,ArtifactSetStats,5,false)</f>
        <v/>
      </c>
      <c r="J92" s="71" t="s">
        <v>3</v>
      </c>
      <c r="K92" s="88">
        <v>0.0</v>
      </c>
      <c r="L92" s="5" t="s">
        <v>152</v>
      </c>
      <c r="M92" s="89">
        <v>0.0</v>
      </c>
      <c r="O92" s="71" t="s">
        <v>156</v>
      </c>
      <c r="P92" s="90">
        <f>VLOOKUP(B83,CharBaseStats,6,false)
*((IF(B84="4*",0.082566,0.087394)*(B86-1)+1)+IF(B84="4*",0.7470687,0.8573469)*IFS(B87="A6",4.7894737,B87="A5",4.078947,B87="A4",3.368421,B87="A3",2.6578,B87="A2",1.7105263,B87="A1",1,B87="A0",0))</f>
        <v>573.292042</v>
      </c>
      <c r="Q92" s="5" t="s">
        <v>157</v>
      </c>
      <c r="R92" s="91">
        <f>IF(E88="NA/CA/PA DMG%",E90*E89,0)+IF(E91="NA/CA/PA DMG%",E93*E92,0)+IF(E94="NA/CA/PA DMG%",E96*E95,0)
+IF(H88="NA/CA/PA DMG%",H89*H90,0)+IF(H91="NA/CA/PA DMG%",H92*H93,0)
+M93</f>
        <v>0</v>
      </c>
    </row>
    <row r="93">
      <c r="A93" s="5"/>
      <c r="B93" s="101"/>
      <c r="D93" s="85" t="s">
        <v>158</v>
      </c>
      <c r="E93" s="102">
        <v>1.0</v>
      </c>
      <c r="G93" s="71" t="s">
        <v>159</v>
      </c>
      <c r="H93" s="98">
        <v>1.0</v>
      </c>
      <c r="J93" s="71" t="s">
        <v>5</v>
      </c>
      <c r="K93" s="88">
        <v>0.0</v>
      </c>
      <c r="L93" s="5" t="s">
        <v>157</v>
      </c>
      <c r="M93" s="89">
        <v>0.0</v>
      </c>
      <c r="O93" s="71" t="s">
        <v>60</v>
      </c>
      <c r="P93" s="94">
        <f>IF(B88="DEF%",IF(B84="4*",0.075,0.09)*IFS(B87="A6",4,B87="A5",3,OR(B87="A4",B87="A3"),2,B87="A2",1,OR(B87="A1",B87="A0"),0),0)
+IF(E86="DEF%",E87,0)+IF(E88="DEF%",E90*E89,0)+IF(E91="DEF%",E93*E92,0)+IF(E94="DEF%",E96*E95,0)
+IF(H85="DEF%",H86,0)+IF(H88="DEF%",H89*H90,0)+IF(H91="DEF%",H92*H93,0)+IF(H95="DEF%",0.583,0)+IF(H96="DEF%",0.583,0)+IF(H97="DEF%",0.583,0)+F33*0.062
+K88</f>
        <v>0.124</v>
      </c>
      <c r="Q93" s="5" t="s">
        <v>160</v>
      </c>
      <c r="R93" s="91">
        <f>IF(OR(E88="Skill DMG%",E88="Skill/Burst DMG%"),E90*E89,0)+IF(OR(E91="Skill DMG%",E91="Skill/Burst DMG%"),E93*E92,0)+IF(OR(E94="Skill DMG%",E94="Skill/Burst DMG%"),E96*E95,0)
+M94</f>
        <v>0</v>
      </c>
    </row>
    <row r="94">
      <c r="A94" s="5"/>
      <c r="B94" s="103"/>
      <c r="D94" s="85" t="s">
        <v>161</v>
      </c>
      <c r="E94" s="104" t="str">
        <f>VLOOKUP(E83,WeaponStats,11,false)</f>
        <v/>
      </c>
      <c r="G94" s="85" t="s">
        <v>162</v>
      </c>
      <c r="H94" s="95">
        <f>IF(H87="4ESF",0.25*P99,0)</f>
        <v>0</v>
      </c>
      <c r="J94" s="71" t="s">
        <v>163</v>
      </c>
      <c r="K94" s="88">
        <v>0.0</v>
      </c>
      <c r="L94" s="5" t="s">
        <v>160</v>
      </c>
      <c r="M94" s="89">
        <v>0.0</v>
      </c>
      <c r="O94" s="71" t="s">
        <v>61</v>
      </c>
      <c r="P94" s="90">
        <f>G33*19.68
+K89</f>
        <v>39.36</v>
      </c>
      <c r="Q94" s="5" t="s">
        <v>164</v>
      </c>
      <c r="R94" s="91">
        <f>IF(OR(E88="Burst DMG%",E88="Skill/Burst DMG%"),E90*E89,0)+IF(OR(E91="Burst DMG%",E91="Skill/Burst DMG%"),E93*E92,0)+IF(OR(E94="Burst DMG%",E94="Skill/Burst DMG%"),E96*E95,0)
+IF(H85="Burst DMG%",H86,0)+IF(H88="Burst DMG%",H89*H90,0)+IF(H91="Burst DMG%",H92*H93,0)+H94
+M95</f>
        <v>0</v>
      </c>
    </row>
    <row r="95">
      <c r="A95" s="5"/>
      <c r="B95" s="103"/>
      <c r="D95" s="85" t="s">
        <v>165</v>
      </c>
      <c r="E95" s="100">
        <f>VLOOKUP(E83,WeaponStats,12,false)+(E84-1)*VLOOKUP(E83,WeaponStats,13,false)</f>
        <v>0</v>
      </c>
      <c r="G95" s="85" t="s">
        <v>166</v>
      </c>
      <c r="H95" s="105" t="s">
        <v>5</v>
      </c>
      <c r="J95" s="81"/>
      <c r="K95" s="106"/>
      <c r="L95" s="5" t="s">
        <v>164</v>
      </c>
      <c r="M95" s="89">
        <f>0</f>
        <v>0</v>
      </c>
      <c r="O95" s="71" t="s">
        <v>167</v>
      </c>
      <c r="P95" s="90">
        <f>P92*(1+P93)+P94</f>
        <v>683.7402552</v>
      </c>
      <c r="Q95" s="5" t="s">
        <v>168</v>
      </c>
      <c r="R95" s="91">
        <f>IF(E88="Other DMG%",E90*E89,0)+IF(E91="Other DMG%",E93*E92,0)+IF(E94="Other DMG%",E96*E95,0)
+IF(H88="Other DMG%",H89*H90,0)+IF(H91="Other DMG%",H92*H93,0)
+M96</f>
        <v>0</v>
      </c>
    </row>
    <row r="96">
      <c r="A96" s="5"/>
      <c r="B96" s="103"/>
      <c r="D96" s="85" t="s">
        <v>169</v>
      </c>
      <c r="E96" s="107">
        <v>1.0</v>
      </c>
      <c r="F96" s="108"/>
      <c r="G96" s="71" t="s">
        <v>170</v>
      </c>
      <c r="H96" s="105" t="s">
        <v>4</v>
      </c>
      <c r="K96" s="109"/>
      <c r="L96" s="42" t="s">
        <v>168</v>
      </c>
      <c r="M96" s="110">
        <v>0.0</v>
      </c>
      <c r="O96" s="71" t="s">
        <v>4</v>
      </c>
      <c r="P96" s="90">
        <f>IF(B88="EM",IF(B84="4*",24,28.8)*IFS(B87="A6",4,B87="A5",3,OR(B87="A4",B87="A3"),2,B87="A2",1,OR(B87="A1",B87="A0"),0),0)
+IF(E86="EM",E87,0)+IF(E88="EM",E90*E89,0)+IF(E91="EM",E93*E92,0)+IF(E94="EM",E96*E95,0)
+IF(H85="EM",H86,0)+IF(H88="EM",H89*H90,0)+IF(H91="EM",H92*H93,0)+IF(H95="EM",187,0)+IF(H96="EM",187,0)+IF(H97="EM",187,0)+H33*19.82
+K90</f>
        <v>708.56</v>
      </c>
      <c r="Q96" s="111"/>
      <c r="R96" s="81"/>
    </row>
    <row r="97">
      <c r="A97" s="5"/>
      <c r="B97" s="103"/>
      <c r="D97" s="85" t="s">
        <v>171</v>
      </c>
      <c r="E97" s="112" t="b">
        <v>0</v>
      </c>
      <c r="G97" s="99" t="s">
        <v>172</v>
      </c>
      <c r="H97" s="113" t="s">
        <v>4</v>
      </c>
      <c r="O97" s="71" t="s">
        <v>2</v>
      </c>
      <c r="P97" s="114">
        <f>0.05
+IF(B88="CR",IF(B84="4*",0.04,0.048)*IFS(B87="A6",4,B87="A5",3,OR(B87="A4",B87="A3"),2,B87="A2",1,OR(B87="A1",B87="A0"),0),0)
+IF(E86="CR",E87,0)+IF(E88="CR",E90*E89,0)+IF(E91="CR",E93*E92,0)+IF(E94="CR",E96*E95,0)
+IF(H85="CR",H86,0)+IF(H88="CR",H89*H90,0)+IF(H91="CR",H92*H93,0)+IF(H97="CR",0.311,0)+I33*0.0331
+K91</f>
        <v>0.2486</v>
      </c>
      <c r="Q97" s="115"/>
    </row>
    <row r="98">
      <c r="A98" s="5"/>
      <c r="B98" s="103"/>
      <c r="D98" s="85" t="s">
        <v>173</v>
      </c>
      <c r="E98" s="100">
        <f>IF(E83="Primordial Jade Cutter",(0.012+(E84-1)*0.003)*(P84*(1+P85)+P86),0)
+IF(E83="Staff of Homa",(0.008+(E84-1)*0.002)*(P84*(1+P85)+P86),0)
+IF(AND(E83="Staff of Homa",E97),(0.01+(E84-1)*0.002)*(P84*(1+P85)+P86),0)</f>
        <v>0</v>
      </c>
      <c r="G98" s="14"/>
      <c r="H98" s="14"/>
      <c r="O98" s="71" t="s">
        <v>3</v>
      </c>
      <c r="P98" s="116">
        <f>0.5
+IF(B88="CD",IF(B84="4*",0.08,0.096)*IFS(B87="A6",4,B87="A5",3,OR(B87="A4",B87="A3"),2,B87="A2",1,OR(B87="A1",B87="A0"),0),0)
+IF(E86="CD",E87,0)+IF(E88="CD",E90*E89,0)+IF(E91="CD",E93*E92,0)+IF(E94="CD",E96*E95,0)
+IF(H97="CD",0.622,0)+J33*0.0662
+K92</f>
        <v>0.7648</v>
      </c>
    </row>
    <row r="99">
      <c r="A99" s="5"/>
      <c r="B99" s="103"/>
      <c r="D99" s="99" t="s">
        <v>174</v>
      </c>
      <c r="E99" s="117">
        <f>IF(E83="Engulfing Lightning",(0.28+(E84-1)*0.07)*(P99-1),0)</f>
        <v>0</v>
      </c>
      <c r="G99" s="14"/>
      <c r="H99" s="14"/>
      <c r="O99" s="71" t="s">
        <v>5</v>
      </c>
      <c r="P99" s="91">
        <f>1
+IF(B88="ER",IF(B84="4*",0.067,0.08)*IFS(B87="A6",4,B87="A5",3,OR(B87="A4",B87="A3"),2,B87="A2",1,OR(B87="A1",B87="A0"),0),0)
+IF(E86="ER",E87,0)+IF(E88="ER",E90*E89,0)+IF(E91="ER",E93*E92,0)+IF(E94="ER",E96*E95,0)
+IF(H85="ER",H86,0)+IF(H88="ER",H89*H90,0)+IF(H91="ER",H92*H93,0)+IF(H95="ER",0.518,0)+K33*0.0551
+K93</f>
        <v>2.575</v>
      </c>
    </row>
    <row r="100">
      <c r="A100" s="5"/>
      <c r="B100" s="103"/>
      <c r="G100" s="14"/>
      <c r="H100" s="14"/>
      <c r="O100" s="21" t="s">
        <v>163</v>
      </c>
      <c r="P100" s="118">
        <f>IF(B88="Healing Bonus",IF(B84="4*",0.04625,0.0555)*IFS(B87="A6",4,B87="A5",3,OR(B87="A4",B87="A3"),2,B87="A2",1,OR(B87="A1",B87="A0"),0),0)
+IF(E88="Healing Bonus",E90*E89,0)+IF(E91="Healing Bonus",E93*E92,0)+IF(E94="Healing Bonus",E96*E95,0)
+IF(H85="Healing Bonus",H86,0)+IF(H88="Healing Bonus",H89*H90,0)+IF(H91="Healing Bonus",H92*H93,0)+IF(H97="Healing Bonus",0.359,0)
+K94</f>
        <v>0</v>
      </c>
    </row>
    <row r="101">
      <c r="A101" s="119" t="s">
        <v>175</v>
      </c>
      <c r="B101" s="71"/>
      <c r="C101" s="120"/>
      <c r="D101" s="120"/>
      <c r="E101" s="120"/>
      <c r="F101" s="120"/>
      <c r="G101" s="5"/>
    </row>
    <row r="102">
      <c r="A102" s="85" t="str">
        <f>OFFSET(Stats!327:327,MATCH(B83,CharMVsCharNames,0)-1,0)</f>
        <v>Lisa</v>
      </c>
      <c r="B102" s="121" t="s">
        <v>176</v>
      </c>
      <c r="C102" s="121" t="s">
        <v>177</v>
      </c>
      <c r="D102" s="121" t="s">
        <v>178</v>
      </c>
      <c r="E102" s="121" t="s">
        <v>179</v>
      </c>
      <c r="F102" s="121" t="s">
        <v>180</v>
      </c>
      <c r="G102" s="121" t="s">
        <v>181</v>
      </c>
      <c r="H102" s="121" t="s">
        <v>182</v>
      </c>
      <c r="I102" s="121" t="s">
        <v>183</v>
      </c>
      <c r="J102" s="121"/>
      <c r="K102" s="121"/>
      <c r="L102" s="121"/>
      <c r="M102" s="121"/>
      <c r="N102" s="121"/>
      <c r="O102" s="121"/>
      <c r="P102" s="121"/>
      <c r="Q102" s="122" t="s">
        <v>184</v>
      </c>
      <c r="R102" s="122" t="s">
        <v>185</v>
      </c>
      <c r="S102" s="122" t="s">
        <v>186</v>
      </c>
      <c r="T102" s="122" t="s">
        <v>187</v>
      </c>
      <c r="U102" s="122" t="s">
        <v>188</v>
      </c>
      <c r="V102" s="122" t="s">
        <v>189</v>
      </c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 t="s">
        <v>190</v>
      </c>
      <c r="AH102" s="122" t="s">
        <v>191</v>
      </c>
      <c r="AI102" s="122" t="s">
        <v>192</v>
      </c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3"/>
    </row>
    <row r="103">
      <c r="A103" s="99"/>
      <c r="B103" s="124">
        <f t="array" ref="B103">IF(ISBLANK(B102),"",INDEX(CharMVsBase,MATCH($B$83,CharMVsCharNames,0)+2,CELL("col",B102))
*HLOOKUP(INDEX(CharMVsBase,MATCH($B$83,CharMVsCharNames,0)+1,CELL("col",B102)),CharMVsScaling,$B$89+1,false))</f>
        <v>0.6732</v>
      </c>
      <c r="C103" s="124">
        <f t="array" ref="C103">IF(ISBLANK(C102),"",INDEX(CharMVsBase,MATCH($B$83,CharMVsCharNames,0)+2,CELL("col",C102))
*HLOOKUP(INDEX(CharMVsBase,MATCH($B$83,CharMVsCharNames,0)+1,CELL("col",C102)),CharMVsScaling,$B$89+1,false))</f>
        <v>0.61064</v>
      </c>
      <c r="D103" s="124">
        <f t="array" ref="D103">IF(ISBLANK(D102),"",INDEX(CharMVsBase,MATCH($B$83,CharMVsCharNames,0)+2,CELL("col",D102))
*HLOOKUP(INDEX(CharMVsBase,MATCH($B$83,CharMVsCharNames,0)+1,CELL("col",D102)),CharMVsScaling,$B$89+1,false))</f>
        <v>0.7276</v>
      </c>
      <c r="E103" s="124">
        <f t="array" ref="E103">IF(ISBLANK(E102),"",INDEX(CharMVsBase,MATCH($B$83,CharMVsCharNames,0)+2,CELL("col",E102))
*HLOOKUP(INDEX(CharMVsBase,MATCH($B$83,CharMVsCharNames,0)+1,CELL("col",E102)),CharMVsScaling,$B$89+1,false))</f>
        <v>0.93432</v>
      </c>
      <c r="F103" s="124">
        <f t="array" ref="F103">IF(ISBLANK(F102),"",INDEX(CharMVsBase,MATCH($B$83,CharMVsCharNames,0)+2,CELL("col",F102))
*HLOOKUP(INDEX(CharMVsBase,MATCH($B$83,CharMVsCharNames,0)+1,CELL("col",F102)),CharMVsScaling,$B$89+1,false))</f>
        <v>3.01104</v>
      </c>
      <c r="G103" s="124">
        <f t="array" ref="G103">IF(ISBLANK(G102),"",INDEX(CharMVsBase,MATCH($B$83,CharMVsCharNames,0)+2,CELL("col",G102))
*HLOOKUP(INDEX(CharMVsBase,MATCH($B$83,CharMVsCharNames,0)+1,CELL("col",G102)),CharMVsScaling,$B$89+1,false))</f>
        <v>1.0439671</v>
      </c>
      <c r="H103" s="124">
        <f t="array" ref="H103">IF(ISBLANK(H102),"",INDEX(CharMVsBase,MATCH($B$83,CharMVsCharNames,0)+2,CELL("col",H102))
*HLOOKUP(INDEX(CharMVsBase,MATCH($B$83,CharMVsCharNames,0)+1,CELL("col",H102)),CharMVsScaling,$B$89+1,false))</f>
        <v>2.0879342</v>
      </c>
      <c r="I103" s="124">
        <f t="array" ref="I103">IF(ISBLANK(I102),"",INDEX(CharMVsBase,MATCH($B$83,CharMVsCharNames,0)+2,CELL("col",I102))
*HLOOKUP(INDEX(CharMVsBase,MATCH($B$83,CharMVsCharNames,0)+1,CELL("col",I102)),CharMVsScaling,$B$89+1,false))</f>
        <v>2.6100096</v>
      </c>
      <c r="J103" s="124" t="str">
        <f t="array" ref="J103">IF(ISBLANK(J102),"",INDEX(CharMVsBase,MATCH($B$83,CharMVsCharNames,0)+2,CELL("col",J102))
*HLOOKUP(INDEX(CharMVsBase,MATCH($B$83,CharMVsCharNames,0)+1,CELL("col",J102)),CharMVsScaling,$B$89+1,false))</f>
        <v/>
      </c>
      <c r="K103" s="124" t="str">
        <f t="array" ref="K103">IF(ISBLANK(K102),"",INDEX(CharMVsBase,MATCH($B$83,CharMVsCharNames,0)+2,CELL("col",K102))
*HLOOKUP(INDEX(CharMVsBase,MATCH($B$83,CharMVsCharNames,0)+1,CELL("col",K102)),CharMVsScaling,$B$89+1,false))</f>
        <v/>
      </c>
      <c r="L103" s="124" t="str">
        <f t="array" ref="L103">IF(ISBLANK(L102),"",INDEX(CharMVsBase,MATCH($B$83,CharMVsCharNames,0)+2,CELL("col",L102))
*HLOOKUP(INDEX(CharMVsBase,MATCH($B$83,CharMVsCharNames,0)+1,CELL("col",L102)),CharMVsScaling,$B$89+1,false))</f>
        <v/>
      </c>
      <c r="M103" s="124" t="str">
        <f t="array" ref="M103">IF(ISBLANK(M102),"",INDEX(CharMVsBase,MATCH($B$83,CharMVsCharNames,0)+2,CELL("col",M102))
*HLOOKUP(INDEX(CharMVsBase,MATCH($B$83,CharMVsCharNames,0)+1,CELL("col",M102)),CharMVsScaling,$B$89+1,false))</f>
        <v/>
      </c>
      <c r="N103" s="124" t="str">
        <f t="array" ref="N103">IF(ISBLANK(N102),"",INDEX(CharMVsBase,MATCH($B$83,CharMVsCharNames,0)+2,CELL("col",N102))
*HLOOKUP(INDEX(CharMVsBase,MATCH($B$83,CharMVsCharNames,0)+1,CELL("col",N102)),CharMVsScaling,$B$89+1,false))</f>
        <v/>
      </c>
      <c r="O103" s="124" t="str">
        <f t="array" ref="O103">IF(ISBLANK(O102),"",INDEX(CharMVsBase,MATCH($B$83,CharMVsCharNames,0)+2,CELL("col",O102))
*HLOOKUP(INDEX(CharMVsBase,MATCH($B$83,CharMVsCharNames,0)+1,CELL("col",O102)),CharMVsScaling,$B$89+1,false))</f>
        <v/>
      </c>
      <c r="P103" s="124" t="str">
        <f t="array" ref="P103">IF(ISBLANK(P102),"",INDEX(CharMVsBase,MATCH($B$83,CharMVsCharNames,0)+2,CELL("col",P102))
*HLOOKUP(INDEX(CharMVsBase,MATCH($B$83,CharMVsCharNames,0)+1,CELL("col",P102)),CharMVsScaling,$B$89+1,false))</f>
        <v/>
      </c>
      <c r="Q103" s="124">
        <f t="array" ref="Q103">IF(ISBLANK(Q102),"",INDEX(CharMVsBase,MATCH($B$83,CharMVsCharNames,0)+2,CELL("col",Q102))
*HLOOKUP(INDEX(CharMVsBase,MATCH($B$83,CharMVsCharNames,0)+1,CELL("col",Q102)),CharMVsScaling,$B$90+1,false))</f>
        <v>1.36</v>
      </c>
      <c r="R103" s="124">
        <f t="array" ref="R103">IF(ISBLANK(R102),"",INDEX(CharMVsBase,MATCH($B$83,CharMVsCharNames,0)+2,CELL("col",R102))
*HLOOKUP(INDEX(CharMVsBase,MATCH($B$83,CharMVsCharNames,0)+1,CELL("col",R102)),CharMVsScaling,$B$90+1,false))</f>
        <v>5.44</v>
      </c>
      <c r="S103" s="124">
        <f t="array" ref="S103">IF(ISBLANK(S102),"",INDEX(CharMVsBase,MATCH($B$83,CharMVsCharNames,0)+2,CELL("col",S102))
*HLOOKUP(INDEX(CharMVsBase,MATCH($B$83,CharMVsCharNames,0)+1,CELL("col",S102)),CharMVsScaling,$B$90+1,false))</f>
        <v>6.256</v>
      </c>
      <c r="T103" s="124">
        <f t="array" ref="T103">IF(ISBLANK(T102),"",INDEX(CharMVsBase,MATCH($B$83,CharMVsCharNames,0)+2,CELL("col",T102))
*HLOOKUP(INDEX(CharMVsBase,MATCH($B$83,CharMVsCharNames,0)+1,CELL("col",T102)),CharMVsScaling,$B$90+1,false))</f>
        <v>7.208</v>
      </c>
      <c r="U103" s="124">
        <f t="array" ref="U103">IF(ISBLANK(U102),"",INDEX(CharMVsBase,MATCH($B$83,CharMVsCharNames,0)+2,CELL("col",U102))
*HLOOKUP(INDEX(CharMVsBase,MATCH($B$83,CharMVsCharNames,0)+1,CELL("col",U102)),CharMVsScaling,$B$90+1,false))</f>
        <v>8.2824</v>
      </c>
      <c r="V103" s="124">
        <f t="array" ref="V103">IF(ISBLANK(V102),"",INDEX(CharMVsBase,MATCH($B$83,CharMVsCharNames,0)+2,CELL("col",V102))
*HLOOKUP(INDEX(CharMVsBase,MATCH($B$83,CharMVsCharNames,0)+1,CELL("col",V102)),CharMVsScaling,$B$90+1,false))</f>
        <v>0.25</v>
      </c>
      <c r="W103" s="124" t="str">
        <f t="array" ref="W103">IF(ISBLANK(W102),"",INDEX(CharMVsBase,MATCH($B$83,CharMVsCharNames,0)+2,CELL("col",W102))
*HLOOKUP(INDEX(CharMVsBase,MATCH($B$83,CharMVsCharNames,0)+1,CELL("col",W102)),CharMVsScaling,$B$90+1,false))</f>
        <v/>
      </c>
      <c r="X103" s="124" t="str">
        <f t="array" ref="X103">IF(ISBLANK(X102),"",INDEX(CharMVsBase,MATCH($B$83,CharMVsCharNames,0)+2,CELL("col",X102))
*HLOOKUP(INDEX(CharMVsBase,MATCH($B$83,CharMVsCharNames,0)+1,CELL("col",X102)),CharMVsScaling,$B$90+1,false))</f>
        <v/>
      </c>
      <c r="Y103" s="124" t="str">
        <f t="array" ref="Y103">IF(ISBLANK(Y102),"",INDEX(CharMVsBase,MATCH($B$83,CharMVsCharNames,0)+2,CELL("col",Y102))
*HLOOKUP(INDEX(CharMVsBase,MATCH($B$83,CharMVsCharNames,0)+1,CELL("col",Y102)),CharMVsScaling,$B$90+1,false))</f>
        <v/>
      </c>
      <c r="Z103" s="124" t="str">
        <f t="array" ref="Z103">IF(ISBLANK(Z102),"",INDEX(CharMVsBase,MATCH($B$83,CharMVsCharNames,0)+2,CELL("col",Z102))
*HLOOKUP(INDEX(CharMVsBase,MATCH($B$83,CharMVsCharNames,0)+1,CELL("col",Z102)),CharMVsScaling,$B$90+1,false))</f>
        <v/>
      </c>
      <c r="AA103" s="124" t="str">
        <f t="array" ref="AA103">IF(ISBLANK(AA102),"",INDEX(CharMVsBase,MATCH($B$83,CharMVsCharNames,0)+2,CELL("col",AA102))
*HLOOKUP(INDEX(CharMVsBase,MATCH($B$83,CharMVsCharNames,0)+1,CELL("col",AA102)),CharMVsScaling,$B$90+1,false))</f>
        <v/>
      </c>
      <c r="AB103" s="124" t="str">
        <f t="array" ref="AB103">IF(ISBLANK(AB102),"",INDEX(CharMVsBase,MATCH($B$83,CharMVsCharNames,0)+2,CELL("col",AB102))
*HLOOKUP(INDEX(CharMVsBase,MATCH($B$83,CharMVsCharNames,0)+1,CELL("col",AB102)),CharMVsScaling,$B$90+1,false))</f>
        <v/>
      </c>
      <c r="AC103" s="124" t="str">
        <f t="array" ref="AC103">IF(ISBLANK(AC102),"",INDEX(CharMVsBase,MATCH($B$83,CharMVsCharNames,0)+2,CELL("col",AC102))
*HLOOKUP(INDEX(CharMVsBase,MATCH($B$83,CharMVsCharNames,0)+1,CELL("col",AC102)),CharMVsScaling,$B$90+1,false))</f>
        <v/>
      </c>
      <c r="AD103" s="124" t="str">
        <f t="array" ref="AD103">IF(ISBLANK(AD102),"",INDEX(CharMVsBase,MATCH($B$83,CharMVsCharNames,0)+2,CELL("col",AD102))
*HLOOKUP(INDEX(CharMVsBase,MATCH($B$83,CharMVsCharNames,0)+1,CELL("col",AD102)),CharMVsScaling,$B$90+1,false))</f>
        <v/>
      </c>
      <c r="AE103" s="124" t="str">
        <f t="array" ref="AE103">IF(ISBLANK(AE102),"",INDEX(CharMVsBase,MATCH($B$83,CharMVsCharNames,0)+2,CELL("col",AE102))
*HLOOKUP(INDEX(CharMVsBase,MATCH($B$83,CharMVsCharNames,0)+1,CELL("col",AE102)),CharMVsScaling,$B$90+1,false))</f>
        <v/>
      </c>
      <c r="AF103" s="124" t="str">
        <f t="array" ref="AF103">IF(ISBLANK(AF102),"",INDEX(CharMVsBase,MATCH($B$83,CharMVsCharNames,0)+2,CELL("col",AF102))
*HLOOKUP(INDEX(CharMVsBase,MATCH($B$83,CharMVsCharNames,0)+1,CELL("col",AF102)),CharMVsScaling,$B$90+1,false))</f>
        <v/>
      </c>
      <c r="AG103" s="124">
        <f t="array" ref="AG103">IF(ISBLANK(AG102),"",INDEX(CharMVsBase,MATCH($B$83,CharMVsCharNames,0)+2,CELL("col",AG102))
*HLOOKUP(INDEX(CharMVsBase,MATCH($B$83,CharMVsCharNames,0)+1,CELL("col",AG102)),CharMVsScaling,$B$91+1,false))</f>
        <v>0.1</v>
      </c>
      <c r="AH103" s="124">
        <f t="array" ref="AH103">IF(ISBLANK(AH102),"",INDEX(CharMVsBase,MATCH($B$83,CharMVsCharNames,0)+2,CELL("col",AH102))
*HLOOKUP(INDEX(CharMVsBase,MATCH($B$83,CharMVsCharNames,0)+1,CELL("col",AH102)),CharMVsScaling,$B$91+1,false))</f>
        <v>0.62152</v>
      </c>
      <c r="AI103" s="124">
        <f t="array" ref="AI103">IF(ISBLANK(AI102),"",INDEX(CharMVsBase,MATCH($B$83,CharMVsCharNames,0)+2,CELL("col",AI102))
*HLOOKUP(INDEX(CharMVsBase,MATCH($B$83,CharMVsCharNames,0)+1,CELL("col",AI102)),CharMVsScaling,$B$91+1,false))</f>
        <v>-0.15</v>
      </c>
      <c r="AJ103" s="124" t="str">
        <f t="array" ref="AJ103">IF(ISBLANK(AJ102),"",INDEX(CharMVsBase,MATCH($B$83,CharMVsCharNames,0)+2,CELL("col",AJ102))
*HLOOKUP(INDEX(CharMVsBase,MATCH($B$83,CharMVsCharNames,0)+1,CELL("col",AJ102)),CharMVsScaling,$B$91+1,false))</f>
        <v/>
      </c>
      <c r="AK103" s="124" t="str">
        <f t="array" ref="AK103">IF(ISBLANK(AK102),"",INDEX(CharMVsBase,MATCH($B$83,CharMVsCharNames,0)+2,CELL("col",AK102))
*HLOOKUP(INDEX(CharMVsBase,MATCH($B$83,CharMVsCharNames,0)+1,CELL("col",AK102)),CharMVsScaling,$B$91+1,false))</f>
        <v/>
      </c>
      <c r="AL103" s="124" t="str">
        <f t="array" ref="AL103">IF(ISBLANK(AL102),"",INDEX(CharMVsBase,MATCH($B$83,CharMVsCharNames,0)+2,CELL("col",AL102))
*HLOOKUP(INDEX(CharMVsBase,MATCH($B$83,CharMVsCharNames,0)+1,CELL("col",AL102)),CharMVsScaling,$B$91+1,false))</f>
        <v/>
      </c>
      <c r="AM103" s="124" t="str">
        <f t="array" ref="AM103">IF(ISBLANK(AM102),"",INDEX(CharMVsBase,MATCH($B$83,CharMVsCharNames,0)+2,CELL("col",AM102))
*HLOOKUP(INDEX(CharMVsBase,MATCH($B$83,CharMVsCharNames,0)+1,CELL("col",AM102)),CharMVsScaling,$B$91+1,false))</f>
        <v/>
      </c>
      <c r="AN103" s="124" t="str">
        <f t="array" ref="AN103">IF(ISBLANK(AN102),"",INDEX(CharMVsBase,MATCH($B$83,CharMVsCharNames,0)+2,CELL("col",AN102))
*HLOOKUP(INDEX(CharMVsBase,MATCH($B$83,CharMVsCharNames,0)+1,CELL("col",AN102)),CharMVsScaling,$B$91+1,false))</f>
        <v/>
      </c>
      <c r="AO103" s="124" t="str">
        <f t="array" ref="AO103">IF(ISBLANK(AO102),"",INDEX(CharMVsBase,MATCH($B$83,CharMVsCharNames,0)+2,CELL("col",AO102))
*HLOOKUP(INDEX(CharMVsBase,MATCH($B$83,CharMVsCharNames,0)+1,CELL("col",AO102)),CharMVsScaling,$B$91+1,false))</f>
        <v/>
      </c>
      <c r="AP103" s="124" t="str">
        <f t="array" ref="AP103">IF(ISBLANK(AP102),"",INDEX(CharMVsBase,MATCH($B$83,CharMVsCharNames,0)+2,CELL("col",AP102))
*HLOOKUP(INDEX(CharMVsBase,MATCH($B$83,CharMVsCharNames,0)+1,CELL("col",AP102)),CharMVsScaling,$B$91+1,false))</f>
        <v/>
      </c>
      <c r="AQ103" s="124" t="str">
        <f t="array" ref="AQ103">IF(ISBLANK(AQ102),"",INDEX(CharMVsBase,MATCH($B$83,CharMVsCharNames,0)+2,CELL("col",AQ102))
*HLOOKUP(INDEX(CharMVsBase,MATCH($B$83,CharMVsCharNames,0)+1,CELL("col",AQ102)),CharMVsScaling,$B$91+1,false))</f>
        <v/>
      </c>
      <c r="AR103" s="124" t="str">
        <f t="array" ref="AR103">IF(ISBLANK(AR102),"",INDEX(CharMVsBase,MATCH($B$83,CharMVsCharNames,0)+2,CELL("col",AR102))
*HLOOKUP(INDEX(CharMVsBase,MATCH($B$83,CharMVsCharNames,0)+1,CELL("col",AR102)),CharMVsScaling,$B$91+1,false))</f>
        <v/>
      </c>
      <c r="AS103" s="124" t="str">
        <f t="array" ref="AS103">IF(ISBLANK(AS102),"",INDEX(CharMVsBase,MATCH($B$83,CharMVsCharNames,0)+2,CELL("col",AS102))
*HLOOKUP(INDEX(CharMVsBase,MATCH($B$83,CharMVsCharNames,0)+1,CELL("col",AS102)),CharMVsScaling,$B$91+1,false))</f>
        <v/>
      </c>
      <c r="AT103" s="124" t="str">
        <f t="array" ref="AT103">IF(ISBLANK(AT102),"",INDEX(CharMVsBase,MATCH($B$83,CharMVsCharNames,0)+2,CELL("col",AT102))
*HLOOKUP(INDEX(CharMVsBase,MATCH($B$83,CharMVsCharNames,0)+1,CELL("col",AT102)),CharMVsScaling,$B$91+1,false))</f>
        <v/>
      </c>
      <c r="AU103" s="117" t="str">
        <f t="array" ref="AU103">IF(ISBLANK(AU102),"",INDEX(CharMVsBase,MATCH($B$83,CharMVsCharNames,0)+2,CELL("col",AU102))
*HLOOKUP(INDEX(CharMVsBase,MATCH($B$83,CharMVsCharNames,0)+1,CELL("col",AU102)),CharMVsScaling,$B$91+1,false))</f>
        <v/>
      </c>
    </row>
    <row r="105">
      <c r="A105" s="19" t="s">
        <v>24</v>
      </c>
      <c r="B105" s="23" t="s">
        <v>193</v>
      </c>
      <c r="C105" s="23" t="s">
        <v>194</v>
      </c>
      <c r="D105" s="23" t="s">
        <v>195</v>
      </c>
      <c r="E105" s="23" t="s">
        <v>196</v>
      </c>
      <c r="F105" s="23" t="s">
        <v>197</v>
      </c>
      <c r="G105" s="23" t="s">
        <v>198</v>
      </c>
      <c r="H105" s="125" t="s">
        <v>199</v>
      </c>
      <c r="I105" s="125" t="s">
        <v>200</v>
      </c>
      <c r="J105" s="125" t="s">
        <v>201</v>
      </c>
      <c r="K105" s="125" t="s">
        <v>202</v>
      </c>
      <c r="L105" s="125" t="s">
        <v>203</v>
      </c>
      <c r="M105" s="125" t="s">
        <v>204</v>
      </c>
      <c r="N105" s="125" t="s">
        <v>205</v>
      </c>
      <c r="O105" s="125" t="s">
        <v>206</v>
      </c>
      <c r="P105" s="125" t="s">
        <v>207</v>
      </c>
      <c r="Q105" s="125" t="s">
        <v>208</v>
      </c>
      <c r="R105" s="23" t="s">
        <v>209</v>
      </c>
      <c r="S105" s="23" t="s">
        <v>210</v>
      </c>
      <c r="T105" s="23" t="s">
        <v>211</v>
      </c>
      <c r="U105" s="23" t="s">
        <v>212</v>
      </c>
      <c r="V105" s="23" t="s">
        <v>213</v>
      </c>
      <c r="W105" s="25" t="s">
        <v>214</v>
      </c>
    </row>
    <row r="106">
      <c r="A106" s="50" t="s">
        <v>215</v>
      </c>
      <c r="B106" s="126" t="s">
        <v>184</v>
      </c>
      <c r="C106" s="127">
        <v>1.0</v>
      </c>
      <c r="D106" s="128">
        <f t="shared" ref="D106:D110" si="22">HLOOKUP(B106,A$102:AU$103,2,false)
*C106</f>
        <v>1.36</v>
      </c>
      <c r="E106" s="129" t="str">
        <f t="array" ref="E106">INDEX(CharMVsBase,MATCH(B$83,CharMVsCharNames,0)+3,MATCH(B106,B$102:AU$102,0)+1)</f>
        <v>ATK</v>
      </c>
      <c r="F106" s="126" t="s">
        <v>86</v>
      </c>
      <c r="G106" s="129" t="str">
        <f t="array" ref="G106">INDEX(CharMVsBase,MATCH(B$83,CharMVsCharNames,0)+4,MATCH(B106,B$102:AU$102,0)+1)</f>
        <v>Skill DMG%</v>
      </c>
      <c r="H106" s="88">
        <v>0.2</v>
      </c>
      <c r="I106" s="130">
        <v>0.0</v>
      </c>
      <c r="J106" s="130">
        <v>0.0</v>
      </c>
      <c r="K106" s="88">
        <v>0.0</v>
      </c>
      <c r="L106" s="88">
        <v>0.0</v>
      </c>
      <c r="M106" s="88">
        <v>0.0</v>
      </c>
      <c r="N106" s="88">
        <v>0.0</v>
      </c>
      <c r="O106" s="88">
        <v>0.0</v>
      </c>
      <c r="P106" s="88">
        <v>0.0</v>
      </c>
      <c r="Q106" s="88">
        <v>0.0</v>
      </c>
      <c r="R106" s="90">
        <f t="shared" ref="R106:R110" si="23">D106
*(IFS(E106="ATK",(P$88*(1+P$89+H106)+P$90+I106),E106="DEF",(P$92*(1+P$93+H106)+P$94+I106),E106="HP",(P$84*(1+P$85+H106)+P$86+I106),TRUE,1)
*(1+MEDIAN(0,1,(P$97+L106))*(P$98+M106))
*(1+VLOOKUP(CONCATENATE(F106," DMG%"),Q$83:R$89,2,false)+IF(G106="",0,VLOOKUP(G106,Q$90:R$94,2,false))+R$95+N106)
*IF((VLOOKUP(F106,A$57:B$63,2,false)+O106)&lt;0,1-(VLOOKUP(F106,A$57:B$63,2,false)+O106)/2,1-(VLOOKUP(F106,A$57:B$63,2,false)+O106))
*((B$86+100)/((1+P106)*(1+Q106)*(B$56+100)+B$86+100)))</f>
        <v>978.5778493</v>
      </c>
      <c r="S106" s="131">
        <v>0.0</v>
      </c>
      <c r="T106" s="126">
        <v>1.5</v>
      </c>
      <c r="U106" s="132">
        <f t="shared" ref="U106:U112" si="24">((1-S106)*R106
+S106*R106
*T106
*(1+(2.78*(P$96+J106)/(P$96+J106+1400))+K106+IF(H$87="4CW",0.15,0)))</f>
        <v>978.5778493</v>
      </c>
      <c r="V106" s="126">
        <v>1.0</v>
      </c>
      <c r="W106" s="133">
        <f t="shared" ref="W106:W117" si="25">U106*V106</f>
        <v>978.5778493</v>
      </c>
      <c r="X106" s="5" t="s">
        <v>216</v>
      </c>
    </row>
    <row r="107">
      <c r="A107" s="50" t="s">
        <v>215</v>
      </c>
      <c r="B107" s="126" t="s">
        <v>190</v>
      </c>
      <c r="C107" s="127">
        <v>1.0</v>
      </c>
      <c r="D107" s="128">
        <f t="shared" si="22"/>
        <v>0.1</v>
      </c>
      <c r="E107" s="129" t="str">
        <f t="array" ref="E107">INDEX(CharMVsBase,MATCH(B$83,CharMVsCharNames,0)+3,MATCH(B107,B$102:AU$102,0)+1)</f>
        <v>ATK</v>
      </c>
      <c r="F107" s="126" t="s">
        <v>86</v>
      </c>
      <c r="G107" s="129" t="str">
        <f t="array" ref="G107">INDEX(CharMVsBase,MATCH(B$83,CharMVsCharNames,0)+4,MATCH(B107,B$102:AU$102,0)+1)</f>
        <v>Burst DMG%</v>
      </c>
      <c r="H107" s="88">
        <v>0.2</v>
      </c>
      <c r="I107" s="134">
        <f t="shared" ref="I107:I110" si="26">$B$78</f>
        <v>998.1146284</v>
      </c>
      <c r="J107" s="130">
        <v>0.0</v>
      </c>
      <c r="K107" s="88">
        <v>0.0</v>
      </c>
      <c r="L107" s="88">
        <v>0.0</v>
      </c>
      <c r="M107" s="88">
        <v>0.0</v>
      </c>
      <c r="N107" s="88">
        <v>0.2</v>
      </c>
      <c r="O107" s="88">
        <v>0.0</v>
      </c>
      <c r="P107" s="88">
        <v>0.0</v>
      </c>
      <c r="Q107" s="88">
        <v>0.0</v>
      </c>
      <c r="R107" s="90">
        <f t="shared" si="23"/>
        <v>148.8461539</v>
      </c>
      <c r="S107" s="131">
        <v>0.0</v>
      </c>
      <c r="T107" s="126">
        <v>1.5</v>
      </c>
      <c r="U107" s="132">
        <f t="shared" si="24"/>
        <v>148.8461539</v>
      </c>
      <c r="V107" s="126">
        <v>2.0</v>
      </c>
      <c r="W107" s="133">
        <f t="shared" si="25"/>
        <v>297.6923077</v>
      </c>
      <c r="X107" s="5" t="s">
        <v>217</v>
      </c>
      <c r="Y107" s="5" t="s">
        <v>92</v>
      </c>
      <c r="Z107" s="5" t="s">
        <v>218</v>
      </c>
      <c r="AA107" s="5" t="s">
        <v>219</v>
      </c>
    </row>
    <row r="108">
      <c r="A108" s="50" t="s">
        <v>215</v>
      </c>
      <c r="B108" s="126" t="s">
        <v>191</v>
      </c>
      <c r="C108" s="127">
        <v>1.0</v>
      </c>
      <c r="D108" s="128">
        <f t="shared" si="22"/>
        <v>0.62152</v>
      </c>
      <c r="E108" s="129" t="str">
        <f t="array" ref="E108">INDEX(CharMVsBase,MATCH(B$83,CharMVsCharNames,0)+3,MATCH(B108,B$102:AU$102,0)+1)</f>
        <v>ATK</v>
      </c>
      <c r="F108" s="126" t="s">
        <v>86</v>
      </c>
      <c r="G108" s="129" t="str">
        <f t="array" ref="G108">INDEX(CharMVsBase,MATCH(B$83,CharMVsCharNames,0)+4,MATCH(B108,B$102:AU$102,0)+1)</f>
        <v>Burst DMG%</v>
      </c>
      <c r="H108" s="88">
        <v>0.2</v>
      </c>
      <c r="I108" s="134">
        <f t="shared" si="26"/>
        <v>998.1146284</v>
      </c>
      <c r="J108" s="130">
        <v>0.0</v>
      </c>
      <c r="K108" s="88">
        <v>0.0</v>
      </c>
      <c r="L108" s="88">
        <v>0.0</v>
      </c>
      <c r="M108" s="88">
        <v>0.0</v>
      </c>
      <c r="N108" s="88">
        <v>0.2</v>
      </c>
      <c r="O108" s="88">
        <v>0.0</v>
      </c>
      <c r="P108" s="88">
        <v>0.0</v>
      </c>
      <c r="Q108" s="88">
        <v>0.0</v>
      </c>
      <c r="R108" s="90">
        <f t="shared" si="23"/>
        <v>925.1086155</v>
      </c>
      <c r="S108" s="131">
        <v>0.0</v>
      </c>
      <c r="T108" s="126">
        <v>1.5</v>
      </c>
      <c r="U108" s="132">
        <f t="shared" si="24"/>
        <v>925.1086155</v>
      </c>
      <c r="V108" s="126">
        <v>2.0</v>
      </c>
      <c r="W108" s="133">
        <f t="shared" si="25"/>
        <v>1850.217231</v>
      </c>
      <c r="X108" s="5" t="s">
        <v>220</v>
      </c>
      <c r="Y108" s="5" t="s">
        <v>92</v>
      </c>
      <c r="Z108" s="5" t="s">
        <v>218</v>
      </c>
      <c r="AA108" s="5" t="s">
        <v>219</v>
      </c>
    </row>
    <row r="109">
      <c r="A109" s="50" t="s">
        <v>215</v>
      </c>
      <c r="B109" s="126" t="s">
        <v>191</v>
      </c>
      <c r="C109" s="127">
        <v>1.0</v>
      </c>
      <c r="D109" s="128">
        <f t="shared" si="22"/>
        <v>0.62152</v>
      </c>
      <c r="E109" s="129" t="str">
        <f t="array" ref="E109">INDEX(CharMVsBase,MATCH(B$83,CharMVsCharNames,0)+3,MATCH(B109,B$102:AU$102,0)+1)</f>
        <v>ATK</v>
      </c>
      <c r="F109" s="126" t="s">
        <v>86</v>
      </c>
      <c r="G109" s="129" t="str">
        <f t="array" ref="G109">INDEX(CharMVsBase,MATCH(B$83,CharMVsCharNames,0)+4,MATCH(B109,B$102:AU$102,0)+1)</f>
        <v>Burst DMG%</v>
      </c>
      <c r="H109" s="88">
        <v>0.2</v>
      </c>
      <c r="I109" s="134">
        <f t="shared" si="26"/>
        <v>998.1146284</v>
      </c>
      <c r="J109" s="130">
        <v>0.0</v>
      </c>
      <c r="K109" s="88">
        <v>0.0</v>
      </c>
      <c r="L109" s="88">
        <v>0.0</v>
      </c>
      <c r="M109" s="88">
        <v>0.0</v>
      </c>
      <c r="N109" s="88">
        <v>0.2</v>
      </c>
      <c r="O109" s="88">
        <v>0.0</v>
      </c>
      <c r="P109" s="88">
        <v>-0.15</v>
      </c>
      <c r="Q109" s="88">
        <v>0.0</v>
      </c>
      <c r="R109" s="90">
        <f t="shared" si="23"/>
        <v>1002.201</v>
      </c>
      <c r="S109" s="131">
        <v>0.0</v>
      </c>
      <c r="T109" s="126">
        <v>1.5</v>
      </c>
      <c r="U109" s="132">
        <f t="shared" si="24"/>
        <v>1002.201</v>
      </c>
      <c r="V109" s="126">
        <v>27.0</v>
      </c>
      <c r="W109" s="133">
        <f t="shared" si="25"/>
        <v>27059.427</v>
      </c>
      <c r="X109" s="5" t="s">
        <v>220</v>
      </c>
      <c r="Y109" s="5" t="s">
        <v>92</v>
      </c>
      <c r="Z109" s="5" t="s">
        <v>218</v>
      </c>
      <c r="AA109" s="5" t="s">
        <v>219</v>
      </c>
      <c r="AB109" s="5" t="s">
        <v>56</v>
      </c>
    </row>
    <row r="110">
      <c r="A110" s="50" t="s">
        <v>215</v>
      </c>
      <c r="B110" s="126" t="s">
        <v>188</v>
      </c>
      <c r="C110" s="127">
        <v>1.0</v>
      </c>
      <c r="D110" s="128">
        <f t="shared" si="22"/>
        <v>8.2824</v>
      </c>
      <c r="E110" s="129" t="str">
        <f t="array" ref="E110">INDEX(CharMVsBase,MATCH(B$83,CharMVsCharNames,0)+3,MATCH(B110,B$102:AU$102,0)+1)</f>
        <v>ATK</v>
      </c>
      <c r="F110" s="126" t="s">
        <v>86</v>
      </c>
      <c r="G110" s="129" t="str">
        <f t="array" ref="G110">INDEX(CharMVsBase,MATCH(B$83,CharMVsCharNames,0)+4,MATCH(B110,B$102:AU$102,0)+1)</f>
        <v>Skill DMG%</v>
      </c>
      <c r="H110" s="88">
        <v>0.2</v>
      </c>
      <c r="I110" s="134">
        <f t="shared" si="26"/>
        <v>998.1146284</v>
      </c>
      <c r="J110" s="130">
        <v>0.0</v>
      </c>
      <c r="K110" s="88">
        <v>0.0</v>
      </c>
      <c r="L110" s="88">
        <v>0.0</v>
      </c>
      <c r="M110" s="88">
        <v>0.0</v>
      </c>
      <c r="N110" s="88">
        <v>0.2</v>
      </c>
      <c r="O110" s="88">
        <v>0.0</v>
      </c>
      <c r="P110" s="88">
        <v>-0.15</v>
      </c>
      <c r="Q110" s="88">
        <v>0.0</v>
      </c>
      <c r="R110" s="90">
        <f t="shared" si="23"/>
        <v>13355.37</v>
      </c>
      <c r="S110" s="131">
        <v>0.0</v>
      </c>
      <c r="T110" s="126">
        <v>1.5</v>
      </c>
      <c r="U110" s="132">
        <f t="shared" si="24"/>
        <v>13355.37</v>
      </c>
      <c r="V110" s="126">
        <v>2.0</v>
      </c>
      <c r="W110" s="133">
        <f t="shared" si="25"/>
        <v>26710.74</v>
      </c>
      <c r="X110" s="5" t="s">
        <v>221</v>
      </c>
      <c r="Y110" s="5" t="s">
        <v>92</v>
      </c>
      <c r="Z110" s="5" t="s">
        <v>218</v>
      </c>
      <c r="AA110" s="5" t="s">
        <v>219</v>
      </c>
      <c r="AB110" s="5" t="s">
        <v>56</v>
      </c>
    </row>
    <row r="111">
      <c r="A111" s="50" t="s">
        <v>222</v>
      </c>
      <c r="B111" s="23"/>
      <c r="C111" s="135"/>
      <c r="D111" s="136">
        <v>1.0</v>
      </c>
      <c r="E111" s="137">
        <v>1000.0</v>
      </c>
      <c r="F111" s="137" t="s">
        <v>86</v>
      </c>
      <c r="G111" s="137" t="s">
        <v>147</v>
      </c>
      <c r="H111" s="138"/>
      <c r="I111" s="23"/>
      <c r="J111" s="139">
        <v>0.0</v>
      </c>
      <c r="K111" s="140">
        <v>0.0</v>
      </c>
      <c r="L111" s="140">
        <v>0.0</v>
      </c>
      <c r="M111" s="140">
        <v>0.0</v>
      </c>
      <c r="N111" s="140">
        <v>0.0</v>
      </c>
      <c r="O111" s="140">
        <v>0.0</v>
      </c>
      <c r="P111" s="140">
        <v>0.0</v>
      </c>
      <c r="Q111" s="140">
        <v>0.0</v>
      </c>
      <c r="R111" s="141">
        <f>D111
*E111
*(1+MEDIAN(0,1,(P$97+L111))*(P$98+M111))
*(1+VLOOKUP(CONCATENATE(F111," DMG%"),Q$83:R$89,2,false)+IF(G111="",0,VLOOKUP(G111,Q$90:R$94,2,false))+R$95+N111)
*IF((VLOOKUP(F111,A$57:B$63,2,false)+O111)&lt;0,1-(VLOOKUP(F111,A$57:B$63,2,false)+O111)/2,1-(VLOOKUP(F111,A$57:B$63,2,false)+O111))
*((B$86+100)/((1+P111)*(1+Q111)*(B$56+100)+B$86+100))</f>
        <v>521.8259151</v>
      </c>
      <c r="S111" s="142">
        <v>0.0</v>
      </c>
      <c r="T111" s="137">
        <v>1.5</v>
      </c>
      <c r="U111" s="143">
        <f t="shared" si="24"/>
        <v>521.8259151</v>
      </c>
      <c r="V111" s="137">
        <v>0.0</v>
      </c>
      <c r="W111" s="144">
        <f t="shared" si="25"/>
        <v>0</v>
      </c>
    </row>
    <row r="112">
      <c r="A112" s="50" t="s">
        <v>223</v>
      </c>
      <c r="B112" s="126" t="s">
        <v>224</v>
      </c>
      <c r="C112" s="127">
        <v>1.0</v>
      </c>
      <c r="D112" s="128">
        <f>VLOOKUP(B112,WeaponDamageProcs,2,false)
+(E$84-1)*VLOOKUP(B112,WeaponDamageProcs,3,false)
*C112</f>
        <v>3.2</v>
      </c>
      <c r="E112" s="129" t="str">
        <f>VLOOKUP(B112,WeaponDamageProcs,4,false)</f>
        <v>ATK</v>
      </c>
      <c r="F112" s="126" t="s">
        <v>83</v>
      </c>
      <c r="G112" s="129" t="str">
        <f>VLOOKUP(B112,WeaponDamageProcs,5,false)</f>
        <v/>
      </c>
      <c r="H112" s="88">
        <v>0.0</v>
      </c>
      <c r="I112" s="130">
        <v>0.0</v>
      </c>
      <c r="J112" s="130">
        <v>0.0</v>
      </c>
      <c r="K112" s="88">
        <v>0.0</v>
      </c>
      <c r="L112" s="88">
        <v>0.0</v>
      </c>
      <c r="M112" s="88">
        <v>0.0</v>
      </c>
      <c r="N112" s="88">
        <v>0.0</v>
      </c>
      <c r="O112" s="88">
        <v>0.0</v>
      </c>
      <c r="P112" s="88">
        <v>0.0</v>
      </c>
      <c r="Q112" s="88">
        <v>0.0</v>
      </c>
      <c r="R112" s="90">
        <f>D112
*(IFS(E112="ATK",(P$88*(1+P$89+H112)+P$90+I112),E112="DEF",(P$92*(1+P$93+H112)+P$94+I112),E112="HP",(P$84*(1+P$85+H112)+P$86+I112),TRUE,1)
*(1+MEDIAN(0,1,(P$97+L112))*(P$98+M112))
*(1+VLOOKUP(CONCATENATE(F112," DMG%"),Q$83:R$89,2,false)+IF(G112="",0,VLOOKUP(G112,Q$90:R$94,2,false))+R$95+N112)
*IF((VLOOKUP(F112,A$57:B$63,2,false)+O112)&lt;0,1-(VLOOKUP(F112,A$57:B$63,2,false)+O112)/2,1-(VLOOKUP(F112,A$57:B$63,2,false)+O112))
*((B$86+100)/((1+P112)*(1+Q112)*(B$56+100)+B$86+100)))</f>
        <v>2036.529872</v>
      </c>
      <c r="S112" s="131">
        <v>0.0</v>
      </c>
      <c r="T112" s="126">
        <v>1.5</v>
      </c>
      <c r="U112" s="132">
        <f t="shared" si="24"/>
        <v>2036.529872</v>
      </c>
      <c r="V112" s="126">
        <v>0.0</v>
      </c>
      <c r="W112" s="133">
        <f t="shared" si="25"/>
        <v>0</v>
      </c>
    </row>
    <row r="113">
      <c r="A113" s="50" t="s">
        <v>225</v>
      </c>
      <c r="B113" s="145" t="str">
        <f>IFS($H$87="4clam","Healing",true,"")</f>
        <v/>
      </c>
      <c r="C113" s="146"/>
      <c r="D113" s="59" t="str">
        <f>IFS($H$87="4echoes",70%,true,"")</f>
        <v/>
      </c>
      <c r="E113" s="5"/>
      <c r="F113" s="126" t="s">
        <v>83</v>
      </c>
      <c r="G113" s="147" t="str">
        <f>IFS($H$87="4echoes","NA DMG%",true,"")</f>
        <v/>
      </c>
      <c r="H113" s="88">
        <v>0.0</v>
      </c>
      <c r="I113" s="130">
        <v>0.0</v>
      </c>
      <c r="J113" s="130">
        <v>0.0</v>
      </c>
      <c r="K113" s="88">
        <v>0.0</v>
      </c>
      <c r="L113" s="88">
        <v>0.0</v>
      </c>
      <c r="M113" s="88">
        <v>0.0</v>
      </c>
      <c r="N113" s="88">
        <v>0.0</v>
      </c>
      <c r="O113" s="88">
        <v>0.0</v>
      </c>
      <c r="P113" s="88">
        <v>0.0</v>
      </c>
      <c r="Q113" s="88">
        <v>0.0</v>
      </c>
      <c r="R113" s="90">
        <f>IFS(H$87="4echoes",
(D113
*(P$88*(1+P$89+H113)+P$90+I113)
*(1+MEDIAN(0,1,(P$97+L113))*(P$98+M113))
*(1+VLOOKUP(CONCATENATE(F113," DMG%"),Q$83:R$89,2,false)+IF(G113="",0,VLOOKUP(G113,Q$90:R$94,2,false))+R$95+N113)
*IF((VLOOKUP(F113,A$57:B$63,2,false)+O113)&lt;0,1-(VLOOKUP(F113,A$57:B$63,2,false)+O113)/2,1-(VLOOKUP(F113,A$57:B$63,2,false)+O113))
*((B$86+100)/((1+P113)*(1+Q113)*(B$56+100)+B$86+100))),
H$87="4clam",
0.9
*IFS(ISBLANK(C113),0,true,MIN(30000,C113))
*IF((VLOOKUP(F113,A$57:B$63,2,false)+O113)&lt;0,1-(VLOOKUP(F113,A$57:B$63,2,false)+O113)/2,1-(VLOOKUP(F113,A$57:B$63,2,false)+O113)),
true,0)</f>
        <v>0</v>
      </c>
      <c r="S113" s="131">
        <v>0.0</v>
      </c>
      <c r="T113" s="126">
        <v>1.5</v>
      </c>
      <c r="U113" s="132">
        <f>((1-S113)*R113
+S113*R113
*T113
*(1+(2.78*(P$96+J113)/(P$96+J113+1400))+K113))</f>
        <v>0</v>
      </c>
      <c r="V113" s="126">
        <v>0.0</v>
      </c>
      <c r="W113" s="133">
        <f t="shared" si="25"/>
        <v>0</v>
      </c>
    </row>
    <row r="114">
      <c r="A114" s="50" t="s">
        <v>226</v>
      </c>
      <c r="B114" s="126" t="s">
        <v>227</v>
      </c>
      <c r="E114" s="5"/>
      <c r="F114" s="126" t="s">
        <v>84</v>
      </c>
      <c r="J114" s="130">
        <v>0.0</v>
      </c>
      <c r="K114" s="88">
        <v>0.0</v>
      </c>
      <c r="O114" s="88">
        <v>-0.4</v>
      </c>
      <c r="Q114" s="16"/>
      <c r="R114" s="90">
        <f>IFS(B114="Superconduct",0.5,B114="Swirl",0.6,B114="Electrocharge",1.2,B114="Shatter",1.5,B114="Overload",2)
*VLOOKUP(B$86,TransformativeBases,2,false)
*(1+(16*(P$96+J114)/(P$96+J114+2000))+K114+IFS(AND(B114="Swirl",H$87="4VV"),0.6,AND(OR(B114="Superconduct",B114="Electrocharge",B114="Overload"),H$87="4TF"),0.4,AND(B114="Overload",H$87="4CW"),0.4,true,0))
*IF((VLOOKUP(F114,A$57:B$63,2,false)+O114)&lt;0,1-(VLOOKUP(F114,A$57:B$63,2,false)+O114)/2,1-(VLOOKUP(F114,A$57:B$63,2,false)+O114))</f>
        <v>17257.01651</v>
      </c>
      <c r="S114" s="131">
        <v>0.0</v>
      </c>
      <c r="T114" s="126">
        <v>1.5</v>
      </c>
      <c r="U114" s="132">
        <f t="shared" ref="U114:U115" si="27">((1-S114)*R114
+S114*R114
*T114
*(1+(2.78*(P$96+J114)/(P$96+J114+1400))+K114+IF(H$87="4CW",0.15,0)))</f>
        <v>17257.01651</v>
      </c>
      <c r="V114" s="126">
        <v>24.0</v>
      </c>
      <c r="W114" s="133">
        <f t="shared" si="25"/>
        <v>414168.3963</v>
      </c>
      <c r="X114" s="5" t="s">
        <v>228</v>
      </c>
      <c r="Y114" s="5" t="s">
        <v>229</v>
      </c>
    </row>
    <row r="115">
      <c r="A115" s="50" t="s">
        <v>226</v>
      </c>
      <c r="B115" s="126" t="s">
        <v>227</v>
      </c>
      <c r="E115" s="5"/>
      <c r="F115" s="126" t="s">
        <v>84</v>
      </c>
      <c r="J115" s="130">
        <v>0.0</v>
      </c>
      <c r="K115" s="88">
        <v>0.0</v>
      </c>
      <c r="O115" s="88">
        <v>-0.55</v>
      </c>
      <c r="Q115" s="16"/>
      <c r="R115" s="90">
        <f>IFS(B115="Superconduct",0.5,B115="Swirl",0.6,B115="Electrocharge",1.2,B115="Shatter",1.5,B115="Overload",2)
*VLOOKUP(B$86,TransformativeBases,2,false)
*(1+(16*(P$96+J115)/(P$96+J115+2000))+K115+IFS(AND(B115="Swirl",H$87="4VV"),0.6,AND(OR(B115="Superconduct",B115="Electrocharge",B115="Overload"),H$87="4TF"),0.4,AND(B115="Overload",H$87="4CW"),0.4,true,0))
*IF((VLOOKUP(F115,A$57:B$63,2,false)+O115)&lt;0,1-(VLOOKUP(F115,A$57:B$63,2,false)+O115)/2,1-(VLOOKUP(F115,A$57:B$63,2,false)+O115))</f>
        <v>18382.47411</v>
      </c>
      <c r="S115" s="131">
        <v>0.0</v>
      </c>
      <c r="T115" s="126">
        <v>1.5</v>
      </c>
      <c r="U115" s="132">
        <f t="shared" si="27"/>
        <v>18382.47411</v>
      </c>
      <c r="V115" s="126">
        <v>72.0</v>
      </c>
      <c r="W115" s="133">
        <f t="shared" si="25"/>
        <v>1323538.136</v>
      </c>
      <c r="X115" s="5" t="s">
        <v>228</v>
      </c>
      <c r="Y115" s="5" t="s">
        <v>229</v>
      </c>
      <c r="Z115" s="5" t="s">
        <v>230</v>
      </c>
    </row>
    <row r="116">
      <c r="A116" s="50" t="s">
        <v>231</v>
      </c>
      <c r="E116" s="5"/>
      <c r="F116" s="126" t="s">
        <v>86</v>
      </c>
      <c r="J116" s="130">
        <v>0.0</v>
      </c>
      <c r="K116" s="103"/>
      <c r="N116" s="148" t="s">
        <v>232</v>
      </c>
      <c r="O116" s="88">
        <v>0.0</v>
      </c>
      <c r="Q116" s="16"/>
      <c r="R116" s="38" t="s">
        <v>233</v>
      </c>
      <c r="S116" s="126" t="s">
        <v>83</v>
      </c>
      <c r="U116" s="132">
        <f>VLOOKUP(B$86,TransformativeBases,3,false)
*(1+4.44*(P$96+J116)/(P$96+J116+1400))
*(1+O116)
*IFS(F116="Geo",1.5,F116=S116,2.5,TRUE,1)</f>
        <v>4612.722619</v>
      </c>
      <c r="V116" s="126">
        <v>0.0</v>
      </c>
      <c r="W116" s="133">
        <f t="shared" si="25"/>
        <v>0</v>
      </c>
    </row>
    <row r="117">
      <c r="A117" s="50" t="s">
        <v>234</v>
      </c>
      <c r="B117" s="126" t="s">
        <v>176</v>
      </c>
      <c r="C117" s="127">
        <v>1.0</v>
      </c>
      <c r="D117" s="128">
        <f t="shared" ref="D117:D118" si="28">HLOOKUP(B117,A$102:AU$103,2,false)
*C117</f>
        <v>0.6732</v>
      </c>
      <c r="E117" s="129" t="str">
        <f t="array" ref="E117">INDEX(CharMVsBase,MATCH(B$83,CharMVsCharNames,0)+3,MATCH(B117,B$102:AU$102,0)+1)</f>
        <v>ATK</v>
      </c>
      <c r="F117" s="126" t="s">
        <v>86</v>
      </c>
      <c r="H117" s="88">
        <v>0.0</v>
      </c>
      <c r="I117" s="130">
        <v>0.0</v>
      </c>
      <c r="J117" s="5"/>
      <c r="L117" s="103"/>
      <c r="N117" s="148" t="s">
        <v>232</v>
      </c>
      <c r="O117" s="88">
        <v>0.0</v>
      </c>
      <c r="Q117" s="38"/>
      <c r="R117" s="38" t="s">
        <v>233</v>
      </c>
      <c r="S117" s="126" t="s">
        <v>83</v>
      </c>
      <c r="U117" s="132">
        <f>D117
*(IFS(E117="ATK",(P$88*(1+P$89+H117)+P$90+I117),E117="DEF",(P$92*(1+P$93+H117)+P$94+I117),E117="HP",(P$84*(1+P$85+H117)+P$86+I117),TRUE,1))
*(1+O117)
*IFS(F117="Geo",1.5,F117=S117,2.5,TRUE,1)</f>
        <v>821.0304614</v>
      </c>
      <c r="V117" s="126">
        <v>0.0</v>
      </c>
      <c r="W117" s="133">
        <f t="shared" si="25"/>
        <v>0</v>
      </c>
    </row>
    <row r="118">
      <c r="A118" s="50" t="s">
        <v>235</v>
      </c>
      <c r="B118" s="126" t="s">
        <v>176</v>
      </c>
      <c r="C118" s="127">
        <v>1.0</v>
      </c>
      <c r="D118" s="128">
        <f t="shared" si="28"/>
        <v>0.6732</v>
      </c>
      <c r="E118" s="129" t="str">
        <f t="array" ref="E118">INDEX(CharMVsBase,MATCH(B$83,CharMVsCharNames,0)+3,MATCH(B118,B$102:AU$102,0)+1)</f>
        <v>ATK</v>
      </c>
      <c r="F118" s="5"/>
      <c r="H118" s="88">
        <v>0.0</v>
      </c>
      <c r="I118" s="130">
        <v>0.0</v>
      </c>
      <c r="J118" s="5"/>
      <c r="K118" s="5" t="s">
        <v>236</v>
      </c>
      <c r="L118" s="88">
        <v>0.0</v>
      </c>
      <c r="N118" s="5" t="s">
        <v>237</v>
      </c>
      <c r="O118" s="88">
        <v>0.0</v>
      </c>
      <c r="Q118" s="38"/>
      <c r="R118" s="38" t="s">
        <v>238</v>
      </c>
      <c r="S118" s="126" t="b">
        <v>0</v>
      </c>
      <c r="U118" s="132">
        <f>D118
*(IFS(E118="ATK",(P$88*(1+P$89+H118)+P$90+I118),E118="DEF",(P$92*(1+P$93+H118)+P$94+I118),E118="HP",(P$84*(1+P$85+H118)+P$86+I118),E118="EM",P$96,TRUE,1))
*(1+P$100+L118+O118)</f>
        <v>821.0304614</v>
      </c>
      <c r="V118" s="126">
        <v>0.0</v>
      </c>
      <c r="W118" s="133">
        <f t="shared" ref="W118:W119" si="29">U118*V118*IF(S118,4,1)</f>
        <v>0</v>
      </c>
    </row>
    <row r="119">
      <c r="A119" s="149" t="s">
        <v>239</v>
      </c>
      <c r="B119" s="150" t="s">
        <v>224</v>
      </c>
      <c r="C119" s="151">
        <v>1.0</v>
      </c>
      <c r="D119" s="152">
        <f>VLOOKUP(B119,WeaponHealingProcs,2,false)
+(E$84-1)*VLOOKUP(B119,WeaponHealingProcs,3,false)
*C119</f>
        <v>1.6</v>
      </c>
      <c r="E119" s="153" t="str">
        <f>VLOOKUP(B119,WeaponHealingProcs,4,false)</f>
        <v>ATK</v>
      </c>
      <c r="F119" s="42"/>
      <c r="G119" s="47"/>
      <c r="H119" s="154">
        <v>0.0</v>
      </c>
      <c r="I119" s="155">
        <v>0.0</v>
      </c>
      <c r="J119" s="42"/>
      <c r="K119" s="42" t="s">
        <v>236</v>
      </c>
      <c r="L119" s="154">
        <v>0.0</v>
      </c>
      <c r="M119" s="47"/>
      <c r="N119" s="42" t="s">
        <v>237</v>
      </c>
      <c r="O119" s="154">
        <v>0.0</v>
      </c>
      <c r="P119" s="47"/>
      <c r="Q119" s="39"/>
      <c r="R119" s="39" t="s">
        <v>238</v>
      </c>
      <c r="S119" s="150" t="b">
        <v>0</v>
      </c>
      <c r="T119" s="47"/>
      <c r="U119" s="156">
        <f>D119
*(IFS(E119="ATK",(P$88*(1+P$89+H119)+P$90+I119),E119="DEF",(P$92*(1+P$93+H119)+P$94+I119),E119="HP",(P$84*(1+P$85+H119)+P$86+I119),TRUE,1))
*(1+P$100+L119+O119)</f>
        <v>1951.349879</v>
      </c>
      <c r="V119" s="150">
        <v>0.0</v>
      </c>
      <c r="W119" s="157">
        <f t="shared" si="29"/>
        <v>0</v>
      </c>
    </row>
    <row r="120">
      <c r="A120" s="5"/>
    </row>
    <row r="121">
      <c r="A121" s="158" t="s">
        <v>240</v>
      </c>
      <c r="B121" s="79" t="s">
        <v>241</v>
      </c>
      <c r="C121" s="5"/>
      <c r="D121" s="1" t="s">
        <v>106</v>
      </c>
      <c r="E121" s="79" t="s">
        <v>242</v>
      </c>
      <c r="G121" s="1" t="s">
        <v>108</v>
      </c>
      <c r="H121" s="80"/>
      <c r="J121" s="19" t="s">
        <v>109</v>
      </c>
      <c r="K121" s="81"/>
      <c r="L121" s="23" t="s">
        <v>110</v>
      </c>
      <c r="M121" s="82">
        <v>0.0</v>
      </c>
      <c r="O121" s="19" t="s">
        <v>111</v>
      </c>
      <c r="P121" s="83"/>
      <c r="Q121" s="23" t="s">
        <v>110</v>
      </c>
      <c r="R121" s="84">
        <f>IF(B126="Phys DMG%",IF(B122="4*",0.06,0.072)*IFS(B125="A6",4,B125="A5",3,OR(B125="A4",B125="A3"),2,B125="A2",1,OR(B125="A1",B125="A0"),0),0)
+IF(E124="Phys DMG%",E125,0)
+IF(H123="Phys DMG%",H124,0)+IF(H126="Phys DMG%",H127*H128,0)+IF(H129="Phys DMG%",H130*H131,0)+IF(H134="Phys DMG%",0.583,0)
+M121</f>
        <v>0</v>
      </c>
    </row>
    <row r="122">
      <c r="A122" s="85" t="s">
        <v>112</v>
      </c>
      <c r="B122" s="86" t="str">
        <f>VLOOKUP(B121,CharBaseStats,3,false)</f>
        <v>4*</v>
      </c>
      <c r="C122" s="5"/>
      <c r="D122" s="85" t="s">
        <v>113</v>
      </c>
      <c r="E122" s="87">
        <v>5.0</v>
      </c>
      <c r="G122" s="85" t="s">
        <v>114</v>
      </c>
      <c r="H122" s="87" t="s">
        <v>115</v>
      </c>
      <c r="J122" s="71" t="s">
        <v>6</v>
      </c>
      <c r="K122" s="88">
        <v>0.0</v>
      </c>
      <c r="L122" s="5" t="s">
        <v>116</v>
      </c>
      <c r="M122" s="89">
        <v>0.0</v>
      </c>
      <c r="O122" s="71" t="s">
        <v>117</v>
      </c>
      <c r="P122" s="90">
        <f>VLOOKUP(B121,CharBaseStats,4,false)
*((IF(B122="4*",0.082566,0.087394)*(B124-1)+1)+IF(B122="4*",0.7470687,0.8573469)*IFS(B125="A6",4.7894737,B125="A5",4.078947,B125="A4",3.368421,B125="A3",2.6578,B125="A2",1.7105263,B125="A1",1,B125="A0",0))</f>
        <v>10874.42074</v>
      </c>
      <c r="Q122" s="5" t="s">
        <v>116</v>
      </c>
      <c r="R122" s="91">
        <f>IF(B126="Pyro DMG%",IF(B122="4*",0.06,0.072)*IFS(B125="A6",4,B125="A5",3,OR(B125="A4",B125="A3"),2,B125="A2",1,OR(B125="A1",B125="A0"),0),0)
+IF(OR(AND(E126="Primary Ele DMG%",B123="Pyro"),E126="All Ele DMG%"),E127*E128,0)+IF(OR(AND(E129="Primary Ele DMG%",B123="Pyro"),E129="All Ele DMG%"),E130*E131,0)+IF(OR(AND(E132="Primary Ele DMG%",B123="Pyro"),E132="All Ele DMG%"),E133*E134,0)
+IF(H123="Pyro DMG%",H124,0)+IF(H126="Pyro DMG%",H127*H128,0)+IF(H129="Pyro DMG%",H130*H131,0)+IF(H134="Pyro DMG%",0.466,0)
+M122+M128</f>
        <v>0.466</v>
      </c>
    </row>
    <row r="123">
      <c r="A123" s="85" t="s">
        <v>118</v>
      </c>
      <c r="B123" s="92" t="str">
        <f>VLOOKUP(B121,CharBaseStats,2,false)</f>
        <v>Pyro</v>
      </c>
      <c r="C123" s="5"/>
      <c r="D123" s="85" t="s">
        <v>119</v>
      </c>
      <c r="E123" s="86">
        <f>VLOOKUP(E121,WeaponStats,2,false)</f>
        <v>510</v>
      </c>
      <c r="G123" s="85" t="s">
        <v>120</v>
      </c>
      <c r="H123" s="92" t="str">
        <f>VLOOKUP(H122,ArtifactSetStats,2,false)</f>
        <v>ER</v>
      </c>
      <c r="J123" s="71" t="s">
        <v>10</v>
      </c>
      <c r="K123" s="93">
        <v>0.0</v>
      </c>
      <c r="L123" s="5" t="s">
        <v>121</v>
      </c>
      <c r="M123" s="89">
        <v>0.0</v>
      </c>
      <c r="O123" s="71" t="s">
        <v>6</v>
      </c>
      <c r="P123" s="94">
        <f>IF(B126="HP%",IF(B122="4*",0.06,0.072)*IFS(B125="A6",4,B125="A5",3,OR(B125="A4",B125="A3"),2,B125="A2",1,OR(B125="A1",B125="A0"),0),0)
+IF(E124="HP%",E125,0)+IF(E126="HP%",E128*E127,0)+IF(E129="HP%",E131*E130,0)+IF(E132="HP%",E134*E133,0)
+IF(H123="HP%",H124,0)+IF(H126="HP%",H127*H128,0)+IF(H129="HP%",H130*H131,0)+IF(H133="HP%",0.466,0)+IF(H134="HP%",0.466,0)+IF(H135="HP%",0.466,0)+B34*0.0496
+K122</f>
        <v>0.0992</v>
      </c>
      <c r="Q123" s="5" t="s">
        <v>121</v>
      </c>
      <c r="R123" s="91">
        <f>IF(B126="Hydro DMG%",IF(B122="4*",0.06,0.072)*IFS(B125="A6",4,B125="A5",3,OR(B125="A4",B125="A3"),2,B125="A2",1,OR(B125="A1",B125="A0"),0),0)
+IF(OR(AND(E126="Primary Ele DMG%",B123="Hydro"),E126="All Ele DMG%"),E127*E128,0)+IF(OR(AND(E129="Primary Ele DMG%",B123="Hydro"),E129="All Ele DMG%"),E130*E131,0)+IF(OR(AND(E132="Primary Ele DMG%",B123="Hydro"),E132="All Ele DMG%"),E133*E134,0)
+IF(H123="Hydro DMG%",H124,0)+IF(H126="Hydro DMG%",H127*H128,0)+IF(H129="Hydro DMG%",H130*H131,0)+IF(H134="Hydro DMG%",0.466,0)
+M123+M128</f>
        <v>0</v>
      </c>
    </row>
    <row r="124">
      <c r="A124" s="85" t="s">
        <v>122</v>
      </c>
      <c r="B124" s="87">
        <v>90.0</v>
      </c>
      <c r="D124" s="85" t="s">
        <v>123</v>
      </c>
      <c r="E124" s="86" t="str">
        <f>VLOOKUP(E121,WeaponStats,3,false)</f>
        <v>ER</v>
      </c>
      <c r="G124" s="85" t="s">
        <v>124</v>
      </c>
      <c r="H124" s="95">
        <f>VLOOKUP(H122,ArtifactSetStats,3,false)</f>
        <v>0.2</v>
      </c>
      <c r="J124" s="71" t="s">
        <v>58</v>
      </c>
      <c r="K124" s="88">
        <v>0.0</v>
      </c>
      <c r="L124" s="5" t="s">
        <v>125</v>
      </c>
      <c r="M124" s="89">
        <v>0.0</v>
      </c>
      <c r="O124" s="71" t="s">
        <v>10</v>
      </c>
      <c r="P124" s="90">
        <f>4780+C34*253.94
+K123</f>
        <v>5287.88</v>
      </c>
      <c r="Q124" s="5" t="s">
        <v>125</v>
      </c>
      <c r="R124" s="91">
        <f>IF(B126="Electro DMG%",IF(B122="4*",0.06,0.072)*IFS(B125="A6",4,B125="A5",3,OR(B125="A4",B125="A3"),2,B125="A2",1,OR(B125="A1",B125="A0"),0),0)
+IF(OR(AND(E126="Primary Ele DMG%",B123="Electro"),E126="All Ele DMG%"),E127*E128,0)+IF(OR(AND(E129="Primary Ele DMG%",B123="Electro"),E129="All Ele DMG%"),E130*E131,0)+IF(OR(AND(E132="Primary Ele DMG%",B123="Electro"),E132="All Ele DMG%"),E133*E134,0)
+IF(H123="Electro DMG%",H124,0)+IF(H126="Electro DMG%",H127*H128,0)+IF(H129="Electro DMG%",H130*H131,0)+IF(H134="Electro DMG%",0.466,0)
+M124+M128</f>
        <v>0</v>
      </c>
    </row>
    <row r="125">
      <c r="A125" s="85" t="s">
        <v>126</v>
      </c>
      <c r="B125" s="87" t="s">
        <v>127</v>
      </c>
      <c r="D125" s="85" t="s">
        <v>128</v>
      </c>
      <c r="E125" s="96">
        <f>VLOOKUP(E121,WeaponStats,4,false)</f>
        <v>0.459</v>
      </c>
      <c r="G125" s="85" t="s">
        <v>129</v>
      </c>
      <c r="H125" s="87" t="s">
        <v>243</v>
      </c>
      <c r="J125" s="71" t="s">
        <v>59</v>
      </c>
      <c r="K125" s="93">
        <v>0.0</v>
      </c>
      <c r="L125" s="5" t="s">
        <v>131</v>
      </c>
      <c r="M125" s="89">
        <v>0.0</v>
      </c>
      <c r="O125" s="71" t="s">
        <v>132</v>
      </c>
      <c r="P125" s="90">
        <f>P122*(1+P123)+P124</f>
        <v>17241.04328</v>
      </c>
      <c r="Q125" s="5" t="s">
        <v>131</v>
      </c>
      <c r="R125" s="91">
        <f>IF(B126="Cryo DMG%",IF(B122="4*",0.06,0.072)*IFS(B125="A6",4,B125="A5",3,OR(B125="A4",B125="A3"),2,B125="A2",1,OR(B125="A1",B125="A0"),0),0)
+IF(OR(AND(E126="Primary Ele DMG%",B123="Cryo"),E126="All Ele DMG%"),E127*E128,0)+IF(OR(AND(E129="Primary Ele DMG%",B123="Cryo"),E129="All Ele DMG%"),E130*E131,0)+IF(OR(AND(E132="Primary Ele DMG%",B123="Cryo"),E132="All Ele DMG%"),E133*E134,0)
+IF(H123="Cryo DMG%",H124,0)+IF(H126="Cryo DMG%",H127*H128,0)+IF(H129="Cryo DMG%",H130*H131,0)+IF(H134="Cryo DMG%",0.466,0)
+M125+M128</f>
        <v>0</v>
      </c>
    </row>
    <row r="126">
      <c r="A126" s="85" t="s">
        <v>133</v>
      </c>
      <c r="B126" s="92" t="str">
        <f>VLOOKUP(B121,CharBaseStats,7,false)</f>
        <v>EM</v>
      </c>
      <c r="D126" s="85" t="s">
        <v>134</v>
      </c>
      <c r="E126" s="86" t="str">
        <f>VLOOKUP(E121,WeaponStats,5,false)</f>
        <v>Burst DMG%</v>
      </c>
      <c r="G126" s="85" t="s">
        <v>135</v>
      </c>
      <c r="H126" s="96" t="str">
        <f>VLOOKUP(H125,ArtifactSetStats,2,false)</f>
        <v>NONE</v>
      </c>
      <c r="J126" s="71" t="s">
        <v>60</v>
      </c>
      <c r="K126" s="88">
        <v>0.0</v>
      </c>
      <c r="L126" s="5" t="s">
        <v>136</v>
      </c>
      <c r="M126" s="89">
        <v>0.0</v>
      </c>
      <c r="O126" s="71" t="s">
        <v>137</v>
      </c>
      <c r="P126" s="90">
        <f>VLOOKUP(B121,CharBaseStats,5,false) *((IF(B122="4*",0.082566,0.087394)*(B124-1)+1)+IF(B122="4*",0.7470687,0.8573469)*IFS(B125="A6",4.7894737,B125="A5",4.078947,B125="A4",3.368421,B125="A3",2.6578,B125="A2",1.7105263,B125="A1",1,B125="A0",0)) +E123</f>
        <v>735.1292053</v>
      </c>
      <c r="Q126" s="5" t="s">
        <v>136</v>
      </c>
      <c r="R126" s="91">
        <f>IF(B126="Anemo DMG%",IF(B122="4*",0.06,0.072)*IFS(B125="A6",4,B125="A5",3,OR(B125="A4",B125="A3"),2,B125="A2",1,OR(B125="A1",B125="A0"),0),0)
+IF(OR(AND(E126="Primary Ele DMG%",B123="Anemo"),E126="All Ele DMG%"),E127*E128,0)+IF(OR(AND(E129="Primary Ele DMG%",B123="Anemo"),E129="All Ele DMG%"),E130*E131,0)+IF(OR(AND(E132="Primary Ele DMG%",B123="Anemo"),E132="All Ele DMG%"),E133*E134,0)
+IF(H123="Anemo DMG%",H124,0)+IF(H126="Anemo DMG%",H127*H128,0)+IF(H129="Anemo DMG%",H130*H131,0)+IF(H134="Anemo DMG%",0.466,0)
+M126+M128</f>
        <v>0</v>
      </c>
    </row>
    <row r="127">
      <c r="A127" s="85" t="s">
        <v>138</v>
      </c>
      <c r="B127" s="87">
        <v>9.0</v>
      </c>
      <c r="D127" s="85" t="s">
        <v>139</v>
      </c>
      <c r="E127" s="97">
        <f>VLOOKUP(E121,WeaponStats,6,false)+(E122-1)*VLOOKUP(E121,WeaponStats,7,false)</f>
        <v>0.32</v>
      </c>
      <c r="G127" s="85" t="s">
        <v>140</v>
      </c>
      <c r="H127" s="95" t="str">
        <f>VLOOKUP(H125,ArtifactSetStats,3,false)</f>
        <v/>
      </c>
      <c r="J127" s="71" t="s">
        <v>61</v>
      </c>
      <c r="K127" s="93">
        <v>0.0</v>
      </c>
      <c r="L127" s="5" t="s">
        <v>141</v>
      </c>
      <c r="M127" s="89">
        <v>0.0</v>
      </c>
      <c r="O127" s="71" t="s">
        <v>58</v>
      </c>
      <c r="P127" s="94">
        <f>IF(B126="ATK%",IF(B122="4*",0.06,0.072)*IFS(B125="A6",4,B125="A5",3,OR(B125="A4",B125="A3"),2,B125="A2",1,OR(B125="A1",B125="A0"),0),0)
+IF(E124="ATK%",E125,0)+IF(E126="ATK%",E128*E127,0)+IF(E129="ATK%",E131*E130,0)+IF(E132="ATK%",E134*E133,0)+E137
+IF(H123="ATK%",H124,0)+IF(H126="ATK%",H127*H128,0)+IF(H129="ATK%",H130*H131,0)+IF(H133="ATK%",0.466,0)+IF(H134="ATK%",0.466,0)+IF(H135="ATK%",0.466,0)+D34*0.0496
+K124</f>
        <v>0.5652</v>
      </c>
      <c r="Q127" s="5" t="s">
        <v>141</v>
      </c>
      <c r="R127" s="91">
        <f>IF(B126="Geo DMG%",IF(B122="4*",0.06,0.072)*IFS(B125="A6",4,B125="A5",3,OR(B125="A4",B125="A3"),2,B125="A2",1,OR(B125="A1",B125="A0"),0),0)
+IF(OR(AND(E126="Primary Ele DMG%",B123="Geo"),E126="All Ele DMG%"),E127*E128,0)+IF(OR(AND(E129="Primary Ele DMG%",B123="Geo"),E129="All Ele DMG%"),E130*E131,0)+IF(OR(AND(E132="Primary Ele DMG%",B123="Geo"),E132="All Ele DMG%"),E133*E134,0)
+IF(H123="Geo DMG%",H124,0)+IF(H126="Geo DMG%",H127*H128,0)+IF(H129="Geo DMG%",H130*H131,0)+IF(H134="Geo DMG%",0.466,0)
+M127+M128</f>
        <v>0</v>
      </c>
    </row>
    <row r="128">
      <c r="A128" s="85" t="s">
        <v>142</v>
      </c>
      <c r="B128" s="87">
        <v>12.0</v>
      </c>
      <c r="D128" s="85" t="s">
        <v>143</v>
      </c>
      <c r="E128" s="98">
        <v>1.0</v>
      </c>
      <c r="G128" s="71" t="s">
        <v>144</v>
      </c>
      <c r="H128" s="98">
        <v>1.0</v>
      </c>
      <c r="J128" s="71" t="s">
        <v>145</v>
      </c>
      <c r="K128" s="93">
        <v>0.0</v>
      </c>
      <c r="L128" s="5" t="s">
        <v>146</v>
      </c>
      <c r="M128" s="89">
        <v>0.0</v>
      </c>
      <c r="O128" s="71" t="s">
        <v>59</v>
      </c>
      <c r="P128" s="90">
        <f>E136
+311+E34*16.54
+K125</f>
        <v>344.08</v>
      </c>
      <c r="Q128" s="5" t="s">
        <v>147</v>
      </c>
      <c r="R128" s="91">
        <f>IF(OR(E126="NA DMG%",E126="NA/CA DMG%",E126="NA/CA/PA DMG%"),E128*E127,0)+IF(OR(E129="NA DMG%",E129="NA/CA DMG%",E129="NA/CA/PA DMG%"),E131*E130,0)+IF(OR(E132="NA DMG%",E132="NA/CA DMG%",E132="NA/CA/PA DMG%"),E134*E133,0)
+IF(OR(H126="NA DMG%",H126="NA/CA DMG%",H126="NA/CA/PA DMG%"),H127*H128,0)+IF(OR(H129="NA DMG%",H129="NA/CA DMG%",H129="NA/CA/PA DMG%"),H130*H131,0)
+M129</f>
        <v>0</v>
      </c>
    </row>
    <row r="129">
      <c r="A129" s="85" t="s">
        <v>148</v>
      </c>
      <c r="B129" s="87">
        <v>12.0</v>
      </c>
      <c r="D129" s="85" t="s">
        <v>149</v>
      </c>
      <c r="E129" s="92" t="str">
        <f>VLOOKUP(E121,WeaponStats,8,false)</f>
        <v/>
      </c>
      <c r="G129" s="85" t="s">
        <v>150</v>
      </c>
      <c r="H129" s="92" t="str">
        <f>VLOOKUP(H125,ArtifactSetStats,4,false)</f>
        <v/>
      </c>
      <c r="J129" s="71" t="s">
        <v>2</v>
      </c>
      <c r="K129" s="88">
        <v>0.0</v>
      </c>
      <c r="L129" s="5" t="s">
        <v>147</v>
      </c>
      <c r="M129" s="89">
        <v>0.0</v>
      </c>
      <c r="O129" s="71" t="s">
        <v>151</v>
      </c>
      <c r="P129" s="90">
        <f>P126*(1+P127)+P128</f>
        <v>1494.704232</v>
      </c>
      <c r="Q129" s="5" t="s">
        <v>152</v>
      </c>
      <c r="R129" s="91">
        <f>IF(OR(E126="CA DMG%",E126="NA/CA DMG%",E126="NA/CA/PA DMG%"),E128*E127,0)+IF(OR(E129="CA DMG%",E129="NA/CA DMG%",E129="NA/CA/PA DMG%"),E131*E130,0)+IF(OR(E132="CA DMG%",E132="NA/CA DMG%",E132="NA/CA/PA DMG%"),E134*E133,0)
+IF(OR(H126="CA DMG%",H126="NA/CA DMG%",H126="NA/CA/PA DMG%"),H127*H128,0)+IF(OR(H129="CA DMG%",H129="NA/CA DMG%",H129="NA/CA/PA DMG%"),H130*H131,0)
+M130</f>
        <v>0</v>
      </c>
    </row>
    <row r="130">
      <c r="A130" s="99" t="s">
        <v>153</v>
      </c>
      <c r="B130" s="22">
        <v>6.0</v>
      </c>
      <c r="D130" s="85" t="s">
        <v>154</v>
      </c>
      <c r="E130" s="100">
        <f>VLOOKUP(E121,WeaponStats,9,false)+(E122-1)*VLOOKUP(E121,WeaponStats,10,false)</f>
        <v>0</v>
      </c>
      <c r="G130" s="85" t="s">
        <v>155</v>
      </c>
      <c r="H130" s="92" t="str">
        <f>VLOOKUP(H125,ArtifactSetStats,5,false)</f>
        <v/>
      </c>
      <c r="J130" s="71" t="s">
        <v>3</v>
      </c>
      <c r="K130" s="88">
        <v>0.0</v>
      </c>
      <c r="L130" s="5" t="s">
        <v>152</v>
      </c>
      <c r="M130" s="89">
        <v>0.0</v>
      </c>
      <c r="O130" s="71" t="s">
        <v>156</v>
      </c>
      <c r="P130" s="90">
        <f>VLOOKUP(B121,CharBaseStats,6,false)
*((IF(B122="4*",0.082566,0.087394)*(B124-1)+1)+IF(B122="4*",0.7470687,0.8573469)*IFS(B125="A6",4.7894737,B125="A5",4.078947,B125="A4",3.368421,B125="A3",2.6578,B125="A2",1.7105263,B125="A1",1,B125="A0",0))</f>
        <v>668.8407309</v>
      </c>
      <c r="Q130" s="5" t="s">
        <v>157</v>
      </c>
      <c r="R130" s="91">
        <f>IF(E126="NA/CA/PA DMG%",E128*E127,0)+IF(E129="NA/CA/PA DMG%",E131*E130,0)+IF(E132="NA/CA/PA DMG%",E134*E133,0)
+IF(H126="NA/CA/PA DMG%",H127*H128,0)+IF(H129="NA/CA/PA DMG%",H130*H131,0)
+M131</f>
        <v>0</v>
      </c>
    </row>
    <row r="131">
      <c r="A131" s="5"/>
      <c r="B131" s="101"/>
      <c r="D131" s="85" t="s">
        <v>158</v>
      </c>
      <c r="E131" s="102">
        <v>1.0</v>
      </c>
      <c r="G131" s="71" t="s">
        <v>159</v>
      </c>
      <c r="H131" s="98">
        <v>1.0</v>
      </c>
      <c r="J131" s="71" t="s">
        <v>5</v>
      </c>
      <c r="K131" s="88">
        <v>0.0</v>
      </c>
      <c r="L131" s="5" t="s">
        <v>157</v>
      </c>
      <c r="M131" s="89">
        <v>0.0</v>
      </c>
      <c r="O131" s="71" t="s">
        <v>60</v>
      </c>
      <c r="P131" s="94">
        <f>IF(B126="DEF%",IF(B122="4*",0.075,0.09)*IFS(B125="A6",4,B125="A5",3,OR(B125="A4",B125="A3"),2,B125="A2",1,OR(B125="A1",B125="A0"),0),0)
+IF(E124="DEF%",E125,0)+IF(E126="DEF%",E128*E127,0)+IF(E129="DEF%",E131*E130,0)+IF(E132="DEF%",E134*E133,0)
+IF(H123="DEF%",H124,0)+IF(H126="DEF%",H127*H128,0)+IF(H129="DEF%",H130*H131,0)+IF(H133="DEF%",0.583,0)+IF(H134="DEF%",0.583,0)+IF(H135="DEF%",0.583,0)+F34*0.062
+K126</f>
        <v>0.124</v>
      </c>
      <c r="Q131" s="5" t="s">
        <v>160</v>
      </c>
      <c r="R131" s="91">
        <f>IF(OR(E126="Skill DMG%",E126="Skill/Burst DMG%"),E128*E127,0)+IF(OR(E129="Skill DMG%",E129="Skill/Burst DMG%"),E131*E130,0)+IF(OR(E132="Skill DMG%",E132="Skill/Burst DMG%"),E134*E133,0)
+M132</f>
        <v>0</v>
      </c>
    </row>
    <row r="132">
      <c r="A132" s="5"/>
      <c r="B132" s="103"/>
      <c r="D132" s="85" t="s">
        <v>161</v>
      </c>
      <c r="E132" s="104" t="str">
        <f>VLOOKUP(E121,WeaponStats,11,false)</f>
        <v/>
      </c>
      <c r="G132" s="85" t="s">
        <v>162</v>
      </c>
      <c r="H132" s="95">
        <f>IF(H125="4ESF",0.25*P137,0)</f>
        <v>0.46985</v>
      </c>
      <c r="J132" s="71" t="s">
        <v>163</v>
      </c>
      <c r="K132" s="88">
        <v>0.0</v>
      </c>
      <c r="L132" s="5" t="s">
        <v>160</v>
      </c>
      <c r="M132" s="89">
        <v>0.0</v>
      </c>
      <c r="O132" s="71" t="s">
        <v>61</v>
      </c>
      <c r="P132" s="90">
        <f>G34*19.68
+K127</f>
        <v>39.36</v>
      </c>
      <c r="Q132" s="5" t="s">
        <v>164</v>
      </c>
      <c r="R132" s="91">
        <f>IF(OR(E126="Burst DMG%",E126="Skill/Burst DMG%"),E128*E127,0)+IF(OR(E129="Burst DMG%",E129="Skill/Burst DMG%"),E131*E130,0)+IF(OR(E132="Burst DMG%",E132="Skill/Burst DMG%"),E134*E133,0)
+IF(H123="Burst DMG%",H124,0)+IF(H126="Burst DMG%",H127*H128,0)+IF(H129="Burst DMG%",H130*H131,0)+H132
+M133</f>
        <v>0.78985</v>
      </c>
    </row>
    <row r="133">
      <c r="A133" s="5"/>
      <c r="B133" s="103"/>
      <c r="D133" s="85" t="s">
        <v>165</v>
      </c>
      <c r="E133" s="100">
        <f>VLOOKUP(E121,WeaponStats,12,false)+(E122-1)*VLOOKUP(E121,WeaponStats,13,false)</f>
        <v>0</v>
      </c>
      <c r="G133" s="85" t="s">
        <v>166</v>
      </c>
      <c r="H133" s="105" t="s">
        <v>58</v>
      </c>
      <c r="J133" s="81"/>
      <c r="K133" s="106"/>
      <c r="L133" s="5" t="s">
        <v>164</v>
      </c>
      <c r="M133" s="89">
        <f>0</f>
        <v>0</v>
      </c>
      <c r="O133" s="71" t="s">
        <v>167</v>
      </c>
      <c r="P133" s="90">
        <f>P130*(1+P131)+P132</f>
        <v>791.1369815</v>
      </c>
      <c r="Q133" s="5" t="s">
        <v>168</v>
      </c>
      <c r="R133" s="91">
        <f>IF(E126="Other DMG%",E128*E127,0)+IF(E129="Other DMG%",E131*E130,0)+IF(E132="Other DMG%",E134*E133,0)
+IF(H126="Other DMG%",H127*H128,0)+IF(H129="Other DMG%",H130*H131,0)
+M134</f>
        <v>0</v>
      </c>
    </row>
    <row r="134">
      <c r="A134" s="5"/>
      <c r="B134" s="103"/>
      <c r="D134" s="85" t="s">
        <v>169</v>
      </c>
      <c r="E134" s="107">
        <v>1.0</v>
      </c>
      <c r="F134" s="108"/>
      <c r="G134" s="71" t="s">
        <v>170</v>
      </c>
      <c r="H134" s="105" t="s">
        <v>116</v>
      </c>
      <c r="K134" s="109"/>
      <c r="L134" s="42" t="s">
        <v>168</v>
      </c>
      <c r="M134" s="110">
        <v>0.0</v>
      </c>
      <c r="O134" s="71" t="s">
        <v>4</v>
      </c>
      <c r="P134" s="90">
        <f>IF(B126="EM",IF(B122="4*",24,28.8)*IFS(B125="A6",4,B125="A5",3,OR(B125="A4",B125="A3"),2,B125="A2",1,OR(B125="A1",B125="A0"),0),0)
+IF(E124="EM",E125,0)+IF(E126="EM",E128*E127,0)+IF(E129="EM",E131*E130,0)+IF(E132="EM",E134*E133,0)
+IF(H123="EM",H124,0)+IF(H126="EM",H127*H128,0)+IF(H129="EM",H130*H131,0)+IF(H133="EM",187,0)+IF(H134="EM",187,0)+IF(H135="EM",187,0)+H34*19.82
+K128</f>
        <v>135.64</v>
      </c>
      <c r="Q134" s="111"/>
      <c r="R134" s="81"/>
    </row>
    <row r="135">
      <c r="A135" s="5"/>
      <c r="B135" s="103"/>
      <c r="D135" s="85" t="s">
        <v>171</v>
      </c>
      <c r="E135" s="112" t="b">
        <v>0</v>
      </c>
      <c r="G135" s="99" t="s">
        <v>172</v>
      </c>
      <c r="H135" s="113" t="s">
        <v>2</v>
      </c>
      <c r="O135" s="71" t="s">
        <v>2</v>
      </c>
      <c r="P135" s="114">
        <f>0.05
+IF(B126="CR",IF(B122="4*",0.04,0.048)*IFS(B125="A6",4,B125="A5",3,OR(B125="A4",B125="A3"),2,B125="A2",1,OR(B125="A1",B125="A0"),0),0)
+IF(E124="CR",E125,0)+IF(E126="CR",E128*E127,0)+IF(E129="CR",E131*E130,0)+IF(E132="CR",E134*E133,0)
+IF(H123="CR",H124,0)+IF(H126="CR",H127*H128,0)+IF(H129="CR",H130*H131,0)+IF(H135="CR",0.311,0)+I34*0.0331
+K129</f>
        <v>0.692</v>
      </c>
      <c r="Q135" s="115"/>
    </row>
    <row r="136">
      <c r="A136" s="5"/>
      <c r="B136" s="103"/>
      <c r="D136" s="85" t="s">
        <v>173</v>
      </c>
      <c r="E136" s="100">
        <f>IF(E121="Primordial Jade Cutter",(0.012+(E122-1)*0.003)*(P122*(1+P123)+P124),0)
+IF(E121="Staff of Homa",(0.008+(E122-1)*0.002)*(P122*(1+P123)+P124),0)
+IF(AND(E121="Staff of Homa",E135),(0.01+(E122-1)*0.002)*(P122*(1+P123)+P124),0)</f>
        <v>0</v>
      </c>
      <c r="G136" s="14"/>
      <c r="H136" s="14"/>
      <c r="O136" s="71" t="s">
        <v>3</v>
      </c>
      <c r="P136" s="116">
        <f>0.5
+IF(B126="CD",IF(B122="4*",0.08,0.096)*IFS(B125="A6",4,B125="A5",3,OR(B125="A4",B125="A3"),2,B125="A2",1,OR(B125="A1",B125="A0"),0),0)
+IF(E124="CD",E125,0)+IF(E126="CD",E128*E127,0)+IF(E129="CD",E131*E130,0)+IF(E132="CD",E134*E133,0)
+IF(H135="CD",0.622,0)+J34*0.0662
+K130</f>
        <v>1.2944</v>
      </c>
    </row>
    <row r="137">
      <c r="A137" s="5"/>
      <c r="B137" s="103"/>
      <c r="D137" s="99" t="s">
        <v>174</v>
      </c>
      <c r="E137" s="117">
        <f>IF(E121="Engulfing Lightning",(0.28+(E122-1)*0.07)*(P137-1),0)</f>
        <v>0</v>
      </c>
      <c r="G137" s="14"/>
      <c r="H137" s="14"/>
      <c r="O137" s="71" t="s">
        <v>5</v>
      </c>
      <c r="P137" s="91">
        <f>1
+IF(B126="ER",IF(B122="4*",0.067,0.08)*IFS(B125="A6",4,B125="A5",3,OR(B125="A4",B125="A3"),2,B125="A2",1,OR(B125="A1",B125="A0"),0),0)
+IF(E124="ER",E125,0)+IF(E126="ER",E128*E127,0)+IF(E129="ER",E131*E130,0)+IF(E132="ER",E134*E133,0)
+IF(H123="ER",H124,0)+IF(H126="ER",H127*H128,0)+IF(H129="ER",H130*H131,0)+IF(H133="ER",0.518,0)+K34*0.0551
+K131</f>
        <v>1.8794</v>
      </c>
    </row>
    <row r="138">
      <c r="A138" s="5"/>
      <c r="B138" s="103"/>
      <c r="G138" s="14"/>
      <c r="H138" s="14"/>
      <c r="O138" s="21" t="s">
        <v>163</v>
      </c>
      <c r="P138" s="118">
        <f>IF(B126="Healing Bonus",IF(B122="4*",0.04625,0.0555)*IFS(B125="A6",4,B125="A5",3,OR(B125="A4",B125="A3"),2,B125="A2",1,OR(B125="A1",B125="A0"),0),0)
+IF(E126="Healing Bonus",E128*E127,0)+IF(E129="Healing Bonus",E131*E130,0)+IF(E132="Healing Bonus",E134*E133,0)
+IF(H123="Healing Bonus",H124,0)+IF(H126="Healing Bonus",H127*H128,0)+IF(H129="Healing Bonus",H130*H131,0)+IF(H135="Healing Bonus",0.359,0)
+K132</f>
        <v>0</v>
      </c>
    </row>
    <row r="139">
      <c r="A139" s="119" t="s">
        <v>175</v>
      </c>
      <c r="B139" s="71"/>
      <c r="C139" s="120"/>
      <c r="D139" s="120"/>
      <c r="E139" s="120"/>
      <c r="F139" s="120"/>
      <c r="G139" s="5"/>
    </row>
    <row r="140">
      <c r="A140" s="85" t="str">
        <f>OFFSET(Stats!327:327,MATCH(B121,CharMVsCharNames,0)-1,0)</f>
        <v>Xiangling</v>
      </c>
      <c r="B140" s="121" t="s">
        <v>176</v>
      </c>
      <c r="C140" s="121" t="s">
        <v>177</v>
      </c>
      <c r="D140" s="121" t="s">
        <v>244</v>
      </c>
      <c r="E140" s="121" t="s">
        <v>245</v>
      </c>
      <c r="F140" s="121" t="s">
        <v>246</v>
      </c>
      <c r="G140" s="121" t="s">
        <v>180</v>
      </c>
      <c r="H140" s="121" t="s">
        <v>181</v>
      </c>
      <c r="I140" s="121" t="s">
        <v>182</v>
      </c>
      <c r="J140" s="121" t="s">
        <v>183</v>
      </c>
      <c r="K140" s="121" t="s">
        <v>189</v>
      </c>
      <c r="L140" s="121"/>
      <c r="M140" s="121"/>
      <c r="N140" s="121"/>
      <c r="O140" s="121"/>
      <c r="P140" s="121"/>
      <c r="Q140" s="122" t="s">
        <v>247</v>
      </c>
      <c r="R140" s="122" t="s">
        <v>192</v>
      </c>
      <c r="S140" s="122" t="s">
        <v>248</v>
      </c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 t="s">
        <v>249</v>
      </c>
      <c r="AH140" s="122" t="s">
        <v>250</v>
      </c>
      <c r="AI140" s="122" t="s">
        <v>251</v>
      </c>
      <c r="AJ140" s="122" t="s">
        <v>252</v>
      </c>
      <c r="AK140" s="122" t="s">
        <v>253</v>
      </c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3"/>
    </row>
    <row r="141">
      <c r="A141" s="99"/>
      <c r="B141" s="124">
        <f t="array" ref="B141">IF(ISBLANK(B140),"",INDEX(CharMVsBase,MATCH($B$121,CharMVsCharNames,0)+2,CELL("col",B140))
*HLOOKUP(INDEX(CharMVsBase,MATCH($B$121,CharMVsCharNames,0)+1,CELL("col",B140)),CharMVsScaling,$B$127+1,false))</f>
        <v>0.7724585</v>
      </c>
      <c r="C141" s="124">
        <f t="array" ref="C141">IF(ISBLANK(C140),"",INDEX(CharMVsBase,MATCH($B$121,CharMVsCharNames,0)+2,CELL("col",C140))
*HLOOKUP(INDEX(CharMVsBase,MATCH($B$121,CharMVsCharNames,0)+1,CELL("col",C140)),CharMVsScaling,$B$127+1,false))</f>
        <v>0.7741118</v>
      </c>
      <c r="D141" s="124">
        <f t="array" ref="D141">IF(ISBLANK(D140),"",INDEX(CharMVsBase,MATCH($B$121,CharMVsCharNames,0)+2,CELL("col",D140))
*HLOOKUP(INDEX(CharMVsBase,MATCH($B$121,CharMVsCharNames,0)+1,CELL("col",D140)),CharMVsScaling,$B$127+1,false))</f>
        <v>0.4787222</v>
      </c>
      <c r="E141" s="124">
        <f t="array" ref="E141">IF(ISBLANK(E140),"",INDEX(CharMVsBase,MATCH($B$121,CharMVsCharNames,0)+2,CELL("col",E140))
*HLOOKUP(INDEX(CharMVsBase,MATCH($B$121,CharMVsCharNames,0)+1,CELL("col",E140)),CharMVsScaling,$B$127+1,false))</f>
        <v>0.259017</v>
      </c>
      <c r="F141" s="124">
        <f t="array" ref="F141">IF(ISBLANK(F140),"",INDEX(CharMVsBase,MATCH($B$121,CharMVsCharNames,0)+2,CELL("col",F140))
*HLOOKUP(INDEX(CharMVsBase,MATCH($B$121,CharMVsCharNames,0)+1,CELL("col",F140)),CharMVsScaling,$B$127+1,false))</f>
        <v>1.3050048</v>
      </c>
      <c r="G141" s="124">
        <f t="array" ref="G141">IF(ISBLANK(G140),"",INDEX(CharMVsBase,MATCH($B$121,CharMVsCharNames,0)+2,CELL("col",G140))
*HLOOKUP(INDEX(CharMVsBase,MATCH($B$121,CharMVsCharNames,0)+1,CELL("col",G140)),CharMVsScaling,$B$127+1,false))</f>
        <v>2.2354453</v>
      </c>
      <c r="H141" s="124">
        <f t="array" ref="H141">IF(ISBLANK(H140),"",INDEX(CharMVsBase,MATCH($B$121,CharMVsCharNames,0)+2,CELL("col",H140))
*HLOOKUP(INDEX(CharMVsBase,MATCH($B$121,CharMVsCharNames,0)+1,CELL("col",H140)),CharMVsScaling,$B$127+1,false))</f>
        <v>1.1743941</v>
      </c>
      <c r="I141" s="124">
        <f t="array" ref="I141">IF(ISBLANK(I140),"",INDEX(CharMVsBase,MATCH($B$121,CharMVsCharNames,0)+2,CELL("col",I140))
*HLOOKUP(INDEX(CharMVsBase,MATCH($B$121,CharMVsCharNames,0)+1,CELL("col",I140)),CharMVsScaling,$B$127+1,false))</f>
        <v>2.3487882</v>
      </c>
      <c r="J141" s="124">
        <f t="array" ref="J141">IF(ISBLANK(J140),"",INDEX(CharMVsBase,MATCH($B$121,CharMVsCharNames,0)+2,CELL("col",J140))
*HLOOKUP(INDEX(CharMVsBase,MATCH($B$121,CharMVsCharNames,0)+1,CELL("col",J140)),CharMVsScaling,$B$127+1,false))</f>
        <v>2.9360771</v>
      </c>
      <c r="K141" s="124">
        <f t="array" ref="K141">IF(ISBLANK(K140),"",INDEX(CharMVsBase,MATCH($B$121,CharMVsCharNames,0)+2,CELL("col",K140))
*HLOOKUP(INDEX(CharMVsBase,MATCH($B$121,CharMVsCharNames,0)+1,CELL("col",K140)),CharMVsScaling,$B$127+1,false))</f>
        <v>0.75</v>
      </c>
      <c r="L141" s="124" t="str">
        <f t="array" ref="L141">IF(ISBLANK(L140),"",INDEX(CharMVsBase,MATCH($B$121,CharMVsCharNames,0)+2,CELL("col",L140))
*HLOOKUP(INDEX(CharMVsBase,MATCH($B$121,CharMVsCharNames,0)+1,CELL("col",L140)),CharMVsScaling,$B$127+1,false))</f>
        <v/>
      </c>
      <c r="M141" s="124" t="str">
        <f t="array" ref="M141">IF(ISBLANK(M140),"",INDEX(CharMVsBase,MATCH($B$121,CharMVsCharNames,0)+2,CELL("col",M140))
*HLOOKUP(INDEX(CharMVsBase,MATCH($B$121,CharMVsCharNames,0)+1,CELL("col",M140)),CharMVsScaling,$B$127+1,false))</f>
        <v/>
      </c>
      <c r="N141" s="124" t="str">
        <f t="array" ref="N141">IF(ISBLANK(N140),"",INDEX(CharMVsBase,MATCH($B$121,CharMVsCharNames,0)+2,CELL("col",N140))
*HLOOKUP(INDEX(CharMVsBase,MATCH($B$121,CharMVsCharNames,0)+1,CELL("col",N140)),CharMVsScaling,$B$127+1,false))</f>
        <v/>
      </c>
      <c r="O141" s="124" t="str">
        <f t="array" ref="O141">IF(ISBLANK(O140),"",INDEX(CharMVsBase,MATCH($B$121,CharMVsCharNames,0)+2,CELL("col",O140))
*HLOOKUP(INDEX(CharMVsBase,MATCH($B$121,CharMVsCharNames,0)+1,CELL("col",O140)),CharMVsScaling,$B$127+1,false))</f>
        <v/>
      </c>
      <c r="P141" s="124" t="str">
        <f t="array" ref="P141">IF(ISBLANK(P140),"",INDEX(CharMVsBase,MATCH($B$121,CharMVsCharNames,0)+2,CELL("col",P140))
*HLOOKUP(INDEX(CharMVsBase,MATCH($B$121,CharMVsCharNames,0)+1,CELL("col",P140)),CharMVsScaling,$B$127+1,false))</f>
        <v/>
      </c>
      <c r="Q141" s="124">
        <f t="array" ref="Q141">IF(ISBLANK(Q140),"",INDEX(CharMVsBase,MATCH($B$121,CharMVsCharNames,0)+2,CELL("col",Q140))
*HLOOKUP(INDEX(CharMVsBase,MATCH($B$121,CharMVsCharNames,0)+1,CELL("col",Q140)),CharMVsScaling,$B$128+1,false))</f>
        <v>2.2256</v>
      </c>
      <c r="R141" s="124">
        <f t="array" ref="R141">IF(ISBLANK(R140),"",INDEX(CharMVsBase,MATCH($B$121,CharMVsCharNames,0)+2,CELL("col",R140))
*HLOOKUP(INDEX(CharMVsBase,MATCH($B$121,CharMVsCharNames,0)+1,CELL("col",R140)),CharMVsScaling,$B$128+1,false))</f>
        <v>0.1</v>
      </c>
      <c r="S141" s="124">
        <f t="array" ref="S141">IF(ISBLANK(S140),"",INDEX(CharMVsBase,MATCH($B$121,CharMVsCharNames,0)+2,CELL("col",S140))
*HLOOKUP(INDEX(CharMVsBase,MATCH($B$121,CharMVsCharNames,0)+1,CELL("col",S140)),CharMVsScaling,$B$128+1,false))</f>
        <v>-0.15</v>
      </c>
      <c r="T141" s="124" t="str">
        <f t="array" ref="T141">IF(ISBLANK(T140),"",INDEX(CharMVsBase,MATCH($B$121,CharMVsCharNames,0)+2,CELL("col",T140))
*HLOOKUP(INDEX(CharMVsBase,MATCH($B$121,CharMVsCharNames,0)+1,CELL("col",T140)),CharMVsScaling,$B$128+1,false))</f>
        <v/>
      </c>
      <c r="U141" s="124" t="str">
        <f t="array" ref="U141">IF(ISBLANK(U140),"",INDEX(CharMVsBase,MATCH($B$121,CharMVsCharNames,0)+2,CELL("col",U140))
*HLOOKUP(INDEX(CharMVsBase,MATCH($B$121,CharMVsCharNames,0)+1,CELL("col",U140)),CharMVsScaling,$B$128+1,false))</f>
        <v/>
      </c>
      <c r="V141" s="124" t="str">
        <f t="array" ref="V141">IF(ISBLANK(V140),"",INDEX(CharMVsBase,MATCH($B$121,CharMVsCharNames,0)+2,CELL("col",V140))
*HLOOKUP(INDEX(CharMVsBase,MATCH($B$121,CharMVsCharNames,0)+1,CELL("col",V140)),CharMVsScaling,$B$128+1,false))</f>
        <v/>
      </c>
      <c r="W141" s="124" t="str">
        <f t="array" ref="W141">IF(ISBLANK(W140),"",INDEX(CharMVsBase,MATCH($B$121,CharMVsCharNames,0)+2,CELL("col",W140))
*HLOOKUP(INDEX(CharMVsBase,MATCH($B$121,CharMVsCharNames,0)+1,CELL("col",W140)),CharMVsScaling,$B$128+1,false))</f>
        <v/>
      </c>
      <c r="X141" s="124" t="str">
        <f t="array" ref="X141">IF(ISBLANK(X140),"",INDEX(CharMVsBase,MATCH($B$121,CharMVsCharNames,0)+2,CELL("col",X140))
*HLOOKUP(INDEX(CharMVsBase,MATCH($B$121,CharMVsCharNames,0)+1,CELL("col",X140)),CharMVsScaling,$B$128+1,false))</f>
        <v/>
      </c>
      <c r="Y141" s="124" t="str">
        <f t="array" ref="Y141">IF(ISBLANK(Y140),"",INDEX(CharMVsBase,MATCH($B$121,CharMVsCharNames,0)+2,CELL("col",Y140))
*HLOOKUP(INDEX(CharMVsBase,MATCH($B$121,CharMVsCharNames,0)+1,CELL("col",Y140)),CharMVsScaling,$B$128+1,false))</f>
        <v/>
      </c>
      <c r="Z141" s="124" t="str">
        <f t="array" ref="Z141">IF(ISBLANK(Z140),"",INDEX(CharMVsBase,MATCH($B$121,CharMVsCharNames,0)+2,CELL("col",Z140))
*HLOOKUP(INDEX(CharMVsBase,MATCH($B$121,CharMVsCharNames,0)+1,CELL("col",Z140)),CharMVsScaling,$B$128+1,false))</f>
        <v/>
      </c>
      <c r="AA141" s="124" t="str">
        <f t="array" ref="AA141">IF(ISBLANK(AA140),"",INDEX(CharMVsBase,MATCH($B$121,CharMVsCharNames,0)+2,CELL("col",AA140))
*HLOOKUP(INDEX(CharMVsBase,MATCH($B$121,CharMVsCharNames,0)+1,CELL("col",AA140)),CharMVsScaling,$B$128+1,false))</f>
        <v/>
      </c>
      <c r="AB141" s="124" t="str">
        <f t="array" ref="AB141">IF(ISBLANK(AB140),"",INDEX(CharMVsBase,MATCH($B$121,CharMVsCharNames,0)+2,CELL("col",AB140))
*HLOOKUP(INDEX(CharMVsBase,MATCH($B$121,CharMVsCharNames,0)+1,CELL("col",AB140)),CharMVsScaling,$B$128+1,false))</f>
        <v/>
      </c>
      <c r="AC141" s="124" t="str">
        <f t="array" ref="AC141">IF(ISBLANK(AC140),"",INDEX(CharMVsBase,MATCH($B$121,CharMVsCharNames,0)+2,CELL("col",AC140))
*HLOOKUP(INDEX(CharMVsBase,MATCH($B$121,CharMVsCharNames,0)+1,CELL("col",AC140)),CharMVsScaling,$B$128+1,false))</f>
        <v/>
      </c>
      <c r="AD141" s="124" t="str">
        <f t="array" ref="AD141">IF(ISBLANK(AD140),"",INDEX(CharMVsBase,MATCH($B$121,CharMVsCharNames,0)+2,CELL("col",AD140))
*HLOOKUP(INDEX(CharMVsBase,MATCH($B$121,CharMVsCharNames,0)+1,CELL("col",AD140)),CharMVsScaling,$B$128+1,false))</f>
        <v/>
      </c>
      <c r="AE141" s="124" t="str">
        <f t="array" ref="AE141">IF(ISBLANK(AE140),"",INDEX(CharMVsBase,MATCH($B$121,CharMVsCharNames,0)+2,CELL("col",AE140))
*HLOOKUP(INDEX(CharMVsBase,MATCH($B$121,CharMVsCharNames,0)+1,CELL("col",AE140)),CharMVsScaling,$B$128+1,false))</f>
        <v/>
      </c>
      <c r="AF141" s="124" t="str">
        <f t="array" ref="AF141">IF(ISBLANK(AF140),"",INDEX(CharMVsBase,MATCH($B$121,CharMVsCharNames,0)+2,CELL("col",AF140))
*HLOOKUP(INDEX(CharMVsBase,MATCH($B$121,CharMVsCharNames,0)+1,CELL("col",AF140)),CharMVsScaling,$B$128+1,false))</f>
        <v/>
      </c>
      <c r="AG141" s="124">
        <f t="array" ref="AG141">IF(ISBLANK(AG140),"",INDEX(CharMVsBase,MATCH($B$121,CharMVsCharNames,0)+2,CELL("col",AG140))
*HLOOKUP(INDEX(CharMVsBase,MATCH($B$121,CharMVsCharNames,0)+1,CELL("col",AG140)),CharMVsScaling,$B$129+1,false))</f>
        <v>1.44</v>
      </c>
      <c r="AH141" s="124">
        <f t="array" ref="AH141">IF(ISBLANK(AH140),"",INDEX(CharMVsBase,MATCH($B$121,CharMVsCharNames,0)+2,CELL("col",AH140))
*HLOOKUP(INDEX(CharMVsBase,MATCH($B$121,CharMVsCharNames,0)+1,CELL("col",AH140)),CharMVsScaling,$B$129+1,false))</f>
        <v>1.76</v>
      </c>
      <c r="AI141" s="124">
        <f t="array" ref="AI141">IF(ISBLANK(AI140),"",INDEX(CharMVsBase,MATCH($B$121,CharMVsCharNames,0)+2,CELL("col",AI140))
*HLOOKUP(INDEX(CharMVsBase,MATCH($B$121,CharMVsCharNames,0)+1,CELL("col",AI140)),CharMVsScaling,$B$129+1,false))</f>
        <v>2.192</v>
      </c>
      <c r="AJ141" s="124">
        <f t="array" ref="AJ141">IF(ISBLANK(AJ140),"",INDEX(CharMVsBase,MATCH($B$121,CharMVsCharNames,0)+2,CELL("col",AJ140))
*HLOOKUP(INDEX(CharMVsBase,MATCH($B$121,CharMVsCharNames,0)+1,CELL("col",AJ140)),CharMVsScaling,$B$129+1,false))</f>
        <v>2.24</v>
      </c>
      <c r="AK141" s="124">
        <f t="array" ref="AK141">IF(ISBLANK(AK140),"",INDEX(CharMVsBase,MATCH($B$121,CharMVsCharNames,0)+2,CELL("col",AK140))
*HLOOKUP(INDEX(CharMVsBase,MATCH($B$121,CharMVsCharNames,0)+1,CELL("col",AK140)),CharMVsScaling,$B$129+1,false))</f>
        <v>0.15</v>
      </c>
      <c r="AL141" s="124" t="str">
        <f t="array" ref="AL141">IF(ISBLANK(AL140),"",INDEX(CharMVsBase,MATCH($B$121,CharMVsCharNames,0)+2,CELL("col",AL140))
*HLOOKUP(INDEX(CharMVsBase,MATCH($B$121,CharMVsCharNames,0)+1,CELL("col",AL140)),CharMVsScaling,$B$129+1,false))</f>
        <v/>
      </c>
      <c r="AM141" s="124" t="str">
        <f t="array" ref="AM141">IF(ISBLANK(AM140),"",INDEX(CharMVsBase,MATCH($B$121,CharMVsCharNames,0)+2,CELL("col",AM140))
*HLOOKUP(INDEX(CharMVsBase,MATCH($B$121,CharMVsCharNames,0)+1,CELL("col",AM140)),CharMVsScaling,$B$129+1,false))</f>
        <v/>
      </c>
      <c r="AN141" s="124" t="str">
        <f t="array" ref="AN141">IF(ISBLANK(AN140),"",INDEX(CharMVsBase,MATCH($B$121,CharMVsCharNames,0)+2,CELL("col",AN140))
*HLOOKUP(INDEX(CharMVsBase,MATCH($B$121,CharMVsCharNames,0)+1,CELL("col",AN140)),CharMVsScaling,$B$129+1,false))</f>
        <v/>
      </c>
      <c r="AO141" s="124" t="str">
        <f t="array" ref="AO141">IF(ISBLANK(AO140),"",INDEX(CharMVsBase,MATCH($B$121,CharMVsCharNames,0)+2,CELL("col",AO140))
*HLOOKUP(INDEX(CharMVsBase,MATCH($B$121,CharMVsCharNames,0)+1,CELL("col",AO140)),CharMVsScaling,$B$129+1,false))</f>
        <v/>
      </c>
      <c r="AP141" s="124" t="str">
        <f t="array" ref="AP141">IF(ISBLANK(AP140),"",INDEX(CharMVsBase,MATCH($B$121,CharMVsCharNames,0)+2,CELL("col",AP140))
*HLOOKUP(INDEX(CharMVsBase,MATCH($B$121,CharMVsCharNames,0)+1,CELL("col",AP140)),CharMVsScaling,$B$129+1,false))</f>
        <v/>
      </c>
      <c r="AQ141" s="124" t="str">
        <f t="array" ref="AQ141">IF(ISBLANK(AQ140),"",INDEX(CharMVsBase,MATCH($B$121,CharMVsCharNames,0)+2,CELL("col",AQ140))
*HLOOKUP(INDEX(CharMVsBase,MATCH($B$121,CharMVsCharNames,0)+1,CELL("col",AQ140)),CharMVsScaling,$B$129+1,false))</f>
        <v/>
      </c>
      <c r="AR141" s="124" t="str">
        <f t="array" ref="AR141">IF(ISBLANK(AR140),"",INDEX(CharMVsBase,MATCH($B$121,CharMVsCharNames,0)+2,CELL("col",AR140))
*HLOOKUP(INDEX(CharMVsBase,MATCH($B$121,CharMVsCharNames,0)+1,CELL("col",AR140)),CharMVsScaling,$B$129+1,false))</f>
        <v/>
      </c>
      <c r="AS141" s="124" t="str">
        <f t="array" ref="AS141">IF(ISBLANK(AS140),"",INDEX(CharMVsBase,MATCH($B$121,CharMVsCharNames,0)+2,CELL("col",AS140))
*HLOOKUP(INDEX(CharMVsBase,MATCH($B$121,CharMVsCharNames,0)+1,CELL("col",AS140)),CharMVsScaling,$B$129+1,false))</f>
        <v/>
      </c>
      <c r="AT141" s="124" t="str">
        <f t="array" ref="AT141">IF(ISBLANK(AT140),"",INDEX(CharMVsBase,MATCH($B$121,CharMVsCharNames,0)+2,CELL("col",AT140))
*HLOOKUP(INDEX(CharMVsBase,MATCH($B$121,CharMVsCharNames,0)+1,CELL("col",AT140)),CharMVsScaling,$B$129+1,false))</f>
        <v/>
      </c>
      <c r="AU141" s="124" t="str">
        <f t="array" ref="AU141">IF(ISBLANK(AU140),"",INDEX(CharMVsBase,MATCH($B$121,CharMVsCharNames,0)+2,CELL("col",AU140))
*HLOOKUP(INDEX(CharMVsBase,MATCH($B$121,CharMVsCharNames,0)+1,CELL("col",AU140)),CharMVsScaling,$B$129+1,false))</f>
        <v/>
      </c>
    </row>
    <row r="143">
      <c r="A143" s="19" t="s">
        <v>24</v>
      </c>
      <c r="B143" s="23" t="s">
        <v>193</v>
      </c>
      <c r="C143" s="23" t="s">
        <v>194</v>
      </c>
      <c r="D143" s="23" t="s">
        <v>195</v>
      </c>
      <c r="E143" s="23" t="s">
        <v>196</v>
      </c>
      <c r="F143" s="23" t="s">
        <v>197</v>
      </c>
      <c r="G143" s="23" t="s">
        <v>198</v>
      </c>
      <c r="H143" s="125" t="s">
        <v>199</v>
      </c>
      <c r="I143" s="125" t="s">
        <v>200</v>
      </c>
      <c r="J143" s="125" t="s">
        <v>201</v>
      </c>
      <c r="K143" s="125" t="s">
        <v>202</v>
      </c>
      <c r="L143" s="125" t="s">
        <v>203</v>
      </c>
      <c r="M143" s="125" t="s">
        <v>204</v>
      </c>
      <c r="N143" s="125" t="s">
        <v>205</v>
      </c>
      <c r="O143" s="125" t="s">
        <v>206</v>
      </c>
      <c r="P143" s="125" t="s">
        <v>207</v>
      </c>
      <c r="Q143" s="125" t="s">
        <v>208</v>
      </c>
      <c r="R143" s="23" t="s">
        <v>209</v>
      </c>
      <c r="S143" s="23" t="s">
        <v>210</v>
      </c>
      <c r="T143" s="23" t="s">
        <v>211</v>
      </c>
      <c r="U143" s="23" t="s">
        <v>212</v>
      </c>
      <c r="V143" s="23" t="s">
        <v>213</v>
      </c>
      <c r="W143" s="25" t="s">
        <v>214</v>
      </c>
    </row>
    <row r="144">
      <c r="A144" s="50" t="s">
        <v>215</v>
      </c>
      <c r="B144" s="126" t="s">
        <v>176</v>
      </c>
      <c r="C144" s="127">
        <v>1.0</v>
      </c>
      <c r="D144" s="128">
        <f t="shared" ref="D144:D156" si="30">HLOOKUP(B144,A$140:AU$141,2,false)
*C144</f>
        <v>0.7724585</v>
      </c>
      <c r="E144" s="129" t="str">
        <f t="array" ref="E144">INDEX(CharMVsBase,MATCH(B$121,CharMVsCharNames,0)+3,MATCH(B144,B$140:AU$140,0)+1)</f>
        <v>ATK</v>
      </c>
      <c r="F144" s="126" t="s">
        <v>83</v>
      </c>
      <c r="G144" s="129" t="str">
        <f t="array" ref="G144">INDEX(CharMVsBase,MATCH(B$121,CharMVsCharNames,0)+4,MATCH(B144,B$140:AU$140,0)+1)</f>
        <v>NA DMG%</v>
      </c>
      <c r="H144" s="88">
        <v>0.2</v>
      </c>
      <c r="I144" s="130">
        <v>0.0</v>
      </c>
      <c r="J144" s="130">
        <v>0.0</v>
      </c>
      <c r="K144" s="88">
        <v>0.0</v>
      </c>
      <c r="L144" s="88">
        <v>0.0</v>
      </c>
      <c r="M144" s="88">
        <v>0.0</v>
      </c>
      <c r="N144" s="88">
        <v>0.0</v>
      </c>
      <c r="O144" s="88">
        <v>0.0</v>
      </c>
      <c r="P144" s="88">
        <v>-0.15</v>
      </c>
      <c r="Q144" s="88">
        <v>0.0</v>
      </c>
      <c r="R144" s="90">
        <f t="shared" ref="R144:R156" si="31">D144
*(IFS(E144="ATK",(P$126*(1+P$127+H144)+P$128+I144),E144="DEF",(P$130*(1+P$131+H144)+P$132+I144),E144="HP",(P$122*(1+P$123+H144)+P$124+I144),TRUE,1)
*(1+MEDIAN(0,1,(P$135+L144))*(P$136+M144))
*(1+VLOOKUP(CONCATENATE(F144," DMG%"),Q$121:R$127,2,false)+IF(G144="",0,VLOOKUP(G144,Q$128:R$132,2,false))+R$133+N144)
*IF((VLOOKUP(F144,A$57:B$63,2,false)+O144)&lt;0,1-(VLOOKUP(F144,A$57:B$63,2,false)+O144)/2,1-(VLOOKUP(F144,A$57:B$63,2,false)+O144))
*((B$124+100)/((1+P144)*(1+Q144)*(B$56+100)+B$124+100)))</f>
        <v>1141.946641</v>
      </c>
      <c r="S144" s="131">
        <v>0.0</v>
      </c>
      <c r="T144" s="126">
        <v>1.5</v>
      </c>
      <c r="U144" s="132">
        <f t="shared" ref="U144:U158" si="32">((1-S144)*R144
+S144*R144
*T144
*(1+(2.78*(P$134+J144)/(P$134+J144+1400))+K144+IF(H$125="4CW",0.15,0)))</f>
        <v>1141.946641</v>
      </c>
      <c r="V144" s="126">
        <v>1.0</v>
      </c>
      <c r="W144" s="133">
        <f t="shared" ref="W144:W162" si="33">U144*V144</f>
        <v>1141.946641</v>
      </c>
      <c r="X144" s="5" t="s">
        <v>254</v>
      </c>
      <c r="Y144" s="5" t="s">
        <v>92</v>
      </c>
      <c r="Z144" s="159" t="s">
        <v>255</v>
      </c>
    </row>
    <row r="145">
      <c r="A145" s="50" t="s">
        <v>215</v>
      </c>
      <c r="B145" s="126" t="s">
        <v>177</v>
      </c>
      <c r="C145" s="127">
        <v>1.0</v>
      </c>
      <c r="D145" s="128">
        <f t="shared" si="30"/>
        <v>0.7741118</v>
      </c>
      <c r="E145" s="129" t="str">
        <f t="array" ref="E145">INDEX(CharMVsBase,MATCH(B$121,CharMVsCharNames,0)+3,MATCH(B145,B$140:AU$140,0)+1)</f>
        <v>ATK</v>
      </c>
      <c r="F145" s="126" t="s">
        <v>83</v>
      </c>
      <c r="G145" s="129" t="str">
        <f t="array" ref="G145">INDEX(CharMVsBase,MATCH(B$121,CharMVsCharNames,0)+4,MATCH(B145,B$140:AU$140,0)+1)</f>
        <v>NA DMG%</v>
      </c>
      <c r="H145" s="88">
        <v>0.2</v>
      </c>
      <c r="I145" s="130">
        <v>0.0</v>
      </c>
      <c r="J145" s="130">
        <v>0.0</v>
      </c>
      <c r="K145" s="88">
        <v>0.0</v>
      </c>
      <c r="L145" s="88">
        <v>0.0</v>
      </c>
      <c r="M145" s="88">
        <v>0.0</v>
      </c>
      <c r="N145" s="88">
        <v>0.0</v>
      </c>
      <c r="O145" s="88">
        <v>0.0</v>
      </c>
      <c r="P145" s="88">
        <v>-0.15</v>
      </c>
      <c r="Q145" s="88">
        <v>0.0</v>
      </c>
      <c r="R145" s="90">
        <f t="shared" si="31"/>
        <v>1144.39076</v>
      </c>
      <c r="S145" s="131">
        <v>0.0</v>
      </c>
      <c r="T145" s="126">
        <v>1.5</v>
      </c>
      <c r="U145" s="132">
        <f t="shared" si="32"/>
        <v>1144.39076</v>
      </c>
      <c r="V145" s="126">
        <v>1.0</v>
      </c>
      <c r="W145" s="133">
        <f t="shared" si="33"/>
        <v>1144.39076</v>
      </c>
      <c r="X145" s="5" t="s">
        <v>256</v>
      </c>
      <c r="Y145" s="5" t="s">
        <v>92</v>
      </c>
      <c r="Z145" s="159" t="s">
        <v>255</v>
      </c>
    </row>
    <row r="146">
      <c r="A146" s="50" t="s">
        <v>215</v>
      </c>
      <c r="B146" s="126" t="s">
        <v>244</v>
      </c>
      <c r="C146" s="127">
        <v>1.0</v>
      </c>
      <c r="D146" s="128">
        <f t="shared" si="30"/>
        <v>0.4787222</v>
      </c>
      <c r="E146" s="129" t="str">
        <f t="array" ref="E146">INDEX(CharMVsBase,MATCH(B$121,CharMVsCharNames,0)+3,MATCH(B146,B$140:AU$140,0)+1)</f>
        <v>ATK</v>
      </c>
      <c r="F146" s="126" t="s">
        <v>83</v>
      </c>
      <c r="G146" s="129" t="str">
        <f t="array" ref="G146">INDEX(CharMVsBase,MATCH(B$121,CharMVsCharNames,0)+4,MATCH(B146,B$140:AU$140,0)+1)</f>
        <v>NA DMG%</v>
      </c>
      <c r="H146" s="88">
        <v>0.2</v>
      </c>
      <c r="I146" s="130">
        <v>0.0</v>
      </c>
      <c r="J146" s="130">
        <v>0.0</v>
      </c>
      <c r="K146" s="88">
        <v>0.0</v>
      </c>
      <c r="L146" s="88">
        <v>0.0</v>
      </c>
      <c r="M146" s="88">
        <v>0.0</v>
      </c>
      <c r="N146" s="88">
        <v>0.0</v>
      </c>
      <c r="O146" s="88">
        <v>0.0</v>
      </c>
      <c r="P146" s="88">
        <v>-0.15</v>
      </c>
      <c r="Q146" s="88">
        <v>0.0</v>
      </c>
      <c r="R146" s="90">
        <f t="shared" si="31"/>
        <v>707.7081916</v>
      </c>
      <c r="S146" s="131">
        <v>0.0</v>
      </c>
      <c r="T146" s="126">
        <v>1.5</v>
      </c>
      <c r="U146" s="132">
        <f t="shared" si="32"/>
        <v>707.7081916</v>
      </c>
      <c r="V146" s="126">
        <v>1.0</v>
      </c>
      <c r="W146" s="133">
        <f t="shared" si="33"/>
        <v>707.7081916</v>
      </c>
      <c r="X146" s="5" t="s">
        <v>257</v>
      </c>
      <c r="Y146" s="5" t="s">
        <v>92</v>
      </c>
      <c r="Z146" s="159" t="s">
        <v>255</v>
      </c>
    </row>
    <row r="147">
      <c r="A147" s="50" t="s">
        <v>215</v>
      </c>
      <c r="B147" s="126" t="s">
        <v>176</v>
      </c>
      <c r="C147" s="127">
        <v>1.0</v>
      </c>
      <c r="D147" s="128">
        <f t="shared" si="30"/>
        <v>0.7724585</v>
      </c>
      <c r="E147" s="129" t="str">
        <f t="array" ref="E147">INDEX(CharMVsBase,MATCH(B$121,CharMVsCharNames,0)+3,MATCH(B147,B$140:AU$140,0)+1)</f>
        <v>ATK</v>
      </c>
      <c r="F147" s="126" t="s">
        <v>84</v>
      </c>
      <c r="G147" s="129" t="str">
        <f t="array" ref="G147">INDEX(CharMVsBase,MATCH(B$121,CharMVsCharNames,0)+4,MATCH(B147,B$140:AU$140,0)+1)</f>
        <v>NA DMG%</v>
      </c>
      <c r="H147" s="88">
        <v>0.2</v>
      </c>
      <c r="I147" s="130">
        <v>0.0</v>
      </c>
      <c r="J147" s="130">
        <v>0.0</v>
      </c>
      <c r="K147" s="88">
        <v>0.0</v>
      </c>
      <c r="L147" s="88">
        <v>0.0</v>
      </c>
      <c r="M147" s="88">
        <v>0.0</v>
      </c>
      <c r="N147" s="88">
        <f t="shared" ref="N147:N149" si="34">$B$79+20%+15%</f>
        <v>0.668048</v>
      </c>
      <c r="O147" s="88">
        <v>0.0</v>
      </c>
      <c r="P147" s="88">
        <v>-0.15</v>
      </c>
      <c r="Q147" s="88">
        <v>0.0</v>
      </c>
      <c r="R147" s="90">
        <f t="shared" si="31"/>
        <v>2436.968945</v>
      </c>
      <c r="S147" s="131">
        <v>0.0</v>
      </c>
      <c r="T147" s="126">
        <v>1.5</v>
      </c>
      <c r="U147" s="132">
        <f t="shared" si="32"/>
        <v>2436.968945</v>
      </c>
      <c r="V147" s="126">
        <v>1.0</v>
      </c>
      <c r="W147" s="133">
        <f t="shared" si="33"/>
        <v>2436.968945</v>
      </c>
      <c r="X147" s="5" t="s">
        <v>254</v>
      </c>
      <c r="Y147" s="5" t="s">
        <v>92</v>
      </c>
      <c r="Z147" s="159" t="s">
        <v>255</v>
      </c>
      <c r="AA147" s="145" t="s">
        <v>84</v>
      </c>
      <c r="AB147" s="145" t="s">
        <v>103</v>
      </c>
      <c r="AC147" s="145" t="s">
        <v>218</v>
      </c>
      <c r="AD147" s="145"/>
      <c r="AE147" s="145" t="s">
        <v>258</v>
      </c>
      <c r="AF147" s="145" t="s">
        <v>229</v>
      </c>
    </row>
    <row r="148">
      <c r="A148" s="50" t="s">
        <v>215</v>
      </c>
      <c r="B148" s="137" t="s">
        <v>177</v>
      </c>
      <c r="C148" s="160">
        <v>1.0</v>
      </c>
      <c r="D148" s="161">
        <f t="shared" si="30"/>
        <v>0.7741118</v>
      </c>
      <c r="E148" s="162" t="str">
        <f t="array" ref="E148">INDEX(CharMVsBase,MATCH(B$121,CharMVsCharNames,0)+3,MATCH(B148,B$140:AU$140,0)+1)</f>
        <v>ATK</v>
      </c>
      <c r="F148" s="126" t="s">
        <v>84</v>
      </c>
      <c r="G148" s="162" t="str">
        <f t="array" ref="G148">INDEX(CharMVsBase,MATCH(B$121,CharMVsCharNames,0)+4,MATCH(B148,B$140:AU$140,0)+1)</f>
        <v>NA DMG%</v>
      </c>
      <c r="H148" s="88">
        <v>0.2</v>
      </c>
      <c r="I148" s="139">
        <v>0.0</v>
      </c>
      <c r="J148" s="139">
        <v>0.0</v>
      </c>
      <c r="K148" s="140">
        <v>0.0</v>
      </c>
      <c r="L148" s="140">
        <v>0.0</v>
      </c>
      <c r="M148" s="140">
        <v>0.0</v>
      </c>
      <c r="N148" s="88">
        <f t="shared" si="34"/>
        <v>0.668048</v>
      </c>
      <c r="O148" s="140">
        <v>-0.55</v>
      </c>
      <c r="P148" s="88">
        <v>-0.15</v>
      </c>
      <c r="Q148" s="140">
        <v>0.0</v>
      </c>
      <c r="R148" s="141">
        <f t="shared" si="31"/>
        <v>3324.084883</v>
      </c>
      <c r="S148" s="142">
        <v>0.0</v>
      </c>
      <c r="T148" s="137">
        <v>1.5</v>
      </c>
      <c r="U148" s="143">
        <f t="shared" si="32"/>
        <v>3324.084883</v>
      </c>
      <c r="V148" s="137">
        <v>1.0</v>
      </c>
      <c r="W148" s="144">
        <f t="shared" si="33"/>
        <v>3324.084883</v>
      </c>
      <c r="X148" s="5" t="s">
        <v>256</v>
      </c>
      <c r="Y148" s="5" t="s">
        <v>92</v>
      </c>
      <c r="Z148" s="159" t="s">
        <v>255</v>
      </c>
      <c r="AA148" s="5" t="s">
        <v>84</v>
      </c>
      <c r="AB148" s="5" t="s">
        <v>103</v>
      </c>
      <c r="AC148" s="5" t="s">
        <v>218</v>
      </c>
      <c r="AD148" s="5" t="s">
        <v>230</v>
      </c>
      <c r="AE148" s="5" t="s">
        <v>258</v>
      </c>
      <c r="AF148" s="5" t="s">
        <v>229</v>
      </c>
    </row>
    <row r="149">
      <c r="A149" s="50" t="s">
        <v>215</v>
      </c>
      <c r="B149" s="126" t="s">
        <v>244</v>
      </c>
      <c r="C149" s="127">
        <v>1.0</v>
      </c>
      <c r="D149" s="128">
        <f t="shared" si="30"/>
        <v>0.4787222</v>
      </c>
      <c r="E149" s="129" t="str">
        <f t="array" ref="E149">INDEX(CharMVsBase,MATCH(B$121,CharMVsCharNames,0)+3,MATCH(B149,B$140:AU$140,0)+1)</f>
        <v>ATK</v>
      </c>
      <c r="F149" s="126" t="s">
        <v>84</v>
      </c>
      <c r="G149" s="129" t="str">
        <f t="array" ref="G149">INDEX(CharMVsBase,MATCH(B$121,CharMVsCharNames,0)+4,MATCH(B149,B$140:AU$140,0)+1)</f>
        <v>NA DMG%</v>
      </c>
      <c r="H149" s="88">
        <v>0.2</v>
      </c>
      <c r="I149" s="130">
        <v>0.0</v>
      </c>
      <c r="J149" s="130">
        <v>0.0</v>
      </c>
      <c r="K149" s="88">
        <v>0.0</v>
      </c>
      <c r="L149" s="88">
        <v>0.0</v>
      </c>
      <c r="M149" s="88">
        <v>0.0</v>
      </c>
      <c r="N149" s="88">
        <f t="shared" si="34"/>
        <v>0.668048</v>
      </c>
      <c r="O149" s="140">
        <v>-0.55</v>
      </c>
      <c r="P149" s="88">
        <v>-0.15</v>
      </c>
      <c r="Q149" s="88">
        <v>0.0</v>
      </c>
      <c r="R149" s="90">
        <f t="shared" si="31"/>
        <v>2055.663314</v>
      </c>
      <c r="S149" s="131">
        <v>0.0</v>
      </c>
      <c r="T149" s="126">
        <v>1.5</v>
      </c>
      <c r="U149" s="132">
        <f t="shared" si="32"/>
        <v>2055.663314</v>
      </c>
      <c r="V149" s="126">
        <v>1.0</v>
      </c>
      <c r="W149" s="133">
        <f t="shared" si="33"/>
        <v>2055.663314</v>
      </c>
      <c r="X149" s="5" t="s">
        <v>257</v>
      </c>
      <c r="Y149" s="5" t="s">
        <v>92</v>
      </c>
      <c r="Z149" s="159" t="s">
        <v>255</v>
      </c>
      <c r="AA149" s="5" t="s">
        <v>84</v>
      </c>
      <c r="AB149" s="5" t="s">
        <v>103</v>
      </c>
      <c r="AC149" s="5" t="s">
        <v>218</v>
      </c>
      <c r="AD149" s="5" t="s">
        <v>230</v>
      </c>
      <c r="AE149" s="5" t="s">
        <v>258</v>
      </c>
      <c r="AF149" s="5" t="s">
        <v>229</v>
      </c>
    </row>
    <row r="150">
      <c r="A150" s="50" t="s">
        <v>215</v>
      </c>
      <c r="B150" s="126" t="s">
        <v>249</v>
      </c>
      <c r="C150" s="127">
        <v>1.0</v>
      </c>
      <c r="D150" s="128">
        <f t="shared" si="30"/>
        <v>1.44</v>
      </c>
      <c r="E150" s="129" t="str">
        <f t="array" ref="E150">INDEX(CharMVsBase,MATCH(B$121,CharMVsCharNames,0)+3,MATCH(B150,B$140:AU$140,0)+1)</f>
        <v>ATK</v>
      </c>
      <c r="F150" s="126" t="s">
        <v>84</v>
      </c>
      <c r="G150" s="129" t="str">
        <f t="array" ref="G150">INDEX(CharMVsBase,MATCH(B$121,CharMVsCharNames,0)+4,MATCH(B150,B$140:AU$140,0)+1)</f>
        <v>Burst DMG%</v>
      </c>
      <c r="H150" s="88">
        <v>0.2</v>
      </c>
      <c r="I150" s="130">
        <v>0.0</v>
      </c>
      <c r="J150" s="130">
        <v>0.0</v>
      </c>
      <c r="K150" s="88">
        <v>0.0</v>
      </c>
      <c r="L150" s="88">
        <v>0.12</v>
      </c>
      <c r="M150" s="88">
        <v>0.0</v>
      </c>
      <c r="N150" s="88">
        <f t="shared" ref="N150:N151" si="35">$B$79+20%</f>
        <v>0.518048</v>
      </c>
      <c r="O150" s="88">
        <v>-0.4</v>
      </c>
      <c r="P150" s="88">
        <v>-0.15</v>
      </c>
      <c r="Q150" s="88">
        <v>0.0</v>
      </c>
      <c r="R150" s="90">
        <f t="shared" si="31"/>
        <v>8163.577391</v>
      </c>
      <c r="S150" s="131">
        <v>0.0</v>
      </c>
      <c r="T150" s="126">
        <v>1.5</v>
      </c>
      <c r="U150" s="132">
        <f t="shared" si="32"/>
        <v>8163.577391</v>
      </c>
      <c r="V150" s="126">
        <v>2.0</v>
      </c>
      <c r="W150" s="133">
        <f t="shared" si="33"/>
        <v>16327.15478</v>
      </c>
      <c r="X150" s="5" t="s">
        <v>259</v>
      </c>
      <c r="Y150" s="5" t="s">
        <v>92</v>
      </c>
      <c r="Z150" s="159" t="s">
        <v>255</v>
      </c>
      <c r="AA150" s="145"/>
      <c r="AB150" s="145" t="s">
        <v>103</v>
      </c>
      <c r="AC150" s="145" t="s">
        <v>218</v>
      </c>
      <c r="AD150" s="145"/>
      <c r="AE150" s="145"/>
      <c r="AF150" s="145" t="s">
        <v>229</v>
      </c>
    </row>
    <row r="151">
      <c r="A151" s="50" t="s">
        <v>215</v>
      </c>
      <c r="B151" s="126" t="s">
        <v>250</v>
      </c>
      <c r="C151" s="127">
        <v>1.0</v>
      </c>
      <c r="D151" s="128">
        <f t="shared" si="30"/>
        <v>1.76</v>
      </c>
      <c r="E151" s="129" t="str">
        <f t="array" ref="E151">INDEX(CharMVsBase,MATCH(B$121,CharMVsCharNames,0)+3,MATCH(B151,B$140:AU$140,0)+1)</f>
        <v>ATK</v>
      </c>
      <c r="F151" s="126" t="s">
        <v>84</v>
      </c>
      <c r="G151" s="129" t="str">
        <f t="array" ref="G151">INDEX(CharMVsBase,MATCH(B$121,CharMVsCharNames,0)+4,MATCH(B151,B$140:AU$140,0)+1)</f>
        <v>Burst DMG%</v>
      </c>
      <c r="H151" s="88">
        <v>0.2</v>
      </c>
      <c r="I151" s="134">
        <f t="shared" ref="I151:I156" si="36">$B$78</f>
        <v>998.1146284</v>
      </c>
      <c r="J151" s="130">
        <v>0.0</v>
      </c>
      <c r="K151" s="88">
        <v>0.0</v>
      </c>
      <c r="L151" s="88">
        <v>0.12</v>
      </c>
      <c r="M151" s="88">
        <v>0.0</v>
      </c>
      <c r="N151" s="88">
        <f t="shared" si="35"/>
        <v>0.518048</v>
      </c>
      <c r="O151" s="88">
        <v>-0.4</v>
      </c>
      <c r="P151" s="88">
        <v>-0.15</v>
      </c>
      <c r="Q151" s="88">
        <v>0.0</v>
      </c>
      <c r="R151" s="90">
        <f t="shared" si="31"/>
        <v>16043.80279</v>
      </c>
      <c r="S151" s="131">
        <v>0.0</v>
      </c>
      <c r="T151" s="126">
        <v>1.5</v>
      </c>
      <c r="U151" s="132">
        <f t="shared" si="32"/>
        <v>16043.80279</v>
      </c>
      <c r="V151" s="126">
        <v>2.0</v>
      </c>
      <c r="W151" s="133">
        <f t="shared" si="33"/>
        <v>32087.60558</v>
      </c>
      <c r="X151" s="5" t="s">
        <v>260</v>
      </c>
      <c r="Y151" s="5" t="s">
        <v>92</v>
      </c>
      <c r="Z151" s="159" t="s">
        <v>255</v>
      </c>
      <c r="AA151" s="145"/>
      <c r="AB151" s="145" t="s">
        <v>103</v>
      </c>
      <c r="AC151" s="145" t="s">
        <v>218</v>
      </c>
      <c r="AD151" s="145"/>
      <c r="AF151" s="145" t="s">
        <v>229</v>
      </c>
      <c r="AG151" s="5" t="s">
        <v>219</v>
      </c>
    </row>
    <row r="152">
      <c r="A152" s="50" t="s">
        <v>215</v>
      </c>
      <c r="B152" s="137" t="s">
        <v>251</v>
      </c>
      <c r="C152" s="160">
        <v>1.0</v>
      </c>
      <c r="D152" s="161">
        <f t="shared" si="30"/>
        <v>2.192</v>
      </c>
      <c r="E152" s="162" t="str">
        <f t="array" ref="E152">INDEX(CharMVsBase,MATCH(B$121,CharMVsCharNames,0)+3,MATCH(B152,B$140:AU$140,0)+1)</f>
        <v>ATK</v>
      </c>
      <c r="F152" s="126" t="s">
        <v>84</v>
      </c>
      <c r="G152" s="162" t="str">
        <f t="array" ref="G152">INDEX(CharMVsBase,MATCH(B$121,CharMVsCharNames,0)+4,MATCH(B152,B$140:AU$140,0)+1)</f>
        <v>Burst DMG%</v>
      </c>
      <c r="H152" s="88">
        <v>0.2</v>
      </c>
      <c r="I152" s="134">
        <f t="shared" si="36"/>
        <v>998.1146284</v>
      </c>
      <c r="J152" s="139">
        <v>0.0</v>
      </c>
      <c r="K152" s="140">
        <v>0.0</v>
      </c>
      <c r="L152" s="88">
        <v>0.12</v>
      </c>
      <c r="M152" s="140">
        <v>0.0</v>
      </c>
      <c r="N152" s="88">
        <f>$B$79+20%+15%</f>
        <v>0.668048</v>
      </c>
      <c r="O152" s="88">
        <v>-0.4</v>
      </c>
      <c r="P152" s="140">
        <v>-0.15</v>
      </c>
      <c r="Q152" s="140">
        <v>0.0</v>
      </c>
      <c r="R152" s="141">
        <f t="shared" si="31"/>
        <v>21062.35497</v>
      </c>
      <c r="S152" s="142">
        <v>0.0</v>
      </c>
      <c r="T152" s="137">
        <v>1.5</v>
      </c>
      <c r="U152" s="143">
        <f t="shared" si="32"/>
        <v>21062.35497</v>
      </c>
      <c r="V152" s="137">
        <v>2.0</v>
      </c>
      <c r="W152" s="144">
        <f t="shared" si="33"/>
        <v>42124.70994</v>
      </c>
      <c r="X152" s="5" t="s">
        <v>261</v>
      </c>
      <c r="Y152" s="5" t="s">
        <v>92</v>
      </c>
      <c r="Z152" s="5" t="s">
        <v>255</v>
      </c>
      <c r="AA152" s="145"/>
      <c r="AB152" s="145" t="s">
        <v>103</v>
      </c>
      <c r="AC152" s="145" t="s">
        <v>218</v>
      </c>
      <c r="AD152" s="145"/>
      <c r="AE152" s="5" t="s">
        <v>258</v>
      </c>
      <c r="AF152" s="145" t="s">
        <v>229</v>
      </c>
      <c r="AG152" s="5" t="s">
        <v>219</v>
      </c>
    </row>
    <row r="153">
      <c r="A153" s="50" t="s">
        <v>215</v>
      </c>
      <c r="B153" s="126" t="s">
        <v>252</v>
      </c>
      <c r="C153" s="127">
        <v>1.0</v>
      </c>
      <c r="D153" s="128">
        <f t="shared" si="30"/>
        <v>2.24</v>
      </c>
      <c r="E153" s="129" t="str">
        <f t="array" ref="E153">INDEX(CharMVsBase,MATCH(B$121,CharMVsCharNames,0)+3,MATCH(B153,B$140:AU$140,0)+1)</f>
        <v>ATK</v>
      </c>
      <c r="F153" s="126" t="s">
        <v>84</v>
      </c>
      <c r="G153" s="129" t="str">
        <f t="array" ref="G153">INDEX(CharMVsBase,MATCH(B$121,CharMVsCharNames,0)+4,MATCH(B153,B$140:AU$140,0)+1)</f>
        <v>Burst DMG%</v>
      </c>
      <c r="H153" s="88">
        <v>0.2</v>
      </c>
      <c r="I153" s="134">
        <f t="shared" si="36"/>
        <v>998.1146284</v>
      </c>
      <c r="J153" s="130">
        <v>0.0</v>
      </c>
      <c r="K153" s="88">
        <v>0.0</v>
      </c>
      <c r="L153" s="88">
        <v>0.12</v>
      </c>
      <c r="M153" s="88">
        <v>0.0</v>
      </c>
      <c r="N153" s="88">
        <f t="shared" ref="N153:N154" si="37">$B$79+20%</f>
        <v>0.518048</v>
      </c>
      <c r="O153" s="88">
        <v>-0.4</v>
      </c>
      <c r="P153" s="88">
        <v>-0.15</v>
      </c>
      <c r="Q153" s="88">
        <v>0.0</v>
      </c>
      <c r="R153" s="90">
        <f t="shared" si="31"/>
        <v>20419.38537</v>
      </c>
      <c r="S153" s="131">
        <v>0.0</v>
      </c>
      <c r="T153" s="126">
        <v>1.5</v>
      </c>
      <c r="U153" s="132">
        <f t="shared" si="32"/>
        <v>20419.38537</v>
      </c>
      <c r="V153" s="126">
        <v>12.0</v>
      </c>
      <c r="W153" s="133">
        <f t="shared" si="33"/>
        <v>245032.6244</v>
      </c>
      <c r="X153" s="5" t="s">
        <v>262</v>
      </c>
      <c r="Y153" s="5" t="s">
        <v>92</v>
      </c>
      <c r="Z153" s="5" t="s">
        <v>255</v>
      </c>
      <c r="AB153" s="145" t="s">
        <v>103</v>
      </c>
      <c r="AC153" s="145" t="s">
        <v>218</v>
      </c>
      <c r="AF153" s="145" t="s">
        <v>229</v>
      </c>
      <c r="AG153" s="5" t="s">
        <v>219</v>
      </c>
    </row>
    <row r="154">
      <c r="A154" s="50" t="s">
        <v>215</v>
      </c>
      <c r="B154" s="126" t="s">
        <v>252</v>
      </c>
      <c r="C154" s="127">
        <v>1.0</v>
      </c>
      <c r="D154" s="128">
        <f t="shared" si="30"/>
        <v>2.24</v>
      </c>
      <c r="E154" s="129" t="str">
        <f t="array" ref="E154">INDEX(CharMVsBase,MATCH(B$121,CharMVsCharNames,0)+3,MATCH(B154,B$140:AU$140,0)+1)</f>
        <v>ATK</v>
      </c>
      <c r="F154" s="126" t="s">
        <v>84</v>
      </c>
      <c r="G154" s="129" t="str">
        <f t="array" ref="G154">INDEX(CharMVsBase,MATCH(B$121,CharMVsCharNames,0)+4,MATCH(B154,B$140:AU$140,0)+1)</f>
        <v>Burst DMG%</v>
      </c>
      <c r="H154" s="88">
        <v>0.2</v>
      </c>
      <c r="I154" s="134">
        <f t="shared" si="36"/>
        <v>998.1146284</v>
      </c>
      <c r="J154" s="130">
        <v>0.0</v>
      </c>
      <c r="K154" s="88">
        <v>0.0</v>
      </c>
      <c r="L154" s="88">
        <v>0.12</v>
      </c>
      <c r="M154" s="88">
        <v>0.0</v>
      </c>
      <c r="N154" s="88">
        <f t="shared" si="37"/>
        <v>0.518048</v>
      </c>
      <c r="O154" s="88">
        <v>-0.55</v>
      </c>
      <c r="P154" s="88">
        <v>-0.15</v>
      </c>
      <c r="Q154" s="88">
        <v>0.0</v>
      </c>
      <c r="R154" s="90">
        <f t="shared" si="31"/>
        <v>21751.08441</v>
      </c>
      <c r="S154" s="131">
        <v>0.0</v>
      </c>
      <c r="T154" s="126">
        <v>1.5</v>
      </c>
      <c r="U154" s="132">
        <f t="shared" si="32"/>
        <v>21751.08441</v>
      </c>
      <c r="V154" s="126">
        <v>12.0</v>
      </c>
      <c r="W154" s="133">
        <f t="shared" si="33"/>
        <v>261013.0129</v>
      </c>
      <c r="X154" s="5" t="s">
        <v>262</v>
      </c>
      <c r="Y154" s="5" t="s">
        <v>92</v>
      </c>
      <c r="Z154" s="5" t="s">
        <v>255</v>
      </c>
      <c r="AB154" s="145" t="s">
        <v>103</v>
      </c>
      <c r="AC154" s="145" t="s">
        <v>218</v>
      </c>
      <c r="AD154" s="5" t="s">
        <v>230</v>
      </c>
      <c r="AF154" s="145" t="s">
        <v>229</v>
      </c>
      <c r="AG154" s="5" t="s">
        <v>219</v>
      </c>
    </row>
    <row r="155">
      <c r="A155" s="50" t="s">
        <v>215</v>
      </c>
      <c r="B155" s="126" t="s">
        <v>247</v>
      </c>
      <c r="C155" s="127">
        <v>1.0</v>
      </c>
      <c r="D155" s="128">
        <f t="shared" si="30"/>
        <v>2.2256</v>
      </c>
      <c r="E155" s="129" t="str">
        <f t="array" ref="E155">INDEX(CharMVsBase,MATCH(B$121,CharMVsCharNames,0)+3,MATCH(B155,B$140:AU$140,0)+1)</f>
        <v>ATK</v>
      </c>
      <c r="F155" s="126" t="s">
        <v>84</v>
      </c>
      <c r="G155" s="129" t="str">
        <f t="array" ref="G155">INDEX(CharMVsBase,MATCH(B$121,CharMVsCharNames,0)+4,MATCH(B155,B$140:AU$140,0)+1)</f>
        <v>Skill DMG%</v>
      </c>
      <c r="H155" s="88">
        <v>0.2</v>
      </c>
      <c r="I155" s="134">
        <f t="shared" si="36"/>
        <v>998.1146284</v>
      </c>
      <c r="J155" s="130">
        <v>0.0</v>
      </c>
      <c r="K155" s="88">
        <v>0.0</v>
      </c>
      <c r="L155" s="88">
        <v>0.0</v>
      </c>
      <c r="M155" s="88">
        <v>0.0</v>
      </c>
      <c r="N155" s="88">
        <f t="shared" ref="N155:N156" si="38">$B$79+20%+15%</f>
        <v>0.668048</v>
      </c>
      <c r="O155" s="88">
        <v>-0.4</v>
      </c>
      <c r="P155" s="88">
        <v>-0.15</v>
      </c>
      <c r="Q155" s="88">
        <v>0.0</v>
      </c>
      <c r="R155" s="90">
        <f t="shared" si="31"/>
        <v>14426.26505</v>
      </c>
      <c r="S155" s="131">
        <v>0.0</v>
      </c>
      <c r="T155" s="126">
        <v>1.5</v>
      </c>
      <c r="U155" s="132">
        <f t="shared" si="32"/>
        <v>14426.26505</v>
      </c>
      <c r="V155" s="126">
        <v>2.0</v>
      </c>
      <c r="W155" s="133">
        <f t="shared" si="33"/>
        <v>28852.53009</v>
      </c>
      <c r="X155" s="5" t="s">
        <v>263</v>
      </c>
      <c r="Y155" s="5" t="s">
        <v>92</v>
      </c>
      <c r="Z155" s="5" t="s">
        <v>255</v>
      </c>
      <c r="AB155" s="145" t="s">
        <v>103</v>
      </c>
      <c r="AC155" s="145" t="s">
        <v>218</v>
      </c>
      <c r="AE155" s="5" t="s">
        <v>258</v>
      </c>
      <c r="AF155" s="145" t="s">
        <v>229</v>
      </c>
      <c r="AG155" s="5" t="s">
        <v>219</v>
      </c>
    </row>
    <row r="156">
      <c r="A156" s="50" t="s">
        <v>215</v>
      </c>
      <c r="B156" s="137" t="s">
        <v>247</v>
      </c>
      <c r="C156" s="160">
        <v>1.0</v>
      </c>
      <c r="D156" s="161">
        <f t="shared" si="30"/>
        <v>2.2256</v>
      </c>
      <c r="E156" s="162" t="str">
        <f t="array" ref="E156">INDEX(CharMVsBase,MATCH(B$121,CharMVsCharNames,0)+3,MATCH(B156,B$140:AU$140,0)+1)</f>
        <v>ATK</v>
      </c>
      <c r="F156" s="126" t="s">
        <v>84</v>
      </c>
      <c r="G156" s="162" t="str">
        <f t="array" ref="G156">INDEX(CharMVsBase,MATCH(B$121,CharMVsCharNames,0)+4,MATCH(B156,B$140:AU$140,0)+1)</f>
        <v>Skill DMG%</v>
      </c>
      <c r="H156" s="88">
        <v>0.2</v>
      </c>
      <c r="I156" s="134">
        <f t="shared" si="36"/>
        <v>998.1146284</v>
      </c>
      <c r="J156" s="139">
        <v>0.0</v>
      </c>
      <c r="K156" s="140">
        <v>0.0</v>
      </c>
      <c r="L156" s="140">
        <v>0.0</v>
      </c>
      <c r="M156" s="140">
        <v>0.0</v>
      </c>
      <c r="N156" s="88">
        <f t="shared" si="38"/>
        <v>0.668048</v>
      </c>
      <c r="O156" s="140">
        <v>-0.55</v>
      </c>
      <c r="P156" s="140">
        <v>-0.15</v>
      </c>
      <c r="Q156" s="140">
        <v>0.0</v>
      </c>
      <c r="R156" s="141">
        <f t="shared" si="31"/>
        <v>15367.10842</v>
      </c>
      <c r="S156" s="142">
        <v>0.0</v>
      </c>
      <c r="T156" s="137">
        <v>1.5</v>
      </c>
      <c r="U156" s="143">
        <f t="shared" si="32"/>
        <v>15367.10842</v>
      </c>
      <c r="V156" s="137">
        <v>6.0</v>
      </c>
      <c r="W156" s="144">
        <f t="shared" si="33"/>
        <v>92202.65051</v>
      </c>
      <c r="X156" s="5" t="s">
        <v>263</v>
      </c>
      <c r="Y156" s="5" t="s">
        <v>92</v>
      </c>
      <c r="Z156" s="5" t="s">
        <v>255</v>
      </c>
      <c r="AB156" s="145" t="s">
        <v>103</v>
      </c>
      <c r="AC156" s="145" t="s">
        <v>218</v>
      </c>
      <c r="AD156" s="5" t="s">
        <v>230</v>
      </c>
      <c r="AE156" s="5" t="s">
        <v>258</v>
      </c>
      <c r="AF156" s="145" t="s">
        <v>229</v>
      </c>
      <c r="AG156" s="5" t="s">
        <v>219</v>
      </c>
    </row>
    <row r="157">
      <c r="A157" s="50" t="s">
        <v>264</v>
      </c>
      <c r="B157" s="23"/>
      <c r="C157" s="135"/>
      <c r="D157" s="136">
        <v>1.0</v>
      </c>
      <c r="E157" s="137">
        <v>1000.0</v>
      </c>
      <c r="F157" s="137" t="s">
        <v>83</v>
      </c>
      <c r="G157" s="137" t="s">
        <v>147</v>
      </c>
      <c r="H157" s="138"/>
      <c r="I157" s="23"/>
      <c r="J157" s="139">
        <v>0.0</v>
      </c>
      <c r="K157" s="140">
        <v>0.0</v>
      </c>
      <c r="L157" s="140">
        <v>0.0</v>
      </c>
      <c r="M157" s="140">
        <v>0.0</v>
      </c>
      <c r="N157" s="140">
        <v>0.0</v>
      </c>
      <c r="O157" s="140">
        <v>0.0</v>
      </c>
      <c r="P157" s="140">
        <v>0.0</v>
      </c>
      <c r="Q157" s="140">
        <v>0.0</v>
      </c>
      <c r="R157" s="141">
        <f>D157
*E157
*(1+MEDIAN(0,1,(P$135+L157))*(P$136+M157))
*(1+VLOOKUP(CONCATENATE(F157," DMG%"),Q$121:R$127,2,false)+IF(G157="",0,VLOOKUP(G157,Q$128:R$132,2,false))+R$133+N157)
*IF((VLOOKUP(F157,A$57:B$63,2,false)+O157)&lt;0,1-(VLOOKUP(F157,A$57:B$63,2,false)+O157)/2,1-(VLOOKUP(F157,A$57:B$63,2,false)+O157))
*((B$124+100)/((1+P157)*(1+Q157)*(B$56+100)+B$124+100))</f>
        <v>831.2024123</v>
      </c>
      <c r="S157" s="142">
        <v>0.0</v>
      </c>
      <c r="T157" s="137">
        <v>1.5</v>
      </c>
      <c r="U157" s="143">
        <f t="shared" si="32"/>
        <v>831.2024123</v>
      </c>
      <c r="V157" s="137">
        <v>0.0</v>
      </c>
      <c r="W157" s="144">
        <f t="shared" si="33"/>
        <v>0</v>
      </c>
    </row>
    <row r="158">
      <c r="A158" s="50" t="s">
        <v>223</v>
      </c>
      <c r="B158" s="126" t="s">
        <v>224</v>
      </c>
      <c r="C158" s="127">
        <v>1.0</v>
      </c>
      <c r="D158" s="128">
        <f>VLOOKUP(B158,WeaponDamageProcs,2,false)
+(E$122-1)*VLOOKUP(B158,WeaponDamageProcs,3,false)
*C158</f>
        <v>3.2</v>
      </c>
      <c r="E158" s="129" t="str">
        <f>VLOOKUP(B158,WeaponDamageProcs,4,false)</f>
        <v>ATK</v>
      </c>
      <c r="F158" s="126" t="s">
        <v>83</v>
      </c>
      <c r="G158" s="129" t="str">
        <f>VLOOKUP(B158,WeaponDamageProcs,5,false)</f>
        <v/>
      </c>
      <c r="H158" s="88">
        <v>0.0</v>
      </c>
      <c r="I158" s="130">
        <v>0.0</v>
      </c>
      <c r="J158" s="130">
        <v>0.0</v>
      </c>
      <c r="K158" s="88">
        <v>0.0</v>
      </c>
      <c r="L158" s="88">
        <v>0.0</v>
      </c>
      <c r="M158" s="88">
        <v>0.0</v>
      </c>
      <c r="N158" s="88">
        <v>0.0</v>
      </c>
      <c r="O158" s="88">
        <v>0.0</v>
      </c>
      <c r="P158" s="88">
        <v>0.0</v>
      </c>
      <c r="Q158" s="88">
        <v>0.0</v>
      </c>
      <c r="R158" s="90">
        <f>D158
*(IFS(E158="ATK",(P$126*(1+P$127+H158)+P$128+I158),E158="DEF",(P$130*(1+P$131+H158)+P$132+I158),E158="HP",(P$122*(1+P$123+H158)+P$124+I158),TRUE,1)
*(1+MEDIAN(0,1,(P$135+L158))*(P$136+M158))
*(1+VLOOKUP(CONCATENATE(F158," DMG%"),Q$121:R$127,2,false)+IF(G158="",0,VLOOKUP(G158,Q$128:R$132,2,false))+R$133+N158)
*IF((VLOOKUP(F158,A$57:B$63,2,false)+O158)&lt;0,1-(VLOOKUP(F158,A$57:B$63,2,false)+O158)/2,1-(VLOOKUP(F158,A$57:B$63,2,false)+O158))
*((B$124+100)/((1+P158)*(1+Q158)*(B$56+100)+B$124+100)))</f>
        <v>3975.685643</v>
      </c>
      <c r="S158" s="131">
        <v>0.0</v>
      </c>
      <c r="T158" s="126">
        <v>1.5</v>
      </c>
      <c r="U158" s="132">
        <f t="shared" si="32"/>
        <v>3975.685643</v>
      </c>
      <c r="V158" s="126">
        <v>0.0</v>
      </c>
      <c r="W158" s="133">
        <f t="shared" si="33"/>
        <v>0</v>
      </c>
    </row>
    <row r="159">
      <c r="A159" s="163" t="s">
        <v>225</v>
      </c>
      <c r="B159" s="164" t="str">
        <f>IFS($H$125="4clam","Healing",true,"")</f>
        <v/>
      </c>
      <c r="C159" s="165"/>
      <c r="D159" s="166" t="str">
        <f>IFS($H$125="4echoes",70%,true,"")</f>
        <v/>
      </c>
      <c r="E159" s="164"/>
      <c r="F159" s="167" t="s">
        <v>83</v>
      </c>
      <c r="G159" s="164" t="str">
        <f>IFS($H$125="4echoes","NA DMG%",true,"")</f>
        <v/>
      </c>
      <c r="H159" s="168">
        <v>0.0</v>
      </c>
      <c r="I159" s="169">
        <v>0.0</v>
      </c>
      <c r="J159" s="169">
        <v>0.0</v>
      </c>
      <c r="K159" s="168">
        <v>0.0</v>
      </c>
      <c r="L159" s="168">
        <v>0.0</v>
      </c>
      <c r="M159" s="168">
        <v>0.0</v>
      </c>
      <c r="N159" s="168">
        <v>0.0</v>
      </c>
      <c r="O159" s="168">
        <v>0.0</v>
      </c>
      <c r="P159" s="168">
        <v>0.0</v>
      </c>
      <c r="Q159" s="168">
        <v>0.0</v>
      </c>
      <c r="R159" s="170">
        <f>IFS(H$125="4echoes",
(D159
*(P$126*(1+P$127+H159)+P$128+I159)
*(1+MEDIAN(0,1,(P$135+L159))*(P$136+M159))
*(1+VLOOKUP(CONCATENATE(F159," DMG%"),Q$121:R$127,2,false)+IF(G159="",0,VLOOKUP(G159,Q$128:R$132,2,false))+R$133+N159)
*IF((VLOOKUP(F159,A$57:B$63,2,false)+O159)&lt;0,1-(VLOOKUP(F159,A$57:B$63,2,false)+O159)/2,1-(VLOOKUP(F159,A$57:B$63,2,false)+O159))
*((B$124+100)/((1+P159)*(1+Q159)*(B$56+100)+B$124+100))),
H$125="4clam",
0.9
*IFS(ISBLANK(C159),0,true,MIN(30000,C159))
*IF((VLOOKUP(F159,A$57:B$63,2,false)+O159)&lt;0,1-(VLOOKUP(F159,A$57:B$63,2,false)+O159)/2,1-(VLOOKUP(F159,A$57:B$63,2,false)+O159)),
true,0)</f>
        <v>0</v>
      </c>
      <c r="S159" s="171">
        <v>0.0</v>
      </c>
      <c r="T159" s="172">
        <v>1.5</v>
      </c>
      <c r="U159" s="170">
        <f>IFS($H$125="4echoes",
((1-S159)*R159
+S159*R159
*T159
*(1+(2.78*(P$134+J159)/(P$134+J159+1400))+K159)),
$H$125="4clam",R159,true,0)</f>
        <v>0</v>
      </c>
      <c r="V159" s="172">
        <v>0.0</v>
      </c>
      <c r="W159" s="173">
        <f t="shared" si="33"/>
        <v>0</v>
      </c>
    </row>
    <row r="160">
      <c r="A160" s="50" t="s">
        <v>226</v>
      </c>
      <c r="B160" s="126" t="s">
        <v>227</v>
      </c>
      <c r="E160" s="5"/>
      <c r="F160" s="126" t="s">
        <v>84</v>
      </c>
      <c r="J160" s="130">
        <v>0.0</v>
      </c>
      <c r="K160" s="88">
        <v>0.0</v>
      </c>
      <c r="O160" s="88">
        <v>-0.55</v>
      </c>
      <c r="Q160" s="16"/>
      <c r="R160" s="90">
        <f>IFS(B160="Superconduct",0.5,B160="Swirl",0.6,B160="Electrocharge",1.2,B160="Shatter",1.5,B160="Overload",2)
*VLOOKUP(B$124,TransformativeBases,2,false)
*(1+(16*(P$134+J160)/(P$134+J160+2000))+K160+IFS(AND(B160="Swirl",H$125="4VV"),0.6,AND(OR(B160="Superconduct",B160="Electrocharge",B160="Overload"),H$125="4TF"),0.4,AND(B160="Overload",H$125="4CW"),0.4,true,0))
*IF((VLOOKUP(F160,A$57:B$63,2,false)+O160)&lt;0,1-(VLOOKUP(F160,A$57:B$63,2,false)+O160)/2,1-(VLOOKUP(F160,A$57:B$63,2,false)+O160))</f>
        <v>7147.24183</v>
      </c>
      <c r="S160" s="131">
        <v>0.0</v>
      </c>
      <c r="T160" s="126">
        <v>1.5</v>
      </c>
      <c r="U160" s="132">
        <f>((1-S160)*R160
+S160*R160
*T160
*(1+(2.78*(P$134+J160)/(P$134+J160+1400))+K160+IF(H$125="4CW",0.15,0)))</f>
        <v>7147.24183</v>
      </c>
      <c r="V160" s="126">
        <v>2.0</v>
      </c>
      <c r="W160" s="133">
        <f t="shared" si="33"/>
        <v>14294.48366</v>
      </c>
      <c r="X160" s="5" t="s">
        <v>228</v>
      </c>
      <c r="AD160" s="5" t="s">
        <v>230</v>
      </c>
      <c r="AF160" s="5" t="s">
        <v>229</v>
      </c>
    </row>
    <row r="161">
      <c r="A161" s="50" t="s">
        <v>231</v>
      </c>
      <c r="E161" s="5"/>
      <c r="F161" s="126" t="s">
        <v>84</v>
      </c>
      <c r="J161" s="130">
        <v>0.0</v>
      </c>
      <c r="K161" s="103"/>
      <c r="N161" s="148" t="s">
        <v>232</v>
      </c>
      <c r="O161" s="88">
        <v>0.0</v>
      </c>
      <c r="Q161" s="16"/>
      <c r="R161" s="38" t="s">
        <v>233</v>
      </c>
      <c r="S161" s="126" t="s">
        <v>83</v>
      </c>
      <c r="U161" s="132">
        <f>VLOOKUP(B$124,TransformativeBases,3,false)
*(1+4.44*(P$134+J161)/(P$134+J161+1400))
*(1+O161)
*IFS(F161="Geo",1.5,F161=S161,2.5,TRUE,1)</f>
        <v>2576.918315</v>
      </c>
      <c r="V161" s="126">
        <v>0.0</v>
      </c>
      <c r="W161" s="133">
        <f t="shared" si="33"/>
        <v>0</v>
      </c>
    </row>
    <row r="162">
      <c r="A162" s="50" t="s">
        <v>234</v>
      </c>
      <c r="B162" s="126" t="s">
        <v>176</v>
      </c>
      <c r="C162" s="127">
        <v>1.0</v>
      </c>
      <c r="D162" s="128">
        <f t="shared" ref="D162:D163" si="39">HLOOKUP(B162,A$140:AU$141,2,false)
*C162</f>
        <v>0.7724585</v>
      </c>
      <c r="E162" s="129" t="str">
        <f t="array" ref="E162">INDEX(CharMVsBase,MATCH(B$121,CharMVsCharNames,0)+3,MATCH(B162,B$140:AU$140,0)+1)</f>
        <v>ATK</v>
      </c>
      <c r="F162" s="126" t="s">
        <v>84</v>
      </c>
      <c r="H162" s="88">
        <v>0.0</v>
      </c>
      <c r="I162" s="130">
        <v>0.0</v>
      </c>
      <c r="J162" s="5"/>
      <c r="L162" s="103"/>
      <c r="N162" s="148" t="s">
        <v>232</v>
      </c>
      <c r="O162" s="88">
        <v>0.0</v>
      </c>
      <c r="Q162" s="38"/>
      <c r="R162" s="38" t="s">
        <v>233</v>
      </c>
      <c r="S162" s="126" t="s">
        <v>83</v>
      </c>
      <c r="U162" s="132">
        <f>D162
*(IFS(E162="ATK",(P$126*(1+P$127+H162)+P$128+I162),E162="DEF",(P$130*(1+P$131+H162)+P$132+I162),E162="HP",(P$122*(1+P$123+H162)+P$124+I162),TRUE,1))
*(1+O162)
*IFS(F162="Geo",1.5,F162=S162,2.5,TRUE,1)</f>
        <v>1154.596989</v>
      </c>
      <c r="V162" s="126">
        <v>0.0</v>
      </c>
      <c r="W162" s="133">
        <f t="shared" si="33"/>
        <v>0</v>
      </c>
    </row>
    <row r="163">
      <c r="A163" s="50" t="s">
        <v>235</v>
      </c>
      <c r="B163" s="126" t="s">
        <v>176</v>
      </c>
      <c r="C163" s="127">
        <v>1.0</v>
      </c>
      <c r="D163" s="128">
        <f t="shared" si="39"/>
        <v>0.7724585</v>
      </c>
      <c r="E163" s="129" t="str">
        <f t="array" ref="E163">INDEX(CharMVsBase,MATCH(B$121,CharMVsCharNames,0)+3,MATCH(B163,B$140:AU$140,0)+1)</f>
        <v>ATK</v>
      </c>
      <c r="F163" s="5"/>
      <c r="H163" s="88">
        <v>0.0</v>
      </c>
      <c r="I163" s="130">
        <v>0.0</v>
      </c>
      <c r="J163" s="5"/>
      <c r="K163" s="5" t="s">
        <v>236</v>
      </c>
      <c r="L163" s="88">
        <v>0.0</v>
      </c>
      <c r="N163" s="5" t="s">
        <v>237</v>
      </c>
      <c r="O163" s="88">
        <v>0.0</v>
      </c>
      <c r="Q163" s="38"/>
      <c r="R163" s="38" t="s">
        <v>238</v>
      </c>
      <c r="S163" s="126" t="b">
        <v>0</v>
      </c>
      <c r="U163" s="132">
        <f>D163
*(IFS(E163="ATK",(P$126*(1+P$127+H163)+P$128+I163),E163="DEF",(P$130*(1+P$131+H163)+P$132+I163),E163="HP",(P$122*(1+P$123+H163)+P$124+I163),E163="EM",P$134,TRUE,1))
*(1+P$138+L163+O163)</f>
        <v>1154.596989</v>
      </c>
      <c r="V163" s="126">
        <v>0.0</v>
      </c>
      <c r="W163" s="133">
        <f t="shared" ref="W163:W164" si="40">U163*V163*IF(S163,4,1)</f>
        <v>0</v>
      </c>
    </row>
    <row r="164">
      <c r="A164" s="149" t="s">
        <v>239</v>
      </c>
      <c r="B164" s="150" t="s">
        <v>224</v>
      </c>
      <c r="C164" s="151">
        <v>1.0</v>
      </c>
      <c r="D164" s="152">
        <f>VLOOKUP(B164,WeaponHealingProcs,2,false)
+(E$122-1)*VLOOKUP(B164,WeaponHealingProcs,3,false)
*C164</f>
        <v>1.6</v>
      </c>
      <c r="E164" s="153" t="str">
        <f>VLOOKUP(B164,WeaponHealingProcs,4,false)</f>
        <v>ATK</v>
      </c>
      <c r="F164" s="42"/>
      <c r="G164" s="47"/>
      <c r="H164" s="154">
        <v>0.0</v>
      </c>
      <c r="I164" s="155">
        <v>0.0</v>
      </c>
      <c r="J164" s="42"/>
      <c r="K164" s="42" t="s">
        <v>236</v>
      </c>
      <c r="L164" s="154">
        <v>0.0</v>
      </c>
      <c r="M164" s="47"/>
      <c r="N164" s="42" t="s">
        <v>237</v>
      </c>
      <c r="O164" s="154">
        <v>0.0</v>
      </c>
      <c r="P164" s="47"/>
      <c r="Q164" s="39"/>
      <c r="R164" s="39" t="s">
        <v>238</v>
      </c>
      <c r="S164" s="150" t="b">
        <v>0</v>
      </c>
      <c r="T164" s="47"/>
      <c r="U164" s="156">
        <f>D164
*(IFS(E164="ATK",(P$126*(1+P$127+H164)+P$128+I164),E164="DEF",(P$130*(1+P$131+H164)+P$132+I164),E164="HP",(P$122*(1+P$123+H164)+P$124+I164),TRUE,1))
*(1+P$138+L164+O164)</f>
        <v>2391.526771</v>
      </c>
      <c r="V164" s="150">
        <v>0.0</v>
      </c>
      <c r="W164" s="157">
        <f t="shared" si="40"/>
        <v>0</v>
      </c>
    </row>
    <row r="166">
      <c r="A166" s="174" t="s">
        <v>265</v>
      </c>
      <c r="B166" s="79" t="s">
        <v>50</v>
      </c>
      <c r="C166" s="5"/>
      <c r="D166" s="1" t="s">
        <v>106</v>
      </c>
      <c r="E166" s="79" t="s">
        <v>266</v>
      </c>
      <c r="G166" s="1" t="s">
        <v>108</v>
      </c>
      <c r="H166" s="80"/>
      <c r="J166" s="19" t="s">
        <v>109</v>
      </c>
      <c r="K166" s="81"/>
      <c r="L166" s="23" t="s">
        <v>110</v>
      </c>
      <c r="M166" s="82">
        <v>0.0</v>
      </c>
      <c r="O166" s="19" t="s">
        <v>111</v>
      </c>
      <c r="P166" s="83"/>
      <c r="Q166" s="23" t="s">
        <v>110</v>
      </c>
      <c r="R166" s="84">
        <f>IF(B171="Phys DMG%",IF(B167="4*",0.06,0.072)*IFS(B170="A6",4,B170="A5",3,OR(B170="A4",B170="A3"),2,B170="A2",1,OR(B170="A1",B170="A0"),0),0)
+IF(E169="Phys DMG%",E170,0)
+IF(H168="Phys DMG%",H169,0)+IF(H171="Phys DMG%",H172*H173,0)+IF(H174="Phys DMG%",H175*H176,0)+IF(H179="Phys DMG%",0.583,0)
+M166</f>
        <v>0</v>
      </c>
    </row>
    <row r="167">
      <c r="A167" s="85" t="s">
        <v>112</v>
      </c>
      <c r="B167" s="86" t="str">
        <f>VLOOKUP(B166,CharBaseStats,3,false)</f>
        <v>5*</v>
      </c>
      <c r="C167" s="5"/>
      <c r="D167" s="85" t="s">
        <v>113</v>
      </c>
      <c r="E167" s="87">
        <v>3.0</v>
      </c>
      <c r="G167" s="85" t="s">
        <v>114</v>
      </c>
      <c r="H167" s="87" t="s">
        <v>267</v>
      </c>
      <c r="J167" s="71" t="s">
        <v>6</v>
      </c>
      <c r="K167" s="88">
        <v>0.0</v>
      </c>
      <c r="L167" s="5" t="s">
        <v>116</v>
      </c>
      <c r="M167" s="89">
        <v>0.0</v>
      </c>
      <c r="O167" s="71" t="s">
        <v>117</v>
      </c>
      <c r="P167" s="90">
        <f>VLOOKUP(B166,CharBaseStats,4,false)
*((IF(B167="4*",0.082566,0.087394)*(B169-1)+1)+IF(B167="4*",0.7470687,0.8573469)*IFS(B170="A6",4.7894737,B170="A5",4.078947,B170="A4",3.368421,B170="A3",2.6578,B170="A2",1.7105263,B170="A1",1,B170="A0",0))</f>
        <v>13388.3247</v>
      </c>
      <c r="Q167" s="5" t="s">
        <v>116</v>
      </c>
      <c r="R167" s="91">
        <f>IF(B171="Pyro DMG%",IF(B167="4*",0.06,0.072)*IFS(B170="A6",4,B170="A5",3,OR(B170="A4",B170="A3"),2,B170="A2",1,OR(B170="A1",B170="A0"),0),0)
+IF(OR(AND(E171="Primary Ele DMG%",B168="Pyro"),E171="All Ele DMG%"),E172*E173,0)+IF(OR(AND(E174="Primary Ele DMG%",B168="Pyro"),E174="All Ele DMG%"),E175*E176,0)+IF(OR(AND(E177="Primary Ele DMG%",B168="Pyro"),E177="All Ele DMG%"),E178*E179,0)
+IF(H168="Pyro DMG%",H169,0)+IF(H171="Pyro DMG%",H172*H173,0)+IF(H174="Pyro DMG%",H175*H176,0)+IF(H179="Pyro DMG%",0.466,0)
+M167+M173</f>
        <v>0</v>
      </c>
    </row>
    <row r="168">
      <c r="A168" s="85" t="s">
        <v>118</v>
      </c>
      <c r="B168" s="92" t="str">
        <f>VLOOKUP(B166,CharBaseStats,2,false)</f>
        <v>Anemo</v>
      </c>
      <c r="C168" s="5"/>
      <c r="D168" s="85" t="s">
        <v>119</v>
      </c>
      <c r="E168" s="86">
        <f>VLOOKUP(E166,WeaponStats,2,false)</f>
        <v>454</v>
      </c>
      <c r="G168" s="85" t="s">
        <v>120</v>
      </c>
      <c r="H168" s="92" t="str">
        <f>VLOOKUP(H167,ArtifactSetStats,2,false)</f>
        <v>Anemo DMG%</v>
      </c>
      <c r="J168" s="71" t="s">
        <v>10</v>
      </c>
      <c r="K168" s="93">
        <v>0.0</v>
      </c>
      <c r="L168" s="5" t="s">
        <v>121</v>
      </c>
      <c r="M168" s="89">
        <v>0.0</v>
      </c>
      <c r="O168" s="71" t="s">
        <v>6</v>
      </c>
      <c r="P168" s="94">
        <f>IF(B171="HP%",IF(B167="4*",0.06,0.072)*IFS(B170="A6",4,B170="A5",3,OR(B170="A4",B170="A3"),2,B170="A2",1,OR(B170="A1",B170="A0"),0),0)
+IF(E169="HP%",E170,0)+IF(E171="HP%",E173*E172,0)+IF(E174="HP%",E176*E175,0)+IF(E177="HP%",E179*E178,0)
+IF(H168="HP%",H169,0)+IF(H171="HP%",H172*H173,0)+IF(H174="HP%",H175*H176,0)+IF(H178="HP%",0.466,0)+IF(H179="HP%",0.466,0)+IF(H180="HP%",0.466,0)+B35*0.0496
+K167</f>
        <v>0.0992</v>
      </c>
      <c r="Q168" s="5" t="s">
        <v>121</v>
      </c>
      <c r="R168" s="91">
        <f>IF(B171="Hydro DMG%",IF(B167="4*",0.06,0.072)*IFS(B170="A6",4,B170="A5",3,OR(B170="A4",B170="A3"),2,B170="A2",1,OR(B170="A1",B170="A0"),0),0)
+IF(OR(AND(E171="Primary Ele DMG%",B168="Hydro"),E171="All Ele DMG%"),E172*E173,0)+IF(OR(AND(E174="Primary Ele DMG%",B168="Hydro"),E174="All Ele DMG%"),E175*E176,0)+IF(OR(AND(E177="Primary Ele DMG%",B168="Hydro"),E177="All Ele DMG%"),E178*E179,0)
+IF(H168="Hydro DMG%",H169,0)+IF(H171="Hydro DMG%",H172*H173,0)+IF(H174="Hydro DMG%",H175*H176,0)+IF(H179="Hydro DMG%",0.466,0)
+M168+M173</f>
        <v>0</v>
      </c>
    </row>
    <row r="169">
      <c r="A169" s="85" t="s">
        <v>122</v>
      </c>
      <c r="B169" s="87">
        <v>90.0</v>
      </c>
      <c r="D169" s="85" t="s">
        <v>123</v>
      </c>
      <c r="E169" s="86" t="str">
        <f>VLOOKUP(E166,WeaponStats,3,false)</f>
        <v>ER</v>
      </c>
      <c r="G169" s="85" t="s">
        <v>124</v>
      </c>
      <c r="H169" s="95">
        <f>VLOOKUP(H167,ArtifactSetStats,3,false)</f>
        <v>0.15</v>
      </c>
      <c r="J169" s="71" t="s">
        <v>58</v>
      </c>
      <c r="K169" s="88">
        <v>0.0</v>
      </c>
      <c r="L169" s="5" t="s">
        <v>125</v>
      </c>
      <c r="M169" s="89">
        <v>0.0</v>
      </c>
      <c r="O169" s="71" t="s">
        <v>10</v>
      </c>
      <c r="P169" s="90">
        <f>4780+C35*253.94
+K168</f>
        <v>5287.88</v>
      </c>
      <c r="Q169" s="5" t="s">
        <v>125</v>
      </c>
      <c r="R169" s="91">
        <f>IF(B171="Electro DMG%",IF(B167="4*",0.06,0.072)*IFS(B170="A6",4,B170="A5",3,OR(B170="A4",B170="A3"),2,B170="A2",1,OR(B170="A1",B170="A0"),0),0)
+IF(OR(AND(E171="Primary Ele DMG%",B168="Electro"),E171="All Ele DMG%"),E172*E173,0)+IF(OR(AND(E174="Primary Ele DMG%",B168="Electro"),E174="All Ele DMG%"),E175*E176,0)+IF(OR(AND(E177="Primary Ele DMG%",B168="Electro"),E177="All Ele DMG%"),E178*E179,0)
+IF(H168="Electro DMG%",H169,0)+IF(H171="Electro DMG%",H172*H173,0)+IF(H174="Electro DMG%",H175*H176,0)+IF(H179="Electro DMG%",0.466,0)
+M169+M173</f>
        <v>0</v>
      </c>
    </row>
    <row r="170">
      <c r="A170" s="85" t="s">
        <v>126</v>
      </c>
      <c r="B170" s="87" t="s">
        <v>127</v>
      </c>
      <c r="D170" s="85" t="s">
        <v>128</v>
      </c>
      <c r="E170" s="96">
        <f>VLOOKUP(E166,WeaponStats,4,false)</f>
        <v>0.613</v>
      </c>
      <c r="G170" s="85" t="s">
        <v>129</v>
      </c>
      <c r="H170" s="87" t="s">
        <v>94</v>
      </c>
      <c r="J170" s="71" t="s">
        <v>59</v>
      </c>
      <c r="K170" s="93">
        <v>0.0</v>
      </c>
      <c r="L170" s="5" t="s">
        <v>131</v>
      </c>
      <c r="M170" s="89">
        <v>0.0</v>
      </c>
      <c r="O170" s="71" t="s">
        <v>132</v>
      </c>
      <c r="P170" s="90">
        <f>P167*(1+P168)+P169</f>
        <v>20004.32651</v>
      </c>
      <c r="Q170" s="5" t="s">
        <v>131</v>
      </c>
      <c r="R170" s="91">
        <f>IF(B171="Cryo DMG%",IF(B167="4*",0.06,0.072)*IFS(B170="A6",4,B170="A5",3,OR(B170="A4",B170="A3"),2,B170="A2",1,OR(B170="A1",B170="A0"),0),0)
+IF(OR(AND(E171="Primary Ele DMG%",B168="Cryo"),E171="All Ele DMG%"),E172*E173,0)+IF(OR(AND(E174="Primary Ele DMG%",B168="Cryo"),E174="All Ele DMG%"),E175*E176,0)+IF(OR(AND(E177="Primary Ele DMG%",B168="Cryo"),E177="All Ele DMG%"),E178*E179,0)
+IF(H168="Cryo DMG%",H169,0)+IF(H171="Cryo DMG%",H172*H173,0)+IF(H174="Cryo DMG%",H175*H176,0)+IF(H179="Cryo DMG%",0.466,0)
+M170+M173</f>
        <v>0</v>
      </c>
    </row>
    <row r="171">
      <c r="A171" s="85" t="s">
        <v>133</v>
      </c>
      <c r="B171" s="92" t="str">
        <f>VLOOKUP(B166,CharBaseStats,7,false)</f>
        <v>EM</v>
      </c>
      <c r="D171" s="85" t="s">
        <v>134</v>
      </c>
      <c r="E171" s="86" t="str">
        <f>VLOOKUP(E166,WeaponStats,5,false)</f>
        <v/>
      </c>
      <c r="G171" s="85" t="s">
        <v>135</v>
      </c>
      <c r="H171" s="96" t="str">
        <f>VLOOKUP(H170,ArtifactSetStats,2,false)</f>
        <v>Rxn DMG bonus</v>
      </c>
      <c r="J171" s="71" t="s">
        <v>60</v>
      </c>
      <c r="K171" s="88">
        <v>0.0</v>
      </c>
      <c r="L171" s="5" t="s">
        <v>136</v>
      </c>
      <c r="M171" s="89">
        <v>0.0</v>
      </c>
      <c r="O171" s="71" t="s">
        <v>137</v>
      </c>
      <c r="P171" s="90">
        <f>VLOOKUP(B166,CharBaseStats,5,false)
*((IF(B167="4*",0.082566,0.087394)*(B169-1)+1)+IF(B167="4*",0.7470687,0.8573469)*IFS(B170="A6",4.7894737,B170="A5",4.078947,B170="A4",3.368421,B170="A3",2.6578,B170="A2",1.7105263,B170="A1",1,B170="A0",0))
+E168</f>
        <v>751.4831798</v>
      </c>
      <c r="Q171" s="5" t="s">
        <v>136</v>
      </c>
      <c r="R171" s="91">
        <f>IF(B171="Anemo DMG%",IF(B167="4*",0.06,0.072)*IFS(B170="A6",4,B170="A5",3,OR(B170="A4",B170="A3"),2,B170="A2",1,OR(B170="A1",B170="A0"),0),0)
+IF(OR(AND(E171="Primary Ele DMG%",B168="Anemo"),E171="All Ele DMG%"),E172*E173,0)+IF(OR(AND(E174="Primary Ele DMG%",B168="Anemo"),E174="All Ele DMG%"),E175*E176,0)+IF(OR(AND(E177="Primary Ele DMG%",B168="Anemo"),E177="All Ele DMG%"),E178*E179,0)
+IF(H168="Anemo DMG%",H169,0)+IF(H171="Anemo DMG%",H172*H173,0)+IF(H174="Anemo DMG%",H175*H176,0)+IF(H179="Anemo DMG%",0.466,0)
+M171+M173</f>
        <v>0.15</v>
      </c>
    </row>
    <row r="172">
      <c r="A172" s="85" t="s">
        <v>138</v>
      </c>
      <c r="B172" s="87">
        <v>9.0</v>
      </c>
      <c r="D172" s="85" t="s">
        <v>139</v>
      </c>
      <c r="E172" s="97">
        <f>VLOOKUP(E166,WeaponStats,6,false)+(E167-1)*VLOOKUP(E166,WeaponStats,7,false)</f>
        <v>0</v>
      </c>
      <c r="G172" s="85" t="s">
        <v>140</v>
      </c>
      <c r="H172" s="95" t="str">
        <f>VLOOKUP(H170,ArtifactSetStats,3,false)</f>
        <v/>
      </c>
      <c r="J172" s="71" t="s">
        <v>61</v>
      </c>
      <c r="K172" s="93">
        <v>0.0</v>
      </c>
      <c r="L172" s="5" t="s">
        <v>141</v>
      </c>
      <c r="M172" s="89">
        <v>0.0</v>
      </c>
      <c r="O172" s="71" t="s">
        <v>58</v>
      </c>
      <c r="P172" s="94">
        <f>IF(B171="ATK%",IF(B167="4*",0.06,0.072)*IFS(B170="A6",4,B170="A5",3,OR(B170="A4",B170="A3"),2,B170="A2",1,OR(B170="A1",B170="A0"),0),0)
+IF(E169="ATK%",E170,0)+IF(E171="ATK%",E173*E172,0)+IF(E174="ATK%",E176*E175,0)+IF(E177="ATK%",E179*E178,0)+E182
+IF(H168="ATK%",H169,0)+IF(H171="ATK%",H172*H173,0)+IF(H174="ATK%",H175*H176,0)+IF(H178="ATK%",0.466,0)+IF(H179="ATK%",0.466,0)+IF(H180="ATK%",0.466,0)+D35*0.0496
+K169</f>
        <v>0.0992</v>
      </c>
      <c r="Q172" s="5" t="s">
        <v>141</v>
      </c>
      <c r="R172" s="91">
        <f>IF(B171="Geo DMG%",IF(B167="4*",0.06,0.072)*IFS(B170="A6",4,B170="A5",3,OR(B170="A4",B170="A3"),2,B170="A2",1,OR(B170="A1",B170="A0"),0),0)
+IF(OR(AND(E171="Primary Ele DMG%",B168="Geo"),E171="All Ele DMG%"),E172*E173,0)+IF(OR(AND(E174="Primary Ele DMG%",B168="Geo"),E174="All Ele DMG%"),E175*E176,0)+IF(OR(AND(E177="Primary Ele DMG%",B168="Geo"),E177="All Ele DMG%"),E178*E179,0)
+IF(H168="Geo DMG%",H169,0)+IF(H171="Geo DMG%",H172*H173,0)+IF(H174="Geo DMG%",H175*H176,0)+IF(H179="Geo DMG%",0.466,0)
+M172+M173</f>
        <v>0</v>
      </c>
    </row>
    <row r="173">
      <c r="A173" s="85" t="s">
        <v>142</v>
      </c>
      <c r="B173" s="87">
        <v>9.0</v>
      </c>
      <c r="D173" s="85" t="s">
        <v>143</v>
      </c>
      <c r="E173" s="98">
        <v>1.0</v>
      </c>
      <c r="G173" s="71" t="s">
        <v>144</v>
      </c>
      <c r="H173" s="98">
        <v>1.0</v>
      </c>
      <c r="J173" s="71" t="s">
        <v>145</v>
      </c>
      <c r="K173" s="93">
        <v>0.0</v>
      </c>
      <c r="L173" s="5" t="s">
        <v>146</v>
      </c>
      <c r="M173" s="89">
        <v>0.0</v>
      </c>
      <c r="O173" s="71" t="s">
        <v>59</v>
      </c>
      <c r="P173" s="90">
        <f>E181
+311+E35*16.54
+K170</f>
        <v>344.08</v>
      </c>
      <c r="Q173" s="5" t="s">
        <v>147</v>
      </c>
      <c r="R173" s="91">
        <f>IF(OR(E171="NA DMG%",E171="NA/CA DMG%",E171="NA/CA/PA DMG%"),E173*E172,0)+IF(OR(E174="NA DMG%",E174="NA/CA DMG%",E174="NA/CA/PA DMG%"),E176*E175,0)+IF(OR(E177="NA DMG%",E177="NA/CA DMG%",E177="NA/CA/PA DMG%"),E179*E178,0)
+IF(OR(H171="NA DMG%",H171="NA/CA DMG%",H171="NA/CA/PA DMG%"),H172*H173,0)+IF(OR(H174="NA DMG%",H174="NA/CA DMG%",H174="NA/CA/PA DMG%"),H175*H176,0)
+M174</f>
        <v>0</v>
      </c>
    </row>
    <row r="174">
      <c r="A174" s="85" t="s">
        <v>148</v>
      </c>
      <c r="B174" s="87">
        <v>9.0</v>
      </c>
      <c r="D174" s="85" t="s">
        <v>149</v>
      </c>
      <c r="E174" s="92" t="str">
        <f>VLOOKUP(E166,WeaponStats,8,false)</f>
        <v/>
      </c>
      <c r="G174" s="85" t="s">
        <v>150</v>
      </c>
      <c r="H174" s="92" t="str">
        <f>VLOOKUP(H170,ArtifactSetStats,4,false)</f>
        <v/>
      </c>
      <c r="J174" s="71" t="s">
        <v>2</v>
      </c>
      <c r="K174" s="88">
        <v>0.0</v>
      </c>
      <c r="L174" s="5" t="s">
        <v>147</v>
      </c>
      <c r="M174" s="89">
        <v>0.0</v>
      </c>
      <c r="O174" s="71" t="s">
        <v>151</v>
      </c>
      <c r="P174" s="90">
        <f>P171*(1+P172)+P173</f>
        <v>1170.110311</v>
      </c>
      <c r="Q174" s="5" t="s">
        <v>152</v>
      </c>
      <c r="R174" s="91">
        <f>IF(OR(E171="CA DMG%",E171="NA/CA DMG%",E171="NA/CA/PA DMG%"),E173*E172,0)+IF(OR(E174="CA DMG%",E174="NA/CA DMG%",E174="NA/CA/PA DMG%"),E176*E175,0)+IF(OR(E177="CA DMG%",E177="NA/CA DMG%",E177="NA/CA/PA DMG%"),E179*E178,0)
+IF(OR(H171="CA DMG%",H171="NA/CA DMG%",H171="NA/CA/PA DMG%"),H172*H173,0)+IF(OR(H174="CA DMG%",H174="NA/CA DMG%",H174="NA/CA/PA DMG%"),H175*H176,0)
+M175</f>
        <v>0</v>
      </c>
    </row>
    <row r="175">
      <c r="A175" s="99" t="s">
        <v>153</v>
      </c>
      <c r="B175" s="22">
        <v>0.0</v>
      </c>
      <c r="D175" s="85" t="s">
        <v>154</v>
      </c>
      <c r="E175" s="100">
        <f>VLOOKUP(E166,WeaponStats,9,false)+(E167-1)*VLOOKUP(E166,WeaponStats,10,false)</f>
        <v>0</v>
      </c>
      <c r="G175" s="85" t="s">
        <v>155</v>
      </c>
      <c r="H175" s="92" t="str">
        <f>VLOOKUP(H170,ArtifactSetStats,5,false)</f>
        <v/>
      </c>
      <c r="J175" s="71" t="s">
        <v>3</v>
      </c>
      <c r="K175" s="88">
        <v>0.0</v>
      </c>
      <c r="L175" s="5" t="s">
        <v>152</v>
      </c>
      <c r="M175" s="89">
        <v>0.0</v>
      </c>
      <c r="O175" s="71" t="s">
        <v>156</v>
      </c>
      <c r="P175" s="90">
        <f>VLOOKUP(B166,CharBaseStats,6,false)
*((IF(B167="4*",0.082566,0.087394)*(B169-1)+1)+IF(B167="4*",0.7470687,0.8573469)*IFS(B170="A6",4.7894737,B170="A5",4.078947,B170="A4",3.368421,B170="A3",2.6578,B170="A2",1.7105263,B170="A1",1,B170="A0",0))</f>
        <v>809.4114418</v>
      </c>
      <c r="Q175" s="5" t="s">
        <v>157</v>
      </c>
      <c r="R175" s="91">
        <f>IF(E171="NA/CA/PA DMG%",E173*E172,0)+IF(E174="NA/CA/PA DMG%",E176*E175,0)+IF(E177="NA/CA/PA DMG%",E179*E178,0)
+IF(H171="NA/CA/PA DMG%",H172*H173,0)+IF(H174="NA/CA/PA DMG%",H175*H176,0)
+M176</f>
        <v>0</v>
      </c>
    </row>
    <row r="176">
      <c r="A176" s="5"/>
      <c r="B176" s="101"/>
      <c r="D176" s="85" t="s">
        <v>158</v>
      </c>
      <c r="E176" s="102">
        <v>1.0</v>
      </c>
      <c r="G176" s="71" t="s">
        <v>159</v>
      </c>
      <c r="H176" s="98">
        <v>1.0</v>
      </c>
      <c r="J176" s="71" t="s">
        <v>5</v>
      </c>
      <c r="K176" s="88">
        <v>0.0</v>
      </c>
      <c r="L176" s="5" t="s">
        <v>157</v>
      </c>
      <c r="M176" s="89">
        <v>0.0</v>
      </c>
      <c r="O176" s="71" t="s">
        <v>60</v>
      </c>
      <c r="P176" s="94">
        <f>IF(B171="DEF%",IF(B167="4*",0.075,0.09)*IFS(B170="A6",4,B170="A5",3,OR(B170="A4",B170="A3"),2,B170="A2",1,OR(B170="A1",B170="A0"),0),0)
+IF(E169="DEF%",E170,0)+IF(E171="DEF%",E173*E172,0)+IF(E174="DEF%",E176*E175,0)+IF(E177="DEF%",E179*E178,0)
+IF(H168="DEF%",H169,0)+IF(H171="DEF%",H172*H173,0)+IF(H174="DEF%",H175*H176,0)+IF(H178="DEF%",0.583,0)+IF(H179="DEF%",0.583,0)+IF(H180="DEF%",0.583,0)+F35*0.062
+K171</f>
        <v>0.124</v>
      </c>
      <c r="Q176" s="5" t="s">
        <v>160</v>
      </c>
      <c r="R176" s="91">
        <f>IF(OR(E171="Skill DMG%",E171="Skill/Burst DMG%"),E173*E172,0)+IF(OR(E174="Skill DMG%",E174="Skill/Burst DMG%"),E176*E175,0)+IF(OR(E177="Skill DMG%",E177="Skill/Burst DMG%"),E179*E178,0)
+M177</f>
        <v>0</v>
      </c>
    </row>
    <row r="177">
      <c r="A177" s="5"/>
      <c r="B177" s="103"/>
      <c r="D177" s="85" t="s">
        <v>161</v>
      </c>
      <c r="E177" s="104" t="str">
        <f>VLOOKUP(E166,WeaponStats,11,false)</f>
        <v/>
      </c>
      <c r="G177" s="85" t="s">
        <v>162</v>
      </c>
      <c r="H177" s="95">
        <f>IF(H170="4ESF",0.25*P182,0)</f>
        <v>0</v>
      </c>
      <c r="J177" s="71" t="s">
        <v>163</v>
      </c>
      <c r="K177" s="88">
        <v>0.0</v>
      </c>
      <c r="L177" s="5" t="s">
        <v>160</v>
      </c>
      <c r="M177" s="89">
        <v>0.0</v>
      </c>
      <c r="O177" s="71" t="s">
        <v>61</v>
      </c>
      <c r="P177" s="90">
        <f>G35*19.68
+K172</f>
        <v>39.36</v>
      </c>
      <c r="Q177" s="5" t="s">
        <v>164</v>
      </c>
      <c r="R177" s="91">
        <f>IF(OR(E171="Burst DMG%",E171="Skill/Burst DMG%"),E173*E172,0)+IF(OR(E174="Burst DMG%",E174="Skill/Burst DMG%"),E176*E175,0)+IF(OR(E177="Burst DMG%",E177="Skill/Burst DMG%"),E179*E178,0)
+IF(H168="Burst DMG%",H169,0)+IF(H171="Burst DMG%",H172*H173,0)+IF(H174="Burst DMG%",H175*H176,0)+H177
+M178</f>
        <v>0</v>
      </c>
    </row>
    <row r="178">
      <c r="A178" s="5"/>
      <c r="B178" s="103"/>
      <c r="D178" s="85" t="s">
        <v>165</v>
      </c>
      <c r="E178" s="100">
        <f>VLOOKUP(E166,WeaponStats,12,false)+(E167-1)*VLOOKUP(E166,WeaponStats,13,false)</f>
        <v>0</v>
      </c>
      <c r="G178" s="85" t="s">
        <v>166</v>
      </c>
      <c r="H178" s="105" t="s">
        <v>4</v>
      </c>
      <c r="J178" s="81"/>
      <c r="K178" s="106"/>
      <c r="L178" s="5" t="s">
        <v>164</v>
      </c>
      <c r="M178" s="89">
        <f>0</f>
        <v>0</v>
      </c>
      <c r="O178" s="71" t="s">
        <v>167</v>
      </c>
      <c r="P178" s="90">
        <f>P175*(1+P176)+P177</f>
        <v>949.1384606</v>
      </c>
      <c r="Q178" s="5" t="s">
        <v>168</v>
      </c>
      <c r="R178" s="91">
        <f>IF(E171="Other DMG%",E173*E172,0)+IF(E174="Other DMG%",E176*E175,0)+IF(E177="Other DMG%",E179*E178,0)
+IF(H171="Other DMG%",H172*H173,0)+IF(H174="Other DMG%",H175*H176,0)
+M179</f>
        <v>0</v>
      </c>
    </row>
    <row r="179">
      <c r="A179" s="5"/>
      <c r="B179" s="103"/>
      <c r="D179" s="85" t="s">
        <v>169</v>
      </c>
      <c r="E179" s="107">
        <v>1.0</v>
      </c>
      <c r="F179" s="108"/>
      <c r="G179" s="71" t="s">
        <v>170</v>
      </c>
      <c r="H179" s="105" t="s">
        <v>4</v>
      </c>
      <c r="K179" s="109"/>
      <c r="L179" s="42" t="s">
        <v>168</v>
      </c>
      <c r="M179" s="110">
        <v>0.0</v>
      </c>
      <c r="O179" s="71" t="s">
        <v>4</v>
      </c>
      <c r="P179" s="90">
        <f>IF(B171="EM",IF(B167="4*",24,28.8)*IFS(B170="A6",4,B170="A5",3,OR(B170="A4",B170="A3"),2,B170="A2",1,OR(B170="A1",B170="A0"),0),0)
+IF(E169="EM",E170,0)+IF(E171="EM",E173*E172,0)+IF(E174="EM",E176*E175,0)+IF(E177="EM",E179*E178,0)
+IF(H168="EM",H169,0)+IF(H171="EM",H172*H173,0)+IF(H174="EM",H175*H176,0)+IF(H178="EM",187,0)+IF(H179="EM",187,0)+IF(H180="EM",187,0)+H35*19.82
+K173</f>
        <v>795.12</v>
      </c>
      <c r="Q179" s="111"/>
      <c r="R179" s="81"/>
    </row>
    <row r="180">
      <c r="A180" s="5"/>
      <c r="B180" s="103"/>
      <c r="D180" s="85" t="s">
        <v>171</v>
      </c>
      <c r="E180" s="112" t="b">
        <v>0</v>
      </c>
      <c r="G180" s="99" t="s">
        <v>172</v>
      </c>
      <c r="H180" s="113" t="s">
        <v>4</v>
      </c>
      <c r="O180" s="71" t="s">
        <v>2</v>
      </c>
      <c r="P180" s="114">
        <f>0.05
+IF(B171="CR",IF(B167="4*",0.04,0.048)*IFS(B170="A6",4,B170="A5",3,OR(B170="A4",B170="A3"),2,B170="A2",1,OR(B170="A1",B170="A0"),0),0)
+IF(E169="CR",E170,0)+IF(E171="CR",E173*E172,0)+IF(E174="CR",E176*E175,0)+IF(E177="CR",E179*E178,0)
+IF(H168="CR",H169,0)+IF(H171="CR",H172*H173,0)+IF(H174="CR",H175*H176,0)+IF(H180="CR",0.311,0)+I35*0.0331
+K174</f>
        <v>0.4472</v>
      </c>
      <c r="Q180" s="115"/>
    </row>
    <row r="181">
      <c r="A181" s="5"/>
      <c r="B181" s="103"/>
      <c r="D181" s="85" t="s">
        <v>173</v>
      </c>
      <c r="E181" s="100">
        <f>IF(E166="Primordial Jade Cutter",(0.012+(E167-1)*0.003)*(P167*(1+P168)+P169),0)
+IF(E166="Staff of Homa",(0.008+(E167-1)*0.002)*(P167*(1+P168)+P169),0)
+IF(AND(E166="Staff of Homa",E180),(0.01+(E167-1)*0.002)*(P167*(1+P168)+P169),0)</f>
        <v>0</v>
      </c>
      <c r="G181" s="14"/>
      <c r="H181" s="14"/>
      <c r="O181" s="71" t="s">
        <v>3</v>
      </c>
      <c r="P181" s="116">
        <f>0.5
+IF(B171="CD",IF(B167="4*",0.08,0.096)*IFS(B170="A6",4,B170="A5",3,OR(B170="A4",B170="A3"),2,B170="A2",1,OR(B170="A1",B170="A0"),0),0)
+IF(E169="CD",E170,0)+IF(E171="CD",E173*E172,0)+IF(E174="CD",E176*E175,0)+IF(E177="CD",E179*E178,0)
+IF(H180="CD",0.622,0)+J35*0.0662
+K175</f>
        <v>0.6324</v>
      </c>
    </row>
    <row r="182">
      <c r="A182" s="5"/>
      <c r="B182" s="103"/>
      <c r="D182" s="99" t="s">
        <v>174</v>
      </c>
      <c r="E182" s="117">
        <f>IF(E166="Engulfing Lightning",(0.28+(E167-1)*0.07)*(P182-1),0)</f>
        <v>0</v>
      </c>
      <c r="G182" s="14"/>
      <c r="H182" s="14"/>
      <c r="O182" s="71" t="s">
        <v>5</v>
      </c>
      <c r="P182" s="91">
        <f>1
+IF(B171="ER",IF(B167="4*",0.067,0.08)*IFS(B170="A6",4,B170="A5",3,OR(B170="A4",B170="A3"),2,B170="A2",1,OR(B170="A1",B170="A0"),0),0)
+IF(E169="ER",E170,0)+IF(E171="ER",E173*E172,0)+IF(E174="ER",E176*E175,0)+IF(E177="ER",E179*E178,0)
+IF(H168="ER",H169,0)+IF(H171="ER",H172*H173,0)+IF(H174="ER",H175*H176,0)+IF(H178="ER",0.518,0)+K35*0.0551
+K176</f>
        <v>2.0538</v>
      </c>
    </row>
    <row r="183">
      <c r="A183" s="5"/>
      <c r="B183" s="103"/>
      <c r="G183" s="14"/>
      <c r="H183" s="14"/>
      <c r="O183" s="21" t="s">
        <v>163</v>
      </c>
      <c r="P183" s="118">
        <f>IF(B171="Healing Bonus",IF(B167="4*",0.04625,0.0555)*IFS(B170="A6",4,B170="A5",3,OR(B170="A4",B170="A3"),2,B170="A2",1,OR(B170="A1",B170="A0"),0),0)
+IF(E171="Healing Bonus",E173*E172,0)+IF(E174="Healing Bonus",E176*E175,0)+IF(E177="Healing Bonus",E179*E178,0)
+IF(H168="Healing Bonus",H169,0)+IF(H171="Healing Bonus",H172*H173,0)+IF(H174="Healing Bonus",H175*H176,0)+IF(H180="Healing Bonus",0.359,0)
+K177</f>
        <v>0</v>
      </c>
    </row>
    <row r="184">
      <c r="A184" s="119" t="s">
        <v>175</v>
      </c>
      <c r="B184" s="71"/>
      <c r="C184" s="120"/>
      <c r="D184" s="120"/>
      <c r="E184" s="120"/>
      <c r="F184" s="120"/>
      <c r="G184" s="5"/>
    </row>
    <row r="185">
      <c r="A185" s="85" t="str">
        <f>OFFSET(Stats!327:327,MATCH(B166,CharMVsCharNames,0)-1,0)</f>
        <v>Kazuha</v>
      </c>
      <c r="B185" s="121" t="s">
        <v>176</v>
      </c>
      <c r="C185" s="121" t="s">
        <v>177</v>
      </c>
      <c r="D185" s="121" t="s">
        <v>268</v>
      </c>
      <c r="E185" s="121" t="s">
        <v>269</v>
      </c>
      <c r="F185" s="121" t="s">
        <v>179</v>
      </c>
      <c r="G185" s="121" t="s">
        <v>246</v>
      </c>
      <c r="H185" s="121" t="s">
        <v>270</v>
      </c>
      <c r="I185" s="121" t="s">
        <v>271</v>
      </c>
      <c r="J185" s="121" t="s">
        <v>181</v>
      </c>
      <c r="K185" s="121" t="s">
        <v>182</v>
      </c>
      <c r="L185" s="121" t="s">
        <v>183</v>
      </c>
      <c r="M185" s="121" t="s">
        <v>253</v>
      </c>
      <c r="N185" s="121"/>
      <c r="O185" s="121"/>
      <c r="P185" s="121"/>
      <c r="Q185" s="122" t="s">
        <v>272</v>
      </c>
      <c r="R185" s="122" t="s">
        <v>273</v>
      </c>
      <c r="S185" s="122" t="s">
        <v>274</v>
      </c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 t="s">
        <v>275</v>
      </c>
      <c r="AH185" s="122" t="s">
        <v>276</v>
      </c>
      <c r="AI185" s="122" t="s">
        <v>277</v>
      </c>
      <c r="AJ185" s="122" t="s">
        <v>192</v>
      </c>
      <c r="AK185" s="122" t="s">
        <v>248</v>
      </c>
      <c r="AL185" s="122"/>
      <c r="AM185" s="122"/>
      <c r="AN185" s="122"/>
      <c r="AO185" s="122"/>
      <c r="AP185" s="122"/>
      <c r="AQ185" s="122"/>
      <c r="AR185" s="122"/>
      <c r="AS185" s="122"/>
      <c r="AT185" s="122"/>
      <c r="AU185" s="123"/>
    </row>
    <row r="186">
      <c r="A186" s="99"/>
      <c r="B186" s="124">
        <f t="array" ref="B186">IF(ISBLANK(B185),"",INDEX(CharMVsBase,MATCH($B$166,CharMVsCharNames,0)+2,CELL("col",B185))
*HLOOKUP(INDEX(CharMVsBase,MATCH($B$166,CharMVsCharNames,0)+1,CELL("col",B185)),CharMVsScaling,$B$172+1,false))</f>
        <v>0.8262826</v>
      </c>
      <c r="C186" s="124">
        <f t="array" ref="C186">IF(ISBLANK(C185),"",INDEX(CharMVsBase,MATCH($B$166,CharMVsCharNames,0)+2,CELL("col",C185))
*HLOOKUP(INDEX(CharMVsBase,MATCH($B$166,CharMVsCharNames,0)+1,CELL("col",C185)),CharMVsScaling,$B$172+1,false))</f>
        <v>0.8310588</v>
      </c>
      <c r="D186" s="124">
        <f t="array" ref="D186">IF(ISBLANK(D185),"",INDEX(CharMVsBase,MATCH($B$166,CharMVsCharNames,0)+2,CELL("col",D185))
*HLOOKUP(INDEX(CharMVsBase,MATCH($B$166,CharMVsCharNames,0)+1,CELL("col",D185)),CharMVsScaling,$B$172+1,false))</f>
        <v>0.473946</v>
      </c>
      <c r="E186" s="124">
        <f t="array" ref="E186">IF(ISBLANK(E185),"",INDEX(CharMVsBase,MATCH($B$166,CharMVsCharNames,0)+2,CELL("col",E185))
*HLOOKUP(INDEX(CharMVsBase,MATCH($B$166,CharMVsCharNames,0)+1,CELL("col",E185)),CharMVsScaling,$B$172+1,false))</f>
        <v>0.5687352</v>
      </c>
      <c r="F186" s="124">
        <f t="array" ref="F186">IF(ISBLANK(F185),"",INDEX(CharMVsBase,MATCH($B$166,CharMVsCharNames,0)+2,CELL("col",F185))
*HLOOKUP(INDEX(CharMVsBase,MATCH($B$166,CharMVsCharNames,0)+1,CELL("col",F185)),CharMVsScaling,$B$172+1,false))</f>
        <v>1.1154264</v>
      </c>
      <c r="G186" s="124">
        <f t="array" ref="G186">IF(ISBLANK(G185),"",INDEX(CharMVsBase,MATCH($B$166,CharMVsCharNames,0)+2,CELL("col",G185))
*HLOOKUP(INDEX(CharMVsBase,MATCH($B$166,CharMVsCharNames,0)+1,CELL("col",G185)),CharMVsScaling,$B$172+1,false))</f>
        <v>0.4660469</v>
      </c>
      <c r="H186" s="124">
        <f t="array" ref="H186">IF(ISBLANK(H185),"",INDEX(CharMVsBase,MATCH($B$166,CharMVsCharNames,0)+2,CELL("col",H185))
*HLOOKUP(INDEX(CharMVsBase,MATCH($B$166,CharMVsCharNames,0)+1,CELL("col",H185)),CharMVsScaling,$B$172+1,false))</f>
        <v>0.78991</v>
      </c>
      <c r="I186" s="124">
        <f t="array" ref="I186">IF(ISBLANK(I185),"",INDEX(CharMVsBase,MATCH($B$166,CharMVsCharNames,0)+2,CELL("col",I185))
*HLOOKUP(INDEX(CharMVsBase,MATCH($B$166,CharMVsCharNames,0)+1,CELL("col",I185)),CharMVsScaling,$B$172+1,false))</f>
        <v>1.3713205</v>
      </c>
      <c r="J186" s="124">
        <f t="array" ref="J186">IF(ISBLANK(J185),"",INDEX(CharMVsBase,MATCH($B$166,CharMVsCharNames,0)+2,CELL("col",J185))
*HLOOKUP(INDEX(CharMVsBase,MATCH($B$166,CharMVsCharNames,0)+1,CELL("col",J185)),CharMVsScaling,$B$172+1,false))</f>
        <v>1.5032171</v>
      </c>
      <c r="K186" s="124">
        <f t="array" ref="K186">IF(ISBLANK(K185),"",INDEX(CharMVsBase,MATCH($B$166,CharMVsCharNames,0)+2,CELL("col",K185))
*HLOOKUP(INDEX(CharMVsBase,MATCH($B$166,CharMVsCharNames,0)+1,CELL("col",K185)),CharMVsScaling,$B$172+1,false))</f>
        <v>3.0064342</v>
      </c>
      <c r="L186" s="124">
        <f t="array" ref="L186">IF(ISBLANK(L185),"",INDEX(CharMVsBase,MATCH($B$166,CharMVsCharNames,0)+2,CELL("col",L185))
*HLOOKUP(INDEX(CharMVsBase,MATCH($B$166,CharMVsCharNames,0)+1,CELL("col",L185)),CharMVsScaling,$B$172+1,false))</f>
        <v>3.7581346</v>
      </c>
      <c r="M186" s="124">
        <f t="array" ref="M186">IF(ISBLANK(M185),"",INDEX(CharMVsBase,MATCH($B$166,CharMVsCharNames,0)+2,CELL("col",M185))
*HLOOKUP(INDEX(CharMVsBase,MATCH($B$166,CharMVsCharNames,0)+1,CELL("col",M185)),CharMVsScaling,$B$172+1,false))</f>
        <v>0.002</v>
      </c>
      <c r="N186" s="124" t="str">
        <f t="array" ref="N186">IF(ISBLANK(N185),"",INDEX(CharMVsBase,MATCH($B$166,CharMVsCharNames,0)+2,CELL("col",N185))
*HLOOKUP(INDEX(CharMVsBase,MATCH($B$166,CharMVsCharNames,0)+1,CELL("col",N185)),CharMVsScaling,$B$172+1,false))</f>
        <v/>
      </c>
      <c r="O186" s="124" t="str">
        <f t="array" ref="O186">IF(ISBLANK(O185),"",INDEX(CharMVsBase,MATCH($B$166,CharMVsCharNames,0)+2,CELL("col",O185))
*HLOOKUP(INDEX(CharMVsBase,MATCH($B$166,CharMVsCharNames,0)+1,CELL("col",O185)),CharMVsScaling,$B$172+1,false))</f>
        <v/>
      </c>
      <c r="P186" s="124" t="str">
        <f t="array" ref="P186">IF(ISBLANK(P185),"",INDEX(CharMVsBase,MATCH($B$166,CharMVsCharNames,0)+2,CELL("col",P185))
*HLOOKUP(INDEX(CharMVsBase,MATCH($B$166,CharMVsCharNames,0)+1,CELL("col",P185)),CharMVsScaling,$B$172+1,false))</f>
        <v/>
      </c>
      <c r="Q186" s="124">
        <f t="array" ref="Q186">IF(ISBLANK(Q185),"",INDEX(CharMVsBase,MATCH($B$166,CharMVsCharNames,0)+2,CELL("col",Q185))
*HLOOKUP(INDEX(CharMVsBase,MATCH($B$166,CharMVsCharNames,0)+1,CELL("col",Q185)),CharMVsScaling,$B$173+1,false))</f>
        <v>3.264</v>
      </c>
      <c r="R186" s="124">
        <f t="array" ref="R186">IF(ISBLANK(R185),"",INDEX(CharMVsBase,MATCH($B$166,CharMVsCharNames,0)+2,CELL("col",R185))
*HLOOKUP(INDEX(CharMVsBase,MATCH($B$166,CharMVsCharNames,0)+1,CELL("col",R185)),CharMVsScaling,$B$173+1,false))</f>
        <v>4.4336</v>
      </c>
      <c r="S186" s="124">
        <f t="array" ref="S186">IF(ISBLANK(S185),"",INDEX(CharMVsBase,MATCH($B$166,CharMVsCharNames,0)+2,CELL("col",S185))
*HLOOKUP(INDEX(CharMVsBase,MATCH($B$166,CharMVsCharNames,0)+1,CELL("col",S185)),CharMVsScaling,$B$173+1,false))</f>
        <v>2</v>
      </c>
      <c r="T186" s="124" t="str">
        <f t="array" ref="T186">IF(ISBLANK(T185),"",INDEX(CharMVsBase,MATCH($B$166,CharMVsCharNames,0)+2,CELL("col",T185))
*HLOOKUP(INDEX(CharMVsBase,MATCH($B$166,CharMVsCharNames,0)+1,CELL("col",T185)),CharMVsScaling,$B$173+1,false))</f>
        <v/>
      </c>
      <c r="U186" s="124" t="str">
        <f t="array" ref="U186">IF(ISBLANK(U185),"",INDEX(CharMVsBase,MATCH($B$166,CharMVsCharNames,0)+2,CELL("col",U185))
*HLOOKUP(INDEX(CharMVsBase,MATCH($B$166,CharMVsCharNames,0)+1,CELL("col",U185)),CharMVsScaling,$B$173+1,false))</f>
        <v/>
      </c>
      <c r="V186" s="124" t="str">
        <f t="array" ref="V186">IF(ISBLANK(V185),"",INDEX(CharMVsBase,MATCH($B$166,CharMVsCharNames,0)+2,CELL("col",V185))
*HLOOKUP(INDEX(CharMVsBase,MATCH($B$166,CharMVsCharNames,0)+1,CELL("col",V185)),CharMVsScaling,$B$173+1,false))</f>
        <v/>
      </c>
      <c r="W186" s="124" t="str">
        <f t="array" ref="W186">IF(ISBLANK(W185),"",INDEX(CharMVsBase,MATCH($B$166,CharMVsCharNames,0)+2,CELL("col",W185))
*HLOOKUP(INDEX(CharMVsBase,MATCH($B$166,CharMVsCharNames,0)+1,CELL("col",W185)),CharMVsScaling,$B$173+1,false))</f>
        <v/>
      </c>
      <c r="X186" s="124" t="str">
        <f t="array" ref="X186">IF(ISBLANK(X185),"",INDEX(CharMVsBase,MATCH($B$166,CharMVsCharNames,0)+2,CELL("col",X185))
*HLOOKUP(INDEX(CharMVsBase,MATCH($B$166,CharMVsCharNames,0)+1,CELL("col",X185)),CharMVsScaling,$B$173+1,false))</f>
        <v/>
      </c>
      <c r="Y186" s="124" t="str">
        <f t="array" ref="Y186">IF(ISBLANK(Y185),"",INDEX(CharMVsBase,MATCH($B$166,CharMVsCharNames,0)+2,CELL("col",Y185))
*HLOOKUP(INDEX(CharMVsBase,MATCH($B$166,CharMVsCharNames,0)+1,CELL("col",Y185)),CharMVsScaling,$B$173+1,false))</f>
        <v/>
      </c>
      <c r="Z186" s="124" t="str">
        <f t="array" ref="Z186">IF(ISBLANK(Z185),"",INDEX(CharMVsBase,MATCH($B$166,CharMVsCharNames,0)+2,CELL("col",Z185))
*HLOOKUP(INDEX(CharMVsBase,MATCH($B$166,CharMVsCharNames,0)+1,CELL("col",Z185)),CharMVsScaling,$B$173+1,false))</f>
        <v/>
      </c>
      <c r="AA186" s="124" t="str">
        <f t="array" ref="AA186">IF(ISBLANK(AA185),"",INDEX(CharMVsBase,MATCH($B$166,CharMVsCharNames,0)+2,CELL("col",AA185))
*HLOOKUP(INDEX(CharMVsBase,MATCH($B$166,CharMVsCharNames,0)+1,CELL("col",AA185)),CharMVsScaling,$B$173+1,false))</f>
        <v/>
      </c>
      <c r="AB186" s="124" t="str">
        <f t="array" ref="AB186">IF(ISBLANK(AB185),"",INDEX(CharMVsBase,MATCH($B$166,CharMVsCharNames,0)+2,CELL("col",AB185))
*HLOOKUP(INDEX(CharMVsBase,MATCH($B$166,CharMVsCharNames,0)+1,CELL("col",AB185)),CharMVsScaling,$B$173+1,false))</f>
        <v/>
      </c>
      <c r="AC186" s="124" t="str">
        <f t="array" ref="AC186">IF(ISBLANK(AC185),"",INDEX(CharMVsBase,MATCH($B$166,CharMVsCharNames,0)+2,CELL("col",AC185))
*HLOOKUP(INDEX(CharMVsBase,MATCH($B$166,CharMVsCharNames,0)+1,CELL("col",AC185)),CharMVsScaling,$B$173+1,false))</f>
        <v/>
      </c>
      <c r="AD186" s="124" t="str">
        <f t="array" ref="AD186">IF(ISBLANK(AD185),"",INDEX(CharMVsBase,MATCH($B$166,CharMVsCharNames,0)+2,CELL("col",AD185))
*HLOOKUP(INDEX(CharMVsBase,MATCH($B$166,CharMVsCharNames,0)+1,CELL("col",AD185)),CharMVsScaling,$B$173+1,false))</f>
        <v/>
      </c>
      <c r="AE186" s="124" t="str">
        <f t="array" ref="AE186">IF(ISBLANK(AE185),"",INDEX(CharMVsBase,MATCH($B$166,CharMVsCharNames,0)+2,CELL("col",AE185))
*HLOOKUP(INDEX(CharMVsBase,MATCH($B$166,CharMVsCharNames,0)+1,CELL("col",AE185)),CharMVsScaling,$B$173+1,false))</f>
        <v/>
      </c>
      <c r="AF186" s="124" t="str">
        <f t="array" ref="AF186">IF(ISBLANK(AF185),"",INDEX(CharMVsBase,MATCH($B$166,CharMVsCharNames,0)+2,CELL("col",AF185))
*HLOOKUP(INDEX(CharMVsBase,MATCH($B$166,CharMVsCharNames,0)+1,CELL("col",AF185)),CharMVsScaling,$B$173+1,false))</f>
        <v/>
      </c>
      <c r="AG186" s="124">
        <f t="array" ref="AG186">IF(ISBLANK(AG185),"",INDEX(CharMVsBase,MATCH($B$166,CharMVsCharNames,0)+2,CELL("col",AG185))
*HLOOKUP(INDEX(CharMVsBase,MATCH($B$166,CharMVsCharNames,0)+1,CELL("col",AG185)),CharMVsScaling,$B$174+1,false))</f>
        <v>4.4608</v>
      </c>
      <c r="AH186" s="124">
        <f t="array" ref="AH186">IF(ISBLANK(AH185),"",INDEX(CharMVsBase,MATCH($B$166,CharMVsCharNames,0)+2,CELL("col",AH185))
*HLOOKUP(INDEX(CharMVsBase,MATCH($B$166,CharMVsCharNames,0)+1,CELL("col",AH185)),CharMVsScaling,$B$174+1,false))</f>
        <v>2.04</v>
      </c>
      <c r="AI186" s="124">
        <f t="array" ref="AI186">IF(ISBLANK(AI185),"",INDEX(CharMVsBase,MATCH($B$166,CharMVsCharNames,0)+2,CELL("col",AI185))
*HLOOKUP(INDEX(CharMVsBase,MATCH($B$166,CharMVsCharNames,0)+1,CELL("col",AI185)),CharMVsScaling,$B$174+1,false))</f>
        <v>0.612</v>
      </c>
      <c r="AJ186" s="124">
        <f t="array" ref="AJ186">IF(ISBLANK(AJ185),"",INDEX(CharMVsBase,MATCH($B$166,CharMVsCharNames,0)+2,CELL("col",AJ185))
*HLOOKUP(INDEX(CharMVsBase,MATCH($B$166,CharMVsCharNames,0)+1,CELL("col",AJ185)),CharMVsScaling,$B$174+1,false))</f>
        <v>0.0004</v>
      </c>
      <c r="AK186" s="124">
        <f t="array" ref="AK186">IF(ISBLANK(AK185),"",INDEX(CharMVsBase,MATCH($B$166,CharMVsCharNames,0)+2,CELL("col",AK185))
*HLOOKUP(INDEX(CharMVsBase,MATCH($B$166,CharMVsCharNames,0)+1,CELL("col",AK185)),CharMVsScaling,$B$174+1,false))</f>
        <v>200</v>
      </c>
      <c r="AL186" s="124" t="str">
        <f t="array" ref="AL186">IF(ISBLANK(AL185),"",INDEX(CharMVsBase,MATCH($B$166,CharMVsCharNames,0)+2,CELL("col",AL185))
*HLOOKUP(INDEX(CharMVsBase,MATCH($B$166,CharMVsCharNames,0)+1,CELL("col",AL185)),CharMVsScaling,$B$174+1,false))</f>
        <v/>
      </c>
      <c r="AM186" s="124" t="str">
        <f t="array" ref="AM186">IF(ISBLANK(AM185),"",INDEX(CharMVsBase,MATCH($B$166,CharMVsCharNames,0)+2,CELL("col",AM185))
*HLOOKUP(INDEX(CharMVsBase,MATCH($B$166,CharMVsCharNames,0)+1,CELL("col",AM185)),CharMVsScaling,$B$174+1,false))</f>
        <v/>
      </c>
      <c r="AN186" s="124" t="str">
        <f t="array" ref="AN186">IF(ISBLANK(AN185),"",INDEX(CharMVsBase,MATCH($B$166,CharMVsCharNames,0)+2,CELL("col",AN185))
*HLOOKUP(INDEX(CharMVsBase,MATCH($B$166,CharMVsCharNames,0)+1,CELL("col",AN185)),CharMVsScaling,$B$174+1,false))</f>
        <v/>
      </c>
      <c r="AO186" s="124" t="str">
        <f t="array" ref="AO186">IF(ISBLANK(AO185),"",INDEX(CharMVsBase,MATCH($B$166,CharMVsCharNames,0)+2,CELL("col",AO185))
*HLOOKUP(INDEX(CharMVsBase,MATCH($B$166,CharMVsCharNames,0)+1,CELL("col",AO185)),CharMVsScaling,$B$174+1,false))</f>
        <v/>
      </c>
      <c r="AP186" s="124" t="str">
        <f t="array" ref="AP186">IF(ISBLANK(AP185),"",INDEX(CharMVsBase,MATCH($B$166,CharMVsCharNames,0)+2,CELL("col",AP185))
*HLOOKUP(INDEX(CharMVsBase,MATCH($B$166,CharMVsCharNames,0)+1,CELL("col",AP185)),CharMVsScaling,$B$174+1,false))</f>
        <v/>
      </c>
      <c r="AQ186" s="124" t="str">
        <f t="array" ref="AQ186">IF(ISBLANK(AQ185),"",INDEX(CharMVsBase,MATCH($B$166,CharMVsCharNames,0)+2,CELL("col",AQ185))
*HLOOKUP(INDEX(CharMVsBase,MATCH($B$166,CharMVsCharNames,0)+1,CELL("col",AQ185)),CharMVsScaling,$B$174+1,false))</f>
        <v/>
      </c>
      <c r="AR186" s="124" t="str">
        <f t="array" ref="AR186">IF(ISBLANK(AR185),"",INDEX(CharMVsBase,MATCH($B$166,CharMVsCharNames,0)+2,CELL("col",AR185))
*HLOOKUP(INDEX(CharMVsBase,MATCH($B$166,CharMVsCharNames,0)+1,CELL("col",AR185)),CharMVsScaling,$B$174+1,false))</f>
        <v/>
      </c>
      <c r="AS186" s="124" t="str">
        <f t="array" ref="AS186">IF(ISBLANK(AS185),"",INDEX(CharMVsBase,MATCH($B$166,CharMVsCharNames,0)+2,CELL("col",AS185))
*HLOOKUP(INDEX(CharMVsBase,MATCH($B$166,CharMVsCharNames,0)+1,CELL("col",AS185)),CharMVsScaling,$B$174+1,false))</f>
        <v/>
      </c>
      <c r="AT186" s="124" t="str">
        <f t="array" ref="AT186">IF(ISBLANK(AT185),"",INDEX(CharMVsBase,MATCH($B$166,CharMVsCharNames,0)+2,CELL("col",AT185))
*HLOOKUP(INDEX(CharMVsBase,MATCH($B$166,CharMVsCharNames,0)+1,CELL("col",AT185)),CharMVsScaling,$B$174+1,false))</f>
        <v/>
      </c>
      <c r="AU186" s="124" t="str">
        <f t="array" ref="AU186">IF(ISBLANK(AU185),"",INDEX(CharMVsBase,MATCH($B$166,CharMVsCharNames,0)+2,CELL("col",AU185))
*HLOOKUP(INDEX(CharMVsBase,MATCH($B$166,CharMVsCharNames,0)+1,CELL("col",AU185)),CharMVsScaling,$B$174+1,false))</f>
        <v/>
      </c>
    </row>
    <row r="188">
      <c r="A188" s="19" t="s">
        <v>24</v>
      </c>
      <c r="B188" s="23" t="s">
        <v>193</v>
      </c>
      <c r="C188" s="23" t="s">
        <v>194</v>
      </c>
      <c r="D188" s="23" t="s">
        <v>195</v>
      </c>
      <c r="E188" s="23" t="s">
        <v>196</v>
      </c>
      <c r="F188" s="23" t="s">
        <v>197</v>
      </c>
      <c r="G188" s="23" t="s">
        <v>198</v>
      </c>
      <c r="H188" s="125" t="s">
        <v>199</v>
      </c>
      <c r="I188" s="125" t="s">
        <v>200</v>
      </c>
      <c r="J188" s="125" t="s">
        <v>201</v>
      </c>
      <c r="K188" s="125" t="s">
        <v>202</v>
      </c>
      <c r="L188" s="125" t="s">
        <v>203</v>
      </c>
      <c r="M188" s="125" t="s">
        <v>204</v>
      </c>
      <c r="N188" s="125" t="s">
        <v>205</v>
      </c>
      <c r="O188" s="125" t="s">
        <v>206</v>
      </c>
      <c r="P188" s="125" t="s">
        <v>207</v>
      </c>
      <c r="Q188" s="125" t="s">
        <v>208</v>
      </c>
      <c r="R188" s="23" t="s">
        <v>209</v>
      </c>
      <c r="S188" s="23" t="s">
        <v>210</v>
      </c>
      <c r="T188" s="23" t="s">
        <v>211</v>
      </c>
      <c r="U188" s="23" t="s">
        <v>212</v>
      </c>
      <c r="V188" s="23" t="s">
        <v>213</v>
      </c>
      <c r="W188" s="25" t="s">
        <v>214</v>
      </c>
    </row>
    <row r="189">
      <c r="A189" s="50" t="s">
        <v>215</v>
      </c>
      <c r="B189" s="126" t="s">
        <v>272</v>
      </c>
      <c r="C189" s="127">
        <v>1.0</v>
      </c>
      <c r="D189" s="128">
        <f t="shared" ref="D189:D202" si="41">HLOOKUP(B189,A$185:AU$186,2,false)
*C189</f>
        <v>3.264</v>
      </c>
      <c r="E189" s="129" t="str">
        <f t="array" ref="E189">INDEX(CharMVsBase,MATCH(B$166,CharMVsCharNames,0)+3,MATCH(B189,B$185:AU$185,0)+1)</f>
        <v>ATK</v>
      </c>
      <c r="F189" s="126" t="s">
        <v>88</v>
      </c>
      <c r="G189" s="129" t="str">
        <f t="array" ref="G189">INDEX(CharMVsBase,MATCH(B$166,CharMVsCharNames,0)+4,MATCH(B189,B$185:AU$185,0)+1)</f>
        <v>Skill DMG%</v>
      </c>
      <c r="H189" s="88">
        <v>0.2</v>
      </c>
      <c r="I189" s="130">
        <v>0.0</v>
      </c>
      <c r="J189" s="130">
        <v>0.0</v>
      </c>
      <c r="K189" s="88">
        <v>0.0</v>
      </c>
      <c r="L189" s="88">
        <v>0.0</v>
      </c>
      <c r="M189" s="88">
        <v>0.0</v>
      </c>
      <c r="N189" s="88">
        <v>0.0</v>
      </c>
      <c r="O189" s="88">
        <v>0.0</v>
      </c>
      <c r="P189" s="88">
        <v>0.0</v>
      </c>
      <c r="Q189" s="88">
        <v>0.0</v>
      </c>
      <c r="R189" s="90">
        <f t="shared" ref="R189:R202" si="42">D189
*(IFS(E189="ATK",(P$171*(1+P$172+H189)+P$173+I189),E189="DEF",(P$175*(1+P$176+H189)+P$177+I189),E189="HP",(P$167*(1+P$168+H189)+P$169+I189),TRUE,1)
*(1+MEDIAN(0,1,(P$180+L189))*(P$181+M189))
*(1+VLOOKUP(CONCATENATE(F189," DMG%"),Q$166:R$172,2,false)+IF(G189="",0,VLOOKUP(G189,Q$173:R$177,2,false))+R$178+N189)
*IF((VLOOKUP(F189,A$57:B$63,2,false)+O189)&lt;0,1-(VLOOKUP(F189,A$57:B$63,2,false)+O189)/2,1-(VLOOKUP(F189,A$57:B$63,2,false)+O189))
*((B$169+100)/((1+P189)*(1+Q189)*(B$56+100)+B$169+100)))</f>
        <v>2787.721519</v>
      </c>
      <c r="S189" s="131">
        <v>0.0</v>
      </c>
      <c r="T189" s="126">
        <v>1.5</v>
      </c>
      <c r="U189" s="132">
        <f t="shared" ref="U189:U204" si="43">((1-S189)*R189
+S189*R189
*T189
*(1+(2.78*(P$179+J189)/(P$179+J189+1400))+K189+IF(H$170="4CW",0.15,0)))</f>
        <v>2787.721519</v>
      </c>
      <c r="V189" s="126">
        <v>4.0</v>
      </c>
      <c r="W189" s="133">
        <f t="shared" ref="W189:W209" si="44">U189*V189</f>
        <v>11150.88608</v>
      </c>
      <c r="X189" s="5" t="s">
        <v>216</v>
      </c>
      <c r="Z189" s="5" t="s">
        <v>92</v>
      </c>
    </row>
    <row r="190">
      <c r="A190" s="50" t="s">
        <v>215</v>
      </c>
      <c r="B190" s="126" t="s">
        <v>272</v>
      </c>
      <c r="C190" s="127">
        <v>1.0</v>
      </c>
      <c r="D190" s="128">
        <f t="shared" si="41"/>
        <v>3.264</v>
      </c>
      <c r="E190" s="129" t="str">
        <f t="array" ref="E190">INDEX(CharMVsBase,MATCH(B$166,CharMVsCharNames,0)+3,MATCH(B190,B$185:AU$185,0)+1)</f>
        <v>ATK</v>
      </c>
      <c r="F190" s="126" t="s">
        <v>88</v>
      </c>
      <c r="G190" s="129" t="str">
        <f t="array" ref="G190">INDEX(CharMVsBase,MATCH(B$166,CharMVsCharNames,0)+4,MATCH(B190,B$185:AU$185,0)+1)</f>
        <v>Skill DMG%</v>
      </c>
      <c r="H190" s="88">
        <v>0.2</v>
      </c>
      <c r="I190" s="130">
        <v>0.0</v>
      </c>
      <c r="J190" s="130">
        <v>0.0</v>
      </c>
      <c r="K190" s="88">
        <v>0.0</v>
      </c>
      <c r="L190" s="88">
        <v>0.0</v>
      </c>
      <c r="M190" s="88">
        <v>0.0</v>
      </c>
      <c r="N190" s="88">
        <v>0.0</v>
      </c>
      <c r="O190" s="88">
        <v>0.0</v>
      </c>
      <c r="P190" s="88">
        <v>-0.15</v>
      </c>
      <c r="Q190" s="88">
        <v>0.0</v>
      </c>
      <c r="R190" s="90">
        <f t="shared" si="42"/>
        <v>3020.031645</v>
      </c>
      <c r="S190" s="131">
        <v>0.0</v>
      </c>
      <c r="T190" s="126">
        <v>1.5</v>
      </c>
      <c r="U190" s="132">
        <f t="shared" si="43"/>
        <v>3020.031645</v>
      </c>
      <c r="V190" s="126">
        <v>2.0</v>
      </c>
      <c r="W190" s="133">
        <f t="shared" si="44"/>
        <v>6040.063291</v>
      </c>
      <c r="X190" s="5" t="s">
        <v>216</v>
      </c>
      <c r="Z190" s="5" t="s">
        <v>92</v>
      </c>
      <c r="AA190" s="5" t="s">
        <v>56</v>
      </c>
    </row>
    <row r="191">
      <c r="A191" s="50" t="s">
        <v>215</v>
      </c>
      <c r="B191" s="126" t="s">
        <v>274</v>
      </c>
      <c r="C191" s="127">
        <v>1.0</v>
      </c>
      <c r="D191" s="128">
        <f t="shared" si="41"/>
        <v>2</v>
      </c>
      <c r="E191" s="129" t="str">
        <f t="array" ref="E191">INDEX(CharMVsBase,MATCH(B$166,CharMVsCharNames,0)+3,MATCH(B191,B$185:AU$185,0)+1)</f>
        <v>ATK</v>
      </c>
      <c r="F191" s="126" t="s">
        <v>84</v>
      </c>
      <c r="G191" s="129" t="str">
        <f t="array" ref="G191">INDEX(CharMVsBase,MATCH(B$166,CharMVsCharNames,0)+4,MATCH(B191,B$185:AU$185,0)+1)</f>
        <v>PA DMG%</v>
      </c>
      <c r="H191" s="88">
        <v>0.2</v>
      </c>
      <c r="I191" s="130">
        <v>0.0</v>
      </c>
      <c r="J191" s="130">
        <v>0.0</v>
      </c>
      <c r="K191" s="88">
        <v>0.0</v>
      </c>
      <c r="L191" s="88">
        <v>0.0</v>
      </c>
      <c r="M191" s="88">
        <v>0.0</v>
      </c>
      <c r="N191" s="88">
        <f>$B$79+15%</f>
        <v>0.468048</v>
      </c>
      <c r="O191" s="88">
        <v>-0.55</v>
      </c>
      <c r="P191" s="88">
        <v>-0.15</v>
      </c>
      <c r="Q191" s="88">
        <v>0.0</v>
      </c>
      <c r="R191" s="90">
        <f t="shared" si="42"/>
        <v>3215.343188</v>
      </c>
      <c r="S191" s="131">
        <v>0.0</v>
      </c>
      <c r="T191" s="126">
        <v>1.5</v>
      </c>
      <c r="U191" s="132">
        <f t="shared" si="43"/>
        <v>3215.343188</v>
      </c>
      <c r="V191" s="126">
        <v>2.0</v>
      </c>
      <c r="W191" s="133">
        <f t="shared" si="44"/>
        <v>6430.686376</v>
      </c>
      <c r="X191" s="5" t="s">
        <v>278</v>
      </c>
      <c r="Y191" s="5" t="s">
        <v>229</v>
      </c>
      <c r="Z191" s="5" t="s">
        <v>92</v>
      </c>
      <c r="AA191" s="5" t="s">
        <v>56</v>
      </c>
      <c r="AC191" s="5" t="s">
        <v>230</v>
      </c>
      <c r="AD191" s="5" t="s">
        <v>258</v>
      </c>
      <c r="AE191" s="5" t="s">
        <v>103</v>
      </c>
    </row>
    <row r="192">
      <c r="A192" s="50" t="s">
        <v>215</v>
      </c>
      <c r="B192" s="126" t="s">
        <v>274</v>
      </c>
      <c r="C192" s="127">
        <v>1.0</v>
      </c>
      <c r="D192" s="128">
        <f t="shared" si="41"/>
        <v>2</v>
      </c>
      <c r="E192" s="129" t="str">
        <f t="array" ref="E192">INDEX(CharMVsBase,MATCH(B$166,CharMVsCharNames,0)+3,MATCH(B192,B$185:AU$185,0)+1)</f>
        <v>ATK</v>
      </c>
      <c r="F192" s="126" t="s">
        <v>84</v>
      </c>
      <c r="G192" s="129" t="str">
        <f t="array" ref="G192">INDEX(CharMVsBase,MATCH(B$166,CharMVsCharNames,0)+4,MATCH(B192,B$185:AU$185,0)+1)</f>
        <v>PA DMG%</v>
      </c>
      <c r="H192" s="88">
        <v>0.2</v>
      </c>
      <c r="I192" s="134">
        <f t="shared" ref="I192:I193" si="45">$B$78</f>
        <v>998.1146284</v>
      </c>
      <c r="J192" s="130">
        <v>0.0</v>
      </c>
      <c r="K192" s="88">
        <v>0.0</v>
      </c>
      <c r="L192" s="88">
        <v>0.0</v>
      </c>
      <c r="M192" s="88">
        <v>0.0</v>
      </c>
      <c r="N192" s="88">
        <f>$B$79</f>
        <v>0.318048</v>
      </c>
      <c r="O192" s="88">
        <v>-0.4</v>
      </c>
      <c r="P192" s="88">
        <v>0.0</v>
      </c>
      <c r="Q192" s="88">
        <v>0.0</v>
      </c>
      <c r="R192" s="90">
        <f t="shared" si="42"/>
        <v>4392.596297</v>
      </c>
      <c r="S192" s="131">
        <v>0.0</v>
      </c>
      <c r="T192" s="126">
        <v>1.5</v>
      </c>
      <c r="U192" s="132">
        <f t="shared" si="43"/>
        <v>4392.596297</v>
      </c>
      <c r="V192" s="126">
        <v>2.0</v>
      </c>
      <c r="W192" s="133">
        <f t="shared" si="44"/>
        <v>8785.192594</v>
      </c>
      <c r="X192" s="5" t="s">
        <v>278</v>
      </c>
      <c r="Y192" s="5" t="s">
        <v>229</v>
      </c>
      <c r="Z192" s="5" t="s">
        <v>92</v>
      </c>
      <c r="AB192" s="5" t="s">
        <v>219</v>
      </c>
      <c r="AE192" s="5" t="s">
        <v>103</v>
      </c>
    </row>
    <row r="193">
      <c r="A193" s="50" t="s">
        <v>215</v>
      </c>
      <c r="B193" s="126" t="s">
        <v>274</v>
      </c>
      <c r="C193" s="127">
        <v>1.0</v>
      </c>
      <c r="D193" s="128">
        <f t="shared" si="41"/>
        <v>2</v>
      </c>
      <c r="E193" s="129" t="str">
        <f t="array" ref="E193">INDEX(CharMVsBase,MATCH(B$166,CharMVsCharNames,0)+3,MATCH(B193,B$185:AU$185,0)+1)</f>
        <v>ATK</v>
      </c>
      <c r="F193" s="126" t="s">
        <v>84</v>
      </c>
      <c r="G193" s="129" t="str">
        <f t="array" ref="G193">INDEX(CharMVsBase,MATCH(B$166,CharMVsCharNames,0)+4,MATCH(B193,B$185:AU$185,0)+1)</f>
        <v>PA DMG%</v>
      </c>
      <c r="H193" s="88">
        <v>0.2</v>
      </c>
      <c r="I193" s="134">
        <f t="shared" si="45"/>
        <v>998.1146284</v>
      </c>
      <c r="J193" s="130">
        <v>0.0</v>
      </c>
      <c r="K193" s="88">
        <v>0.0</v>
      </c>
      <c r="L193" s="88">
        <v>0.0</v>
      </c>
      <c r="M193" s="88">
        <v>0.0</v>
      </c>
      <c r="N193" s="88">
        <f>$B$79+15%</f>
        <v>0.468048</v>
      </c>
      <c r="O193" s="88">
        <v>-0.4</v>
      </c>
      <c r="P193" s="88">
        <v>-0.15</v>
      </c>
      <c r="Q193" s="88">
        <v>0.0</v>
      </c>
      <c r="R193" s="90">
        <f t="shared" si="42"/>
        <v>5300.202061</v>
      </c>
      <c r="S193" s="131">
        <v>0.0</v>
      </c>
      <c r="T193" s="126">
        <v>1.5</v>
      </c>
      <c r="U193" s="132">
        <f t="shared" si="43"/>
        <v>5300.202061</v>
      </c>
      <c r="V193" s="126">
        <v>2.0</v>
      </c>
      <c r="W193" s="133">
        <f t="shared" si="44"/>
        <v>10600.40412</v>
      </c>
      <c r="X193" s="5" t="s">
        <v>278</v>
      </c>
      <c r="Y193" s="5" t="s">
        <v>229</v>
      </c>
      <c r="Z193" s="5" t="s">
        <v>92</v>
      </c>
      <c r="AA193" s="5" t="s">
        <v>56</v>
      </c>
      <c r="AB193" s="5" t="s">
        <v>219</v>
      </c>
      <c r="AD193" s="5" t="s">
        <v>258</v>
      </c>
      <c r="AE193" s="5" t="s">
        <v>103</v>
      </c>
    </row>
    <row r="194">
      <c r="A194" s="50" t="s">
        <v>215</v>
      </c>
      <c r="B194" s="126" t="s">
        <v>183</v>
      </c>
      <c r="C194" s="127">
        <v>1.0</v>
      </c>
      <c r="D194" s="128">
        <f t="shared" si="41"/>
        <v>3.7581346</v>
      </c>
      <c r="E194" s="129" t="str">
        <f t="array" ref="E194">INDEX(CharMVsBase,MATCH(B$166,CharMVsCharNames,0)+3,MATCH(B194,B$185:AU$185,0)+1)</f>
        <v>ATK</v>
      </c>
      <c r="F194" s="126" t="s">
        <v>88</v>
      </c>
      <c r="G194" s="129" t="str">
        <f t="array" ref="G194">INDEX(CharMVsBase,MATCH(B$166,CharMVsCharNames,0)+4,MATCH(B194,B$185:AU$185,0)+1)</f>
        <v>PA DMG%</v>
      </c>
      <c r="H194" s="88">
        <v>0.2</v>
      </c>
      <c r="I194" s="130">
        <v>0.0</v>
      </c>
      <c r="J194" s="130">
        <v>0.0</v>
      </c>
      <c r="K194" s="88">
        <v>0.0</v>
      </c>
      <c r="L194" s="88">
        <v>0.0</v>
      </c>
      <c r="M194" s="88">
        <v>0.0</v>
      </c>
      <c r="N194" s="88">
        <v>0.0</v>
      </c>
      <c r="O194" s="88">
        <v>0.0</v>
      </c>
      <c r="P194" s="88">
        <v>-0.15</v>
      </c>
      <c r="Q194" s="88">
        <v>0.0</v>
      </c>
      <c r="R194" s="90">
        <f t="shared" si="42"/>
        <v>3477.232053</v>
      </c>
      <c r="S194" s="131">
        <v>0.0</v>
      </c>
      <c r="T194" s="126">
        <v>1.5</v>
      </c>
      <c r="U194" s="132">
        <f t="shared" si="43"/>
        <v>3477.232053</v>
      </c>
      <c r="V194" s="126">
        <v>2.0</v>
      </c>
      <c r="W194" s="133">
        <f t="shared" si="44"/>
        <v>6954.464105</v>
      </c>
      <c r="X194" s="5" t="s">
        <v>279</v>
      </c>
      <c r="Z194" s="5" t="s">
        <v>92</v>
      </c>
      <c r="AA194" s="5" t="s">
        <v>56</v>
      </c>
    </row>
    <row r="195">
      <c r="A195" s="50" t="s">
        <v>215</v>
      </c>
      <c r="B195" s="126" t="s">
        <v>183</v>
      </c>
      <c r="C195" s="127">
        <v>1.0</v>
      </c>
      <c r="D195" s="128">
        <f t="shared" si="41"/>
        <v>3.7581346</v>
      </c>
      <c r="E195" s="129" t="str">
        <f t="array" ref="E195">INDEX(CharMVsBase,MATCH(B$166,CharMVsCharNames,0)+3,MATCH(B195,B$185:AU$185,0)+1)</f>
        <v>ATK</v>
      </c>
      <c r="F195" s="126" t="s">
        <v>88</v>
      </c>
      <c r="G195" s="129" t="str">
        <f t="array" ref="G195">INDEX(CharMVsBase,MATCH(B$166,CharMVsCharNames,0)+4,MATCH(B195,B$185:AU$185,0)+1)</f>
        <v>PA DMG%</v>
      </c>
      <c r="H195" s="88">
        <v>0.2</v>
      </c>
      <c r="I195" s="134">
        <f t="shared" ref="I195:I202" si="46">$B$78</f>
        <v>998.1146284</v>
      </c>
      <c r="J195" s="130">
        <v>0.0</v>
      </c>
      <c r="K195" s="88">
        <v>0.0</v>
      </c>
      <c r="L195" s="88">
        <v>0.0</v>
      </c>
      <c r="M195" s="88">
        <v>0.0</v>
      </c>
      <c r="N195" s="88">
        <v>0.0</v>
      </c>
      <c r="O195" s="88">
        <v>0.0</v>
      </c>
      <c r="P195" s="88">
        <v>0.0</v>
      </c>
      <c r="Q195" s="88">
        <v>0.0</v>
      </c>
      <c r="R195" s="90">
        <f t="shared" si="42"/>
        <v>5636.050931</v>
      </c>
      <c r="S195" s="131">
        <v>0.0</v>
      </c>
      <c r="T195" s="126">
        <v>1.5</v>
      </c>
      <c r="U195" s="132">
        <f t="shared" si="43"/>
        <v>5636.050931</v>
      </c>
      <c r="V195" s="126">
        <v>2.0</v>
      </c>
      <c r="W195" s="133">
        <f t="shared" si="44"/>
        <v>11272.10186</v>
      </c>
      <c r="X195" s="5" t="s">
        <v>279</v>
      </c>
      <c r="Z195" s="5" t="s">
        <v>92</v>
      </c>
      <c r="AB195" s="5" t="s">
        <v>219</v>
      </c>
    </row>
    <row r="196">
      <c r="A196" s="50" t="s">
        <v>215</v>
      </c>
      <c r="B196" s="126" t="s">
        <v>183</v>
      </c>
      <c r="C196" s="127">
        <v>1.0</v>
      </c>
      <c r="D196" s="128">
        <f t="shared" si="41"/>
        <v>3.7581346</v>
      </c>
      <c r="E196" s="129" t="str">
        <f t="array" ref="E196">INDEX(CharMVsBase,MATCH(B$166,CharMVsCharNames,0)+3,MATCH(B196,B$185:AU$185,0)+1)</f>
        <v>ATK</v>
      </c>
      <c r="F196" s="126" t="s">
        <v>88</v>
      </c>
      <c r="G196" s="129" t="str">
        <f t="array" ref="G196">INDEX(CharMVsBase,MATCH(B$166,CharMVsCharNames,0)+4,MATCH(B196,B$185:AU$185,0)+1)</f>
        <v>PA DMG%</v>
      </c>
      <c r="H196" s="88">
        <v>0.2</v>
      </c>
      <c r="I196" s="134">
        <f t="shared" si="46"/>
        <v>998.1146284</v>
      </c>
      <c r="J196" s="130">
        <v>0.0</v>
      </c>
      <c r="K196" s="88">
        <v>0.0</v>
      </c>
      <c r="L196" s="88">
        <v>0.0</v>
      </c>
      <c r="M196" s="88">
        <v>0.0</v>
      </c>
      <c r="N196" s="88">
        <v>0.0</v>
      </c>
      <c r="O196" s="88">
        <v>0.0</v>
      </c>
      <c r="P196" s="88">
        <v>-0.15</v>
      </c>
      <c r="Q196" s="88">
        <v>0.0</v>
      </c>
      <c r="R196" s="90">
        <f t="shared" si="42"/>
        <v>6105.721842</v>
      </c>
      <c r="S196" s="131">
        <v>0.0</v>
      </c>
      <c r="T196" s="126">
        <v>1.5</v>
      </c>
      <c r="U196" s="132">
        <f t="shared" si="43"/>
        <v>6105.721842</v>
      </c>
      <c r="V196" s="126">
        <v>2.0</v>
      </c>
      <c r="W196" s="133">
        <f t="shared" si="44"/>
        <v>12211.44368</v>
      </c>
      <c r="X196" s="5" t="s">
        <v>279</v>
      </c>
      <c r="Z196" s="5" t="s">
        <v>92</v>
      </c>
      <c r="AA196" s="5" t="s">
        <v>56</v>
      </c>
      <c r="AB196" s="5" t="s">
        <v>219</v>
      </c>
    </row>
    <row r="197">
      <c r="A197" s="50" t="s">
        <v>215</v>
      </c>
      <c r="B197" s="126" t="s">
        <v>275</v>
      </c>
      <c r="C197" s="127">
        <v>1.0</v>
      </c>
      <c r="D197" s="128">
        <f t="shared" si="41"/>
        <v>4.4608</v>
      </c>
      <c r="E197" s="129" t="str">
        <f t="array" ref="E197">INDEX(CharMVsBase,MATCH(B$166,CharMVsCharNames,0)+3,MATCH(B197,B$185:AU$185,0)+1)</f>
        <v>ATK</v>
      </c>
      <c r="F197" s="126" t="s">
        <v>88</v>
      </c>
      <c r="G197" s="129" t="str">
        <f t="array" ref="G197">INDEX(CharMVsBase,MATCH(B$166,CharMVsCharNames,0)+4,MATCH(B197,B$185:AU$185,0)+1)</f>
        <v>Burst DMG%</v>
      </c>
      <c r="H197" s="88">
        <v>0.2</v>
      </c>
      <c r="I197" s="134">
        <f t="shared" si="46"/>
        <v>998.1146284</v>
      </c>
      <c r="J197" s="130">
        <v>0.0</v>
      </c>
      <c r="K197" s="88">
        <v>0.0</v>
      </c>
      <c r="L197" s="88">
        <v>0.0</v>
      </c>
      <c r="M197" s="88">
        <v>0.0</v>
      </c>
      <c r="N197" s="88">
        <v>0.0</v>
      </c>
      <c r="O197" s="88">
        <v>0.0</v>
      </c>
      <c r="P197" s="88">
        <v>0.0</v>
      </c>
      <c r="Q197" s="88">
        <v>0.0</v>
      </c>
      <c r="R197" s="90">
        <f t="shared" si="42"/>
        <v>6689.833832</v>
      </c>
      <c r="S197" s="131">
        <v>0.0</v>
      </c>
      <c r="T197" s="126">
        <v>1.5</v>
      </c>
      <c r="U197" s="132">
        <f t="shared" si="43"/>
        <v>6689.833832</v>
      </c>
      <c r="V197" s="126">
        <v>2.0</v>
      </c>
      <c r="W197" s="133">
        <f t="shared" si="44"/>
        <v>13379.66766</v>
      </c>
      <c r="X197" s="5" t="s">
        <v>280</v>
      </c>
      <c r="Z197" s="5" t="s">
        <v>92</v>
      </c>
      <c r="AB197" s="5" t="s">
        <v>219</v>
      </c>
    </row>
    <row r="198">
      <c r="A198" s="50" t="s">
        <v>215</v>
      </c>
      <c r="B198" s="126" t="s">
        <v>276</v>
      </c>
      <c r="C198" s="127">
        <v>1.0</v>
      </c>
      <c r="D198" s="128">
        <f t="shared" si="41"/>
        <v>2.04</v>
      </c>
      <c r="E198" s="129" t="str">
        <f t="array" ref="E198">INDEX(CharMVsBase,MATCH(B$166,CharMVsCharNames,0)+3,MATCH(B198,B$185:AU$185,0)+1)</f>
        <v>ATK</v>
      </c>
      <c r="F198" s="126" t="s">
        <v>88</v>
      </c>
      <c r="G198" s="129" t="str">
        <f t="array" ref="G198">INDEX(CharMVsBase,MATCH(B$166,CharMVsCharNames,0)+4,MATCH(B198,B$185:AU$185,0)+1)</f>
        <v>Burst DMG%</v>
      </c>
      <c r="H198" s="88">
        <v>0.2</v>
      </c>
      <c r="I198" s="134">
        <f t="shared" si="46"/>
        <v>998.1146284</v>
      </c>
      <c r="J198" s="130">
        <v>0.0</v>
      </c>
      <c r="K198" s="88">
        <v>0.0</v>
      </c>
      <c r="L198" s="88">
        <v>0.0</v>
      </c>
      <c r="M198" s="88">
        <v>0.0</v>
      </c>
      <c r="N198" s="88">
        <v>0.0</v>
      </c>
      <c r="O198" s="88">
        <v>0.0</v>
      </c>
      <c r="P198" s="88">
        <v>0.0</v>
      </c>
      <c r="Q198" s="88">
        <v>0.0</v>
      </c>
      <c r="R198" s="90">
        <f t="shared" si="42"/>
        <v>3059.375228</v>
      </c>
      <c r="S198" s="131">
        <v>0.0</v>
      </c>
      <c r="T198" s="126">
        <v>1.5</v>
      </c>
      <c r="U198" s="132">
        <f t="shared" si="43"/>
        <v>3059.375228</v>
      </c>
      <c r="V198" s="126">
        <v>2.0</v>
      </c>
      <c r="W198" s="133">
        <f t="shared" si="44"/>
        <v>6118.750456</v>
      </c>
      <c r="X198" s="5" t="s">
        <v>281</v>
      </c>
      <c r="Z198" s="5" t="s">
        <v>92</v>
      </c>
      <c r="AB198" s="5" t="s">
        <v>219</v>
      </c>
    </row>
    <row r="199">
      <c r="A199" s="50" t="s">
        <v>215</v>
      </c>
      <c r="B199" s="126" t="s">
        <v>276</v>
      </c>
      <c r="C199" s="127">
        <v>1.0</v>
      </c>
      <c r="D199" s="128">
        <f t="shared" si="41"/>
        <v>2.04</v>
      </c>
      <c r="E199" s="129" t="str">
        <f t="array" ref="E199">INDEX(CharMVsBase,MATCH(B$166,CharMVsCharNames,0)+3,MATCH(B199,B$185:AU$185,0)+1)</f>
        <v>ATK</v>
      </c>
      <c r="F199" s="126" t="s">
        <v>88</v>
      </c>
      <c r="G199" s="129" t="str">
        <f t="array" ref="G199">INDEX(CharMVsBase,MATCH(B$166,CharMVsCharNames,0)+4,MATCH(B199,B$185:AU$185,0)+1)</f>
        <v>Burst DMG%</v>
      </c>
      <c r="H199" s="88">
        <v>0.2</v>
      </c>
      <c r="I199" s="134">
        <f t="shared" si="46"/>
        <v>998.1146284</v>
      </c>
      <c r="J199" s="130">
        <v>0.0</v>
      </c>
      <c r="K199" s="88">
        <v>0.0</v>
      </c>
      <c r="L199" s="88">
        <v>0.0</v>
      </c>
      <c r="M199" s="88">
        <v>0.0</v>
      </c>
      <c r="N199" s="88">
        <v>0.0</v>
      </c>
      <c r="O199" s="88">
        <v>0.0</v>
      </c>
      <c r="P199" s="88">
        <v>-0.15</v>
      </c>
      <c r="Q199" s="88">
        <v>0.0</v>
      </c>
      <c r="R199" s="90">
        <f t="shared" si="42"/>
        <v>3314.323164</v>
      </c>
      <c r="S199" s="131">
        <v>0.0</v>
      </c>
      <c r="T199" s="126">
        <v>1.5</v>
      </c>
      <c r="U199" s="132">
        <f t="shared" si="43"/>
        <v>3314.323164</v>
      </c>
      <c r="V199" s="126">
        <v>8.0</v>
      </c>
      <c r="W199" s="133">
        <f t="shared" si="44"/>
        <v>26514.58531</v>
      </c>
      <c r="X199" s="5" t="s">
        <v>281</v>
      </c>
      <c r="Z199" s="5" t="s">
        <v>92</v>
      </c>
      <c r="AA199" s="5" t="s">
        <v>56</v>
      </c>
      <c r="AB199" s="5" t="s">
        <v>219</v>
      </c>
    </row>
    <row r="200">
      <c r="A200" s="50" t="s">
        <v>215</v>
      </c>
      <c r="B200" s="126" t="s">
        <v>277</v>
      </c>
      <c r="C200" s="127">
        <v>1.0</v>
      </c>
      <c r="D200" s="128">
        <f t="shared" si="41"/>
        <v>0.612</v>
      </c>
      <c r="E200" s="129" t="str">
        <f t="array" ref="E200">INDEX(CharMVsBase,MATCH(B$166,CharMVsCharNames,0)+3,MATCH(B200,B$185:AU$185,0)+1)</f>
        <v>ATK</v>
      </c>
      <c r="F200" s="126" t="s">
        <v>84</v>
      </c>
      <c r="G200" s="129" t="str">
        <f t="array" ref="G200">INDEX(CharMVsBase,MATCH(B$166,CharMVsCharNames,0)+4,MATCH(B200,B$185:AU$185,0)+1)</f>
        <v>Burst DMG%</v>
      </c>
      <c r="H200" s="88">
        <v>0.2</v>
      </c>
      <c r="I200" s="134">
        <f t="shared" si="46"/>
        <v>998.1146284</v>
      </c>
      <c r="J200" s="130">
        <v>0.0</v>
      </c>
      <c r="K200" s="88">
        <v>0.0</v>
      </c>
      <c r="L200" s="88">
        <v>0.0</v>
      </c>
      <c r="M200" s="88">
        <v>0.0</v>
      </c>
      <c r="N200" s="88">
        <f t="shared" ref="N200:N202" si="47">$B$79</f>
        <v>0.318048</v>
      </c>
      <c r="O200" s="88">
        <v>-0.4</v>
      </c>
      <c r="P200" s="88">
        <v>0.0</v>
      </c>
      <c r="Q200" s="88">
        <v>0.0</v>
      </c>
      <c r="R200" s="90">
        <f t="shared" si="42"/>
        <v>1344.134467</v>
      </c>
      <c r="S200" s="131">
        <v>0.0</v>
      </c>
      <c r="T200" s="126">
        <v>1.5</v>
      </c>
      <c r="U200" s="132">
        <f t="shared" si="43"/>
        <v>1344.134467</v>
      </c>
      <c r="V200" s="126">
        <v>2.0</v>
      </c>
      <c r="W200" s="133">
        <f t="shared" si="44"/>
        <v>2688.268934</v>
      </c>
      <c r="X200" s="5" t="s">
        <v>282</v>
      </c>
      <c r="Y200" s="5" t="s">
        <v>229</v>
      </c>
      <c r="Z200" s="5" t="s">
        <v>92</v>
      </c>
      <c r="AB200" s="5" t="s">
        <v>219</v>
      </c>
      <c r="AE200" s="5" t="s">
        <v>103</v>
      </c>
    </row>
    <row r="201">
      <c r="A201" s="50" t="s">
        <v>215</v>
      </c>
      <c r="B201" s="126" t="s">
        <v>277</v>
      </c>
      <c r="C201" s="127">
        <v>1.0</v>
      </c>
      <c r="D201" s="128">
        <f t="shared" si="41"/>
        <v>0.612</v>
      </c>
      <c r="E201" s="129" t="str">
        <f t="array" ref="E201">INDEX(CharMVsBase,MATCH(B$166,CharMVsCharNames,0)+3,MATCH(B201,B$185:AU$185,0)+1)</f>
        <v>ATK</v>
      </c>
      <c r="F201" s="126" t="s">
        <v>84</v>
      </c>
      <c r="G201" s="129" t="str">
        <f t="array" ref="G201">INDEX(CharMVsBase,MATCH(B$166,CharMVsCharNames,0)+4,MATCH(B201,B$185:AU$185,0)+1)</f>
        <v>Burst DMG%</v>
      </c>
      <c r="H201" s="88">
        <v>0.2</v>
      </c>
      <c r="I201" s="134">
        <f t="shared" si="46"/>
        <v>998.1146284</v>
      </c>
      <c r="J201" s="130">
        <v>0.0</v>
      </c>
      <c r="K201" s="88">
        <v>0.0</v>
      </c>
      <c r="L201" s="88">
        <v>0.0</v>
      </c>
      <c r="M201" s="88">
        <v>0.0</v>
      </c>
      <c r="N201" s="88">
        <f t="shared" si="47"/>
        <v>0.318048</v>
      </c>
      <c r="O201" s="88">
        <v>-0.55</v>
      </c>
      <c r="P201" s="88">
        <v>-0.15</v>
      </c>
      <c r="Q201" s="88">
        <v>0.0</v>
      </c>
      <c r="R201" s="90">
        <f t="shared" si="42"/>
        <v>1551.111695</v>
      </c>
      <c r="S201" s="131">
        <v>0.0</v>
      </c>
      <c r="T201" s="126">
        <v>1.5</v>
      </c>
      <c r="U201" s="132">
        <f t="shared" si="43"/>
        <v>1551.111695</v>
      </c>
      <c r="V201" s="126">
        <v>4.0</v>
      </c>
      <c r="W201" s="133">
        <f t="shared" si="44"/>
        <v>6204.446778</v>
      </c>
      <c r="X201" s="5" t="s">
        <v>282</v>
      </c>
      <c r="Y201" s="5" t="s">
        <v>229</v>
      </c>
      <c r="Z201" s="5" t="s">
        <v>92</v>
      </c>
      <c r="AA201" s="5" t="s">
        <v>56</v>
      </c>
      <c r="AB201" s="5" t="s">
        <v>219</v>
      </c>
      <c r="AC201" s="5" t="s">
        <v>230</v>
      </c>
      <c r="AE201" s="5" t="s">
        <v>103</v>
      </c>
    </row>
    <row r="202">
      <c r="A202" s="50" t="s">
        <v>215</v>
      </c>
      <c r="B202" s="126" t="s">
        <v>277</v>
      </c>
      <c r="C202" s="127">
        <v>1.0</v>
      </c>
      <c r="D202" s="128">
        <f t="shared" si="41"/>
        <v>0.612</v>
      </c>
      <c r="E202" s="129" t="str">
        <f t="array" ref="E202">INDEX(CharMVsBase,MATCH(B$166,CharMVsCharNames,0)+3,MATCH(B202,B$185:AU$185,0)+1)</f>
        <v>ATK</v>
      </c>
      <c r="F202" s="126" t="s">
        <v>84</v>
      </c>
      <c r="G202" s="129" t="str">
        <f t="array" ref="G202">INDEX(CharMVsBase,MATCH(B$166,CharMVsCharNames,0)+4,MATCH(B202,B$185:AU$185,0)+1)</f>
        <v>Burst DMG%</v>
      </c>
      <c r="H202" s="88">
        <v>0.2</v>
      </c>
      <c r="I202" s="134">
        <f t="shared" si="46"/>
        <v>998.1146284</v>
      </c>
      <c r="J202" s="130">
        <v>0.0</v>
      </c>
      <c r="K202" s="88">
        <v>0.0</v>
      </c>
      <c r="L202" s="88">
        <v>0.0</v>
      </c>
      <c r="M202" s="88">
        <v>0.0</v>
      </c>
      <c r="N202" s="88">
        <f t="shared" si="47"/>
        <v>0.318048</v>
      </c>
      <c r="O202" s="88">
        <v>-0.4</v>
      </c>
      <c r="P202" s="88">
        <v>-0.15</v>
      </c>
      <c r="Q202" s="88">
        <v>0.0</v>
      </c>
      <c r="R202" s="90">
        <f t="shared" si="42"/>
        <v>1456.145672</v>
      </c>
      <c r="S202" s="131">
        <v>0.0</v>
      </c>
      <c r="T202" s="126">
        <v>1.5</v>
      </c>
      <c r="U202" s="132">
        <f t="shared" si="43"/>
        <v>1456.145672</v>
      </c>
      <c r="V202" s="126">
        <v>4.0</v>
      </c>
      <c r="W202" s="133">
        <f t="shared" si="44"/>
        <v>5824.58269</v>
      </c>
      <c r="X202" s="5" t="s">
        <v>282</v>
      </c>
      <c r="Y202" s="5" t="s">
        <v>229</v>
      </c>
      <c r="Z202" s="5" t="s">
        <v>92</v>
      </c>
      <c r="AA202" s="5" t="s">
        <v>56</v>
      </c>
      <c r="AB202" s="5" t="s">
        <v>219</v>
      </c>
      <c r="AE202" s="5" t="s">
        <v>103</v>
      </c>
    </row>
    <row r="203">
      <c r="A203" s="50" t="s">
        <v>264</v>
      </c>
      <c r="B203" s="23"/>
      <c r="C203" s="135"/>
      <c r="D203" s="136">
        <v>1.0</v>
      </c>
      <c r="E203" s="137">
        <v>1000.0</v>
      </c>
      <c r="F203" s="137" t="s">
        <v>83</v>
      </c>
      <c r="G203" s="137" t="s">
        <v>147</v>
      </c>
      <c r="H203" s="138"/>
      <c r="I203" s="23"/>
      <c r="J203" s="139">
        <v>0.0</v>
      </c>
      <c r="K203" s="140">
        <v>0.0</v>
      </c>
      <c r="L203" s="140">
        <v>0.0</v>
      </c>
      <c r="M203" s="140">
        <v>0.0</v>
      </c>
      <c r="N203" s="140">
        <v>0.0</v>
      </c>
      <c r="O203" s="140">
        <v>0.0</v>
      </c>
      <c r="P203" s="140">
        <v>0.0</v>
      </c>
      <c r="Q203" s="140">
        <v>0.0</v>
      </c>
      <c r="R203" s="141">
        <f>D203
*E203
*(1+MEDIAN(0,1,(P$180+L203))*(P$181+M203))
*(1+VLOOKUP(CONCATENATE(F203," DMG%"),Q$166:R$172,2,false)+IF(G203="",0,VLOOKUP(G203,Q$173:R$177,2,false))+R$178+N203)
*IF((VLOOKUP(F203,A$57:B$63,2,false)+O203)&lt;0,1-(VLOOKUP(F203,A$57:B$63,2,false)+O203)/2,1-(VLOOKUP(F203,A$57:B$63,2,false)+O203))
*((B$169+100)/((1+P203)*(1+Q203)*(B$56+100)+B$169+100))</f>
        <v>562.4625305</v>
      </c>
      <c r="S203" s="142">
        <v>0.0</v>
      </c>
      <c r="T203" s="137">
        <v>1.5</v>
      </c>
      <c r="U203" s="143">
        <f t="shared" si="43"/>
        <v>562.4625305</v>
      </c>
      <c r="V203" s="137">
        <v>0.0</v>
      </c>
      <c r="W203" s="144">
        <f t="shared" si="44"/>
        <v>0</v>
      </c>
    </row>
    <row r="204">
      <c r="A204" s="50" t="s">
        <v>223</v>
      </c>
      <c r="B204" s="126" t="s">
        <v>224</v>
      </c>
      <c r="C204" s="127">
        <v>1.0</v>
      </c>
      <c r="D204" s="128">
        <f>VLOOKUP(B204,WeaponDamageProcs,2,false)
+(E$167-1)*VLOOKUP(B204,WeaponDamageProcs,3,false)
*C204</f>
        <v>2.6</v>
      </c>
      <c r="E204" s="129" t="str">
        <f>VLOOKUP(B204,WeaponDamageProcs,4,false)</f>
        <v>ATK</v>
      </c>
      <c r="F204" s="126" t="s">
        <v>83</v>
      </c>
      <c r="G204" s="129" t="str">
        <f>VLOOKUP(B204,WeaponDamageProcs,5,false)</f>
        <v/>
      </c>
      <c r="H204" s="88">
        <v>0.0</v>
      </c>
      <c r="I204" s="130">
        <v>0.0</v>
      </c>
      <c r="J204" s="130">
        <v>0.0</v>
      </c>
      <c r="K204" s="88">
        <v>0.0</v>
      </c>
      <c r="L204" s="88">
        <v>0.0</v>
      </c>
      <c r="M204" s="88">
        <v>0.0</v>
      </c>
      <c r="N204" s="88">
        <v>0.0</v>
      </c>
      <c r="O204" s="88">
        <v>0.0</v>
      </c>
      <c r="P204" s="88">
        <v>0.0</v>
      </c>
      <c r="Q204" s="88">
        <v>0.0</v>
      </c>
      <c r="R204" s="90">
        <f>D204
*(IFS(E204="ATK",(P$171*(1+P$172+H204)+P$173+I204),E204="DEF",(P$175*(1+P$176+H204)+P$177+I204),E204="HP",(P$167*(1+P$168+H204)+P$169+I204),TRUE,1)
*(1+MEDIAN(0,1,(P$180+L204))*(P$181+M204))
*(1+VLOOKUP(CONCATENATE(F204," DMG%"),Q$166:R$172,2,false)+IF(G204="",0,VLOOKUP(G204,Q$173:R$177,2,false))+R$178+N204)
*IF((VLOOKUP(F204,A$57:B$63,2,false)+O204)&lt;0,1-(VLOOKUP(F204,A$57:B$63,2,false)+O204)/2,1-(VLOOKUP(F204,A$57:B$63,2,false)+O204))
*((B$169+100)/((1+P204)*(1+Q204)*(B$56+100)+B$169+100)))</f>
        <v>1711.172337</v>
      </c>
      <c r="S204" s="131">
        <v>0.0</v>
      </c>
      <c r="T204" s="126">
        <v>1.5</v>
      </c>
      <c r="U204" s="132">
        <f t="shared" si="43"/>
        <v>1711.172337</v>
      </c>
      <c r="V204" s="126">
        <v>0.0</v>
      </c>
      <c r="W204" s="133">
        <f t="shared" si="44"/>
        <v>0</v>
      </c>
    </row>
    <row r="205">
      <c r="A205" s="163" t="s">
        <v>225</v>
      </c>
      <c r="B205" s="164" t="str">
        <f>IFS($H$170="4clam","Healing",true,"")</f>
        <v/>
      </c>
      <c r="C205" s="165"/>
      <c r="D205" s="166" t="str">
        <f>IFS($H$170="4echoes",70%,true,"")</f>
        <v/>
      </c>
      <c r="E205" s="164"/>
      <c r="F205" s="167" t="s">
        <v>83</v>
      </c>
      <c r="G205" s="164" t="str">
        <f>IFS($H$170="4echoes","NA DMG%",true,"")</f>
        <v/>
      </c>
      <c r="H205" s="168">
        <v>0.0</v>
      </c>
      <c r="I205" s="169">
        <v>0.0</v>
      </c>
      <c r="J205" s="169">
        <v>0.0</v>
      </c>
      <c r="K205" s="168">
        <v>0.0</v>
      </c>
      <c r="L205" s="168">
        <v>0.0</v>
      </c>
      <c r="M205" s="168">
        <v>0.0</v>
      </c>
      <c r="N205" s="168">
        <v>0.0</v>
      </c>
      <c r="O205" s="168">
        <v>0.0</v>
      </c>
      <c r="P205" s="168">
        <v>0.0</v>
      </c>
      <c r="Q205" s="168">
        <v>0.0</v>
      </c>
      <c r="R205" s="170">
        <f>IFS(H$170="4echoes",
(D205
*(P$171*(1+P$172+H205)+P$173+I205)
*(1+MEDIAN(0,1,(P$180+L205))*(P$181+M205))
*(1+VLOOKUP(CONCATENATE(F205," DMG%"),Q$166:R$172,2,false)+IF(G205="",0,VLOOKUP(G205,Q$173:R$177,2,false))+R$178+N205)
*IF((VLOOKUP(F205,A$57:B$63,2,false)+O205)&lt;0,1-(VLOOKUP(F205,A$57:B$63,2,false)+O205)/2,1-(VLOOKUP(F205,A$57:B$63,2,false)+O205))
*((B$169+100)/((1+P205)*(1+Q205)*(B$56+100)+B$169+100))),
H$170="4clam",
0.9
*IFS(ISBLANK(C205),0,true,MIN(30000,C205))
*IF((VLOOKUP(F205,A$57:B$63,2,false)+O205)&lt;0,1-(VLOOKUP(F205,A$57:B$63,2,false)+O205)/2,1-(VLOOKUP(F205,A$57:B$63,2,false)+O205)),
true,0)</f>
        <v>0</v>
      </c>
      <c r="S205" s="171">
        <v>0.0</v>
      </c>
      <c r="T205" s="172">
        <v>1.5</v>
      </c>
      <c r="U205" s="170">
        <f>IFS($H$170="4echoes",
((1-S205)*R205
+S205*R205
*T205
*(1+(2.78*(P$178+J205)/(P$178+J205+1400))+K205)),
$H$170="4clam",R205,true,0)</f>
        <v>0</v>
      </c>
      <c r="V205" s="172">
        <v>0.0</v>
      </c>
      <c r="W205" s="173">
        <f t="shared" si="44"/>
        <v>0</v>
      </c>
    </row>
    <row r="206">
      <c r="A206" s="50" t="s">
        <v>226</v>
      </c>
      <c r="B206" s="126" t="s">
        <v>283</v>
      </c>
      <c r="E206" s="5"/>
      <c r="F206" s="126" t="s">
        <v>84</v>
      </c>
      <c r="J206" s="130">
        <v>0.0</v>
      </c>
      <c r="K206" s="88">
        <v>0.0</v>
      </c>
      <c r="O206" s="88">
        <v>-0.4</v>
      </c>
      <c r="Q206" s="16"/>
      <c r="R206" s="90">
        <f>IFS(B206="Superconduct",0.5,B206="Swirl",0.6,B206="Electrocharge",1.2,B206="Shatter",1.5,B206="Overload",2)
*VLOOKUP(B$169,TransformativeBases,2,false)
*(1+(16*(P$179+J206)/(P$179+J206+2000))+K206+IFS(AND(B206="Swirl",H$170="4VV"),0.6,AND(OR(B206="Superconduct",B206="Electrocharge",B206="Overload"),H$170="4TF"),0.4,AND(B206="Overload",H$170="4CW"),0.4,true,0))
*IF((VLOOKUP(F206,A$57:B$63,2,false)+O206)&lt;0,1-(VLOOKUP(F206,A$57:B$63,2,false)+O206)/2,1-(VLOOKUP(F206,A$57:B$63,2,false)+O206))</f>
        <v>6141.39316</v>
      </c>
      <c r="S206" s="131">
        <v>0.0</v>
      </c>
      <c r="T206" s="126">
        <v>1.5</v>
      </c>
      <c r="U206" s="132">
        <f t="shared" ref="U206:U207" si="48">((1-S206)*R206
+S206*R206
*T206
*(1+(2.78*(P$179+J206)/(P$179+J206+1400))+K206+IF(H$170="4CW",0.15,0)))</f>
        <v>6141.39316</v>
      </c>
      <c r="V206" s="126">
        <v>28.0</v>
      </c>
      <c r="W206" s="133">
        <f t="shared" si="44"/>
        <v>171959.0085</v>
      </c>
      <c r="X206" s="5" t="s">
        <v>284</v>
      </c>
      <c r="Y206" s="5" t="s">
        <v>229</v>
      </c>
    </row>
    <row r="207">
      <c r="A207" s="50" t="s">
        <v>226</v>
      </c>
      <c r="B207" s="126" t="s">
        <v>283</v>
      </c>
      <c r="E207" s="5"/>
      <c r="F207" s="126" t="s">
        <v>84</v>
      </c>
      <c r="J207" s="130">
        <v>0.0</v>
      </c>
      <c r="K207" s="88">
        <v>0.0</v>
      </c>
      <c r="O207" s="88">
        <v>-0.55</v>
      </c>
      <c r="Q207" s="16"/>
      <c r="R207" s="90">
        <f>IFS(B207="Superconduct",0.5,B207="Swirl",0.6,B207="Electrocharge",1.2,B207="Shatter",1.5,B207="Overload",2)
*VLOOKUP(B$169,TransformativeBases,2,false)
*(1+(16*(P$179+J207)/(P$179+J207+2000))+K207+IFS(AND(B207="Swirl",H$170="4VV"),0.6,AND(OR(B207="Superconduct",B207="Electrocharge",B207="Overload"),H$170="4TF"),0.4,AND(B207="Overload",H$170="4CW"),0.4,true,0))
*IF((VLOOKUP(F207,A$57:B$63,2,false)+O207)&lt;0,1-(VLOOKUP(F207,A$57:B$63,2,false)+O207)/2,1-(VLOOKUP(F207,A$57:B$63,2,false)+O207))</f>
        <v>6541.918801</v>
      </c>
      <c r="S207" s="131">
        <v>0.0</v>
      </c>
      <c r="T207" s="126">
        <v>1.5</v>
      </c>
      <c r="U207" s="132">
        <f t="shared" si="48"/>
        <v>6541.918801</v>
      </c>
      <c r="V207" s="126">
        <v>14.0</v>
      </c>
      <c r="W207" s="133">
        <f t="shared" si="44"/>
        <v>91586.86322</v>
      </c>
      <c r="X207" s="5" t="s">
        <v>284</v>
      </c>
      <c r="Y207" s="5" t="s">
        <v>229</v>
      </c>
      <c r="AC207" s="5" t="s">
        <v>230</v>
      </c>
    </row>
    <row r="208">
      <c r="A208" s="50" t="s">
        <v>231</v>
      </c>
      <c r="E208" s="5"/>
      <c r="F208" s="126" t="s">
        <v>84</v>
      </c>
      <c r="J208" s="130">
        <v>0.0</v>
      </c>
      <c r="K208" s="103"/>
      <c r="N208" s="148" t="s">
        <v>232</v>
      </c>
      <c r="O208" s="88">
        <v>0.0</v>
      </c>
      <c r="Q208" s="16"/>
      <c r="R208" s="38" t="s">
        <v>233</v>
      </c>
      <c r="S208" s="126" t="s">
        <v>83</v>
      </c>
      <c r="U208" s="132">
        <f>VLOOKUP(B$169,TransformativeBases,3,false)
*(1+4.44*(P$179+J208)/(P$179+J208+1400))
*(1+O208)
*IFS(F208="Geo",1.5,F208=S208,2.5,TRUE,1)</f>
        <v>4827.896941</v>
      </c>
      <c r="V208" s="126">
        <v>0.0</v>
      </c>
      <c r="W208" s="133">
        <f t="shared" si="44"/>
        <v>0</v>
      </c>
    </row>
    <row r="209">
      <c r="A209" s="50" t="s">
        <v>234</v>
      </c>
      <c r="B209" s="126" t="s">
        <v>176</v>
      </c>
      <c r="C209" s="127">
        <v>1.0</v>
      </c>
      <c r="D209" s="128">
        <f t="shared" ref="D209:D210" si="49">HLOOKUP(B209,A$185:AU$186,2,false)
*C209</f>
        <v>0.8262826</v>
      </c>
      <c r="E209" s="129" t="str">
        <f t="array" ref="E209">INDEX(CharMVsBase,MATCH(B$166,CharMVsCharNames,0)+3,MATCH(B209,B$185:AU$185,0)+1)</f>
        <v>ATK</v>
      </c>
      <c r="F209" s="126" t="s">
        <v>84</v>
      </c>
      <c r="H209" s="88">
        <v>0.0</v>
      </c>
      <c r="I209" s="130">
        <v>0.0</v>
      </c>
      <c r="J209" s="5"/>
      <c r="L209" s="103"/>
      <c r="N209" s="148" t="s">
        <v>232</v>
      </c>
      <c r="O209" s="88">
        <v>0.0</v>
      </c>
      <c r="Q209" s="38"/>
      <c r="R209" s="38" t="s">
        <v>233</v>
      </c>
      <c r="S209" s="126" t="s">
        <v>83</v>
      </c>
      <c r="U209" s="132">
        <f>D209
*(IFS(E209="ATK",(P$171*(1+P$172+H209)+P$173+I209),E209="DEF",(P$175*(1+P$176+H209)+P$177+I209),E209="HP",(P$167*(1+P$168+H209)+P$169+I209),TRUE,1))
*(1+O209)
*IFS(F209="Geo",1.5,F209=S209,2.5,TRUE,1)</f>
        <v>966.8417903</v>
      </c>
      <c r="V209" s="126">
        <v>0.0</v>
      </c>
      <c r="W209" s="133">
        <f t="shared" si="44"/>
        <v>0</v>
      </c>
    </row>
    <row r="210">
      <c r="A210" s="50" t="s">
        <v>235</v>
      </c>
      <c r="B210" s="126" t="s">
        <v>176</v>
      </c>
      <c r="C210" s="127">
        <v>1.0</v>
      </c>
      <c r="D210" s="128">
        <f t="shared" si="49"/>
        <v>0.8262826</v>
      </c>
      <c r="E210" s="129" t="str">
        <f t="array" ref="E210">INDEX(CharMVsBase,MATCH(B$166,CharMVsCharNames,0)+3,MATCH(B210,B$185:AU$185,0)+1)</f>
        <v>ATK</v>
      </c>
      <c r="F210" s="5"/>
      <c r="H210" s="88">
        <v>0.0</v>
      </c>
      <c r="I210" s="130">
        <v>0.0</v>
      </c>
      <c r="J210" s="5"/>
      <c r="K210" s="5" t="s">
        <v>236</v>
      </c>
      <c r="L210" s="88">
        <v>0.0</v>
      </c>
      <c r="N210" s="5" t="s">
        <v>237</v>
      </c>
      <c r="O210" s="88">
        <v>0.0</v>
      </c>
      <c r="Q210" s="38"/>
      <c r="R210" s="38" t="s">
        <v>238</v>
      </c>
      <c r="S210" s="126" t="b">
        <v>0</v>
      </c>
      <c r="U210" s="132">
        <f>D210
*(IFS(E210="ATK",(P$171*(1+P$172+H210)+P$173+I210),E210="DEF",(P$175*(1+P$176+H210)+P$177+I210),E210="HP",(P$167*(1+P$168+H210)+P$169+I210),E210="EM",P$179,TRUE,1))
*(1+P$183+L210+O210)</f>
        <v>966.8417903</v>
      </c>
      <c r="V210" s="126">
        <v>0.0</v>
      </c>
      <c r="W210" s="133">
        <f t="shared" ref="W210:W211" si="50">U210*V210*IF(S210,4,1)</f>
        <v>0</v>
      </c>
    </row>
    <row r="211">
      <c r="A211" s="149" t="s">
        <v>239</v>
      </c>
      <c r="B211" s="150" t="s">
        <v>224</v>
      </c>
      <c r="C211" s="151">
        <v>1.0</v>
      </c>
      <c r="D211" s="152">
        <f>VLOOKUP(B211,WeaponHealingProcs,2,false)
+(E$167-1)*VLOOKUP(B211,WeaponHealingProcs,3,false)
*C211</f>
        <v>1.3</v>
      </c>
      <c r="E211" s="153" t="str">
        <f>VLOOKUP(B211,WeaponHealingProcs,4,false)</f>
        <v>ATK</v>
      </c>
      <c r="F211" s="42"/>
      <c r="G211" s="47"/>
      <c r="H211" s="154">
        <v>0.0</v>
      </c>
      <c r="I211" s="155">
        <v>0.0</v>
      </c>
      <c r="J211" s="42"/>
      <c r="K211" s="42" t="s">
        <v>236</v>
      </c>
      <c r="L211" s="154">
        <v>0.0</v>
      </c>
      <c r="M211" s="47"/>
      <c r="N211" s="42" t="s">
        <v>237</v>
      </c>
      <c r="O211" s="154">
        <v>0.0</v>
      </c>
      <c r="P211" s="47"/>
      <c r="Q211" s="39"/>
      <c r="R211" s="39" t="s">
        <v>238</v>
      </c>
      <c r="S211" s="150" t="b">
        <v>0</v>
      </c>
      <c r="T211" s="47"/>
      <c r="U211" s="156">
        <f>D211
*(IFS(E211="ATK",(P$171*(1+P$172+H211)+P$173+I211),E211="DEF",(P$175*(1+P$176+H211)+P$177+I211),E211="HP",(P$167*(1+P$168+H211)+P$169+I211),TRUE,1))
*(1+P$183+L211+O211)</f>
        <v>1521.143405</v>
      </c>
      <c r="V211" s="150">
        <v>0.0</v>
      </c>
      <c r="W211" s="157">
        <f t="shared" si="50"/>
        <v>0</v>
      </c>
    </row>
    <row r="213">
      <c r="A213" s="175" t="s">
        <v>285</v>
      </c>
      <c r="B213" s="79" t="s">
        <v>75</v>
      </c>
      <c r="C213" s="5"/>
      <c r="D213" s="1" t="s">
        <v>106</v>
      </c>
      <c r="E213" s="79" t="s">
        <v>286</v>
      </c>
      <c r="G213" s="1" t="s">
        <v>108</v>
      </c>
      <c r="H213" s="80"/>
      <c r="J213" s="19" t="s">
        <v>109</v>
      </c>
      <c r="K213" s="81"/>
      <c r="L213" s="23" t="s">
        <v>110</v>
      </c>
      <c r="M213" s="82">
        <v>0.0</v>
      </c>
      <c r="O213" s="19" t="s">
        <v>111</v>
      </c>
      <c r="P213" s="83"/>
      <c r="Q213" s="23" t="s">
        <v>110</v>
      </c>
      <c r="R213" s="84">
        <f>IF(B218="Phys DMG%",IF(B214="4*",0.06,0.072)*IFS(B217="A6",4,B217="A5",3,OR(B217="A4",B217="A3"),2,B217="A2",1,OR(B217="A1",B217="A0"),0),0)
+IF(E216="Phys DMG%",E217,0)
+IF(H215="Phys DMG%",H216,0)+IF(H218="Phys DMG%",H219*H220,0)+IF(H221="Phys DMG%",H222*H223,0)+IF(H226="Phys DMG%",0.583,0)
+M213</f>
        <v>0.345</v>
      </c>
    </row>
    <row r="214">
      <c r="A214" s="85" t="s">
        <v>112</v>
      </c>
      <c r="B214" s="86" t="str">
        <f>VLOOKUP(B213,CharBaseStats,3,false)</f>
        <v>4*</v>
      </c>
      <c r="C214" s="5"/>
      <c r="D214" s="85" t="s">
        <v>113</v>
      </c>
      <c r="E214" s="87">
        <v>5.0</v>
      </c>
      <c r="G214" s="85" t="s">
        <v>114</v>
      </c>
      <c r="H214" s="87" t="s">
        <v>287</v>
      </c>
      <c r="J214" s="71" t="s">
        <v>6</v>
      </c>
      <c r="K214" s="88">
        <v>0.0</v>
      </c>
      <c r="L214" s="5" t="s">
        <v>116</v>
      </c>
      <c r="M214" s="89">
        <v>0.0</v>
      </c>
      <c r="O214" s="71" t="s">
        <v>117</v>
      </c>
      <c r="P214" s="90">
        <f>VLOOKUP(B213,CharBaseStats,4,false)
*((IF(B214="4*",0.082566,0.087394)*(B216-1)+1)+IF(B214="4*",0.7470687,0.8573469)*IFS(B217="A6",4.7894737,B217="A5",4.078947,B217="A4",3.368421,B217="A3",2.6578,B217="A2",1.7105263,B217="A1",1,B217="A0",0))</f>
        <v>12396.83981</v>
      </c>
      <c r="Q214" s="5" t="s">
        <v>116</v>
      </c>
      <c r="R214" s="91">
        <f>IF(B218="Pyro DMG%",IF(B214="4*",0.06,0.072)*IFS(B217="A6",4,B217="A5",3,OR(B217="A4",B217="A3"),2,B217="A2",1,OR(B217="A1",B217="A0"),0),0)
+IF(OR(AND(E218="Primary Ele DMG%",B215="Pyro"),E218="All Ele DMG%"),E219*E220,0)+IF(OR(AND(E221="Primary Ele DMG%",B215="Pyro"),E221="All Ele DMG%"),E222*E223,0)+IF(OR(AND(E224="Primary Ele DMG%",B215="Pyro"),E224="All Ele DMG%"),E225*E226,0)
+IF(H215="Pyro DMG%",H216,0)+IF(H218="Pyro DMG%",H219*H220,0)+IF(H221="Pyro DMG%",H222*H223,0)+IF(H226="Pyro DMG%",0.466,0)
+M214+M220</f>
        <v>0.466</v>
      </c>
    </row>
    <row r="215">
      <c r="A215" s="85" t="s">
        <v>118</v>
      </c>
      <c r="B215" s="92" t="str">
        <f>VLOOKUP(B213,CharBaseStats,2,false)</f>
        <v>Pyro</v>
      </c>
      <c r="C215" s="5"/>
      <c r="D215" s="85" t="s">
        <v>119</v>
      </c>
      <c r="E215" s="86">
        <f>VLOOKUP(E213,WeaponStats,2,false)</f>
        <v>565</v>
      </c>
      <c r="G215" s="85" t="s">
        <v>120</v>
      </c>
      <c r="H215" s="92" t="str">
        <f>VLOOKUP(H214,ArtifactSetStats,2,false)</f>
        <v>Burst DMG%</v>
      </c>
      <c r="J215" s="71" t="s">
        <v>10</v>
      </c>
      <c r="K215" s="93">
        <v>0.0</v>
      </c>
      <c r="L215" s="5" t="s">
        <v>121</v>
      </c>
      <c r="M215" s="89">
        <v>0.0</v>
      </c>
      <c r="O215" s="71" t="s">
        <v>6</v>
      </c>
      <c r="P215" s="94">
        <f>IF(B218="HP%",IF(B214="4*",0.06,0.072)*IFS(B217="A6",4,B217="A5",3,OR(B217="A4",B217="A3"),2,B217="A2",1,OR(B217="A1",B217="A0"),0),0)
+IF(E216="HP%",E217,0)+IF(E218="HP%",E220*E219,0)+IF(E221="HP%",E223*E222,0)+IF(E224="HP%",E226*E225,0)
+IF(H215="HP%",H216,0)+IF(H218="HP%",H219*H220,0)+IF(H221="HP%",H222*H223,0)+IF(H225="HP%",0.466,0)+IF(H226="HP%",0.466,0)+IF(H227="HP%",0.466,0)+B36*0.0496
+K214</f>
        <v>0.0992</v>
      </c>
      <c r="Q215" s="5" t="s">
        <v>121</v>
      </c>
      <c r="R215" s="91">
        <f>IF(B218="Hydro DMG%",IF(B214="4*",0.06,0.072)*IFS(B217="A6",4,B217="A5",3,OR(B217="A4",B217="A3"),2,B217="A2",1,OR(B217="A1",B217="A0"),0),0)
+IF(OR(AND(E218="Primary Ele DMG%",B215="Hydro"),E218="All Ele DMG%"),E219*E220,0)+IF(OR(AND(E221="Primary Ele DMG%",B215="Hydro"),E221="All Ele DMG%"),E222*E223,0)+IF(OR(AND(E224="Primary Ele DMG%",B215="Hydro"),E224="All Ele DMG%"),E225*E226,0)
+IF(H215="Hydro DMG%",H216,0)+IF(H218="Hydro DMG%",H219*H220,0)+IF(H221="Hydro DMG%",H222*H223,0)+IF(H226="Hydro DMG%",0.466,0)
+M215+M220</f>
        <v>0</v>
      </c>
    </row>
    <row r="216">
      <c r="A216" s="85" t="s">
        <v>122</v>
      </c>
      <c r="B216" s="87">
        <v>90.0</v>
      </c>
      <c r="D216" s="85" t="s">
        <v>123</v>
      </c>
      <c r="E216" s="86" t="str">
        <f>VLOOKUP(E213,WeaponStats,3,false)</f>
        <v>Phys DMG%</v>
      </c>
      <c r="G216" s="85" t="s">
        <v>124</v>
      </c>
      <c r="H216" s="95">
        <f>VLOOKUP(H214,ArtifactSetStats,3,false)</f>
        <v>0.2</v>
      </c>
      <c r="J216" s="71" t="s">
        <v>58</v>
      </c>
      <c r="K216" s="88">
        <v>0.0</v>
      </c>
      <c r="L216" s="5" t="s">
        <v>125</v>
      </c>
      <c r="M216" s="89">
        <v>0.0</v>
      </c>
      <c r="O216" s="71" t="s">
        <v>10</v>
      </c>
      <c r="P216" s="90">
        <f>4780+C36*253.94
+K215</f>
        <v>5287.88</v>
      </c>
      <c r="Q216" s="5" t="s">
        <v>125</v>
      </c>
      <c r="R216" s="91">
        <f>IF(B218="Electro DMG%",IF(B214="4*",0.06,0.072)*IFS(B217="A6",4,B217="A5",3,OR(B217="A4",B217="A3"),2,B217="A2",1,OR(B217="A1",B217="A0"),0),0)
+IF(OR(AND(E218="Primary Ele DMG%",B215="Electro"),E218="All Ele DMG%"),E219*E220,0)+IF(OR(AND(E221="Primary Ele DMG%",B215="Electro"),E221="All Ele DMG%"),E222*E223,0)+IF(OR(AND(E224="Primary Ele DMG%",B215="Electro"),E224="All Ele DMG%"),E225*E226,0)
+IF(H215="Electro DMG%",H216,0)+IF(H218="Electro DMG%",H219*H220,0)+IF(H221="Electro DMG%",H222*H223,0)+IF(H226="Electro DMG%",0.466,0)
+M216+M220</f>
        <v>0</v>
      </c>
    </row>
    <row r="217">
      <c r="A217" s="85" t="s">
        <v>126</v>
      </c>
      <c r="B217" s="87" t="s">
        <v>127</v>
      </c>
      <c r="D217" s="85" t="s">
        <v>128</v>
      </c>
      <c r="E217" s="96">
        <f>VLOOKUP(E213,WeaponStats,4,false)</f>
        <v>0.345</v>
      </c>
      <c r="G217" s="85" t="s">
        <v>129</v>
      </c>
      <c r="H217" s="87" t="s">
        <v>92</v>
      </c>
      <c r="J217" s="71" t="s">
        <v>59</v>
      </c>
      <c r="K217" s="93">
        <v>0.0</v>
      </c>
      <c r="L217" s="5" t="s">
        <v>131</v>
      </c>
      <c r="M217" s="89">
        <v>0.0</v>
      </c>
      <c r="O217" s="71" t="s">
        <v>132</v>
      </c>
      <c r="P217" s="90">
        <f>P214*(1+P215)+P216</f>
        <v>18914.48632</v>
      </c>
      <c r="Q217" s="5" t="s">
        <v>131</v>
      </c>
      <c r="R217" s="91">
        <f>IF(B218="Cryo DMG%",IF(B214="4*",0.06,0.072)*IFS(B217="A6",4,B217="A5",3,OR(B217="A4",B217="A3"),2,B217="A2",1,OR(B217="A1",B217="A0"),0),0)
+IF(OR(AND(E218="Primary Ele DMG%",B215="Cryo"),E218="All Ele DMG%"),E219*E220,0)+IF(OR(AND(E221="Primary Ele DMG%",B215="Cryo"),E221="All Ele DMG%"),E222*E223,0)+IF(OR(AND(E224="Primary Ele DMG%",B215="Cryo"),E224="All Ele DMG%"),E225*E226,0)
+IF(H215="Cryo DMG%",H216,0)+IF(H218="Cryo DMG%",H219*H220,0)+IF(H221="Cryo DMG%",H222*H223,0)+IF(H226="Cryo DMG%",0.466,0)
+M217+M220</f>
        <v>0</v>
      </c>
    </row>
    <row r="218">
      <c r="A218" s="85" t="s">
        <v>133</v>
      </c>
      <c r="B218" s="92" t="str">
        <f>VLOOKUP(B213,CharBaseStats,7,false)</f>
        <v>ER</v>
      </c>
      <c r="D218" s="85" t="s">
        <v>134</v>
      </c>
      <c r="E218" s="86" t="str">
        <f>VLOOKUP(E213,WeaponStats,5,false)</f>
        <v>ATK%</v>
      </c>
      <c r="G218" s="85" t="s">
        <v>135</v>
      </c>
      <c r="H218" s="96" t="str">
        <f>VLOOKUP(H217,ArtifactSetStats,2,false)</f>
        <v>BUFF</v>
      </c>
      <c r="J218" s="71" t="s">
        <v>60</v>
      </c>
      <c r="K218" s="88">
        <v>0.0</v>
      </c>
      <c r="L218" s="5" t="s">
        <v>136</v>
      </c>
      <c r="M218" s="89">
        <v>0.0</v>
      </c>
      <c r="O218" s="71" t="s">
        <v>137</v>
      </c>
      <c r="P218" s="90">
        <f>VLOOKUP(B213,CharBaseStats,5,false)
*((IF(B214="4*",0.082566,0.087394)*(B216-1)+1)+IF(B214="4*",0.7470687,0.8573469)*IFS(B217="A6",4.7894737,B217="A5",4.078947,B217="A4",3.368421,B217="A3",2.6578,B217="A2",1.7105263,B217="A1",1,B217="A0",0))
+E215</f>
        <v>756.1474458</v>
      </c>
      <c r="Q218" s="5" t="s">
        <v>136</v>
      </c>
      <c r="R218" s="91">
        <f>IF(B218="Anemo DMG%",IF(B214="4*",0.06,0.072)*IFS(B217="A6",4,B217="A5",3,OR(B217="A4",B217="A3"),2,B217="A2",1,OR(B217="A1",B217="A0"),0),0)
+IF(OR(AND(E218="Primary Ele DMG%",B215="Anemo"),E218="All Ele DMG%"),E219*E220,0)+IF(OR(AND(E221="Primary Ele DMG%",B215="Anemo"),E221="All Ele DMG%"),E222*E223,0)+IF(OR(AND(E224="Primary Ele DMG%",B215="Anemo"),E224="All Ele DMG%"),E225*E226,0)
+IF(H215="Anemo DMG%",H216,0)+IF(H218="Anemo DMG%",H219*H220,0)+IF(H221="Anemo DMG%",H222*H223,0)+IF(H226="Anemo DMG%",0.466,0)
+M218+M220</f>
        <v>0</v>
      </c>
    </row>
    <row r="219">
      <c r="A219" s="85" t="s">
        <v>138</v>
      </c>
      <c r="B219" s="87">
        <v>9.0</v>
      </c>
      <c r="D219" s="85" t="s">
        <v>139</v>
      </c>
      <c r="E219" s="97">
        <f>VLOOKUP(E213,WeaponStats,6,false)+(E214-1)*VLOOKUP(E213,WeaponStats,7,false)</f>
        <v>0.08</v>
      </c>
      <c r="G219" s="85" t="s">
        <v>140</v>
      </c>
      <c r="H219" s="95" t="str">
        <f>VLOOKUP(H217,ArtifactSetStats,3,false)</f>
        <v/>
      </c>
      <c r="J219" s="71" t="s">
        <v>61</v>
      </c>
      <c r="K219" s="93">
        <v>0.0</v>
      </c>
      <c r="L219" s="5" t="s">
        <v>141</v>
      </c>
      <c r="M219" s="89">
        <v>0.0</v>
      </c>
      <c r="O219" s="71" t="s">
        <v>58</v>
      </c>
      <c r="P219" s="94">
        <f>IF(B218="ATK%",IF(B214="4*",0.06,0.072)*IFS(B217="A6",4,B217="A5",3,OR(B217="A4",B217="A3"),2,B217="A2",1,OR(B217="A1",B217="A0"),0),0)
+IF(E216="ATK%",E217,0)+IF(E218="ATK%",E220*E219,0)+IF(E221="ATK%",E223*E222,0)+IF(E224="ATK%",E226*E225,0)+E229
+IF(H215="ATK%",H216,0)+IF(H218="ATK%",H219*H220,0)+IF(H221="ATK%",H222*H223,0)+IF(H225="ATK%",0.466,0)+IF(H226="ATK%",0.466,0)+IF(H227="ATK%",0.466,0)+D36*0.0496
+K216</f>
        <v>0.2784</v>
      </c>
      <c r="Q219" s="5" t="s">
        <v>141</v>
      </c>
      <c r="R219" s="91">
        <f>IF(B218="Geo DMG%",IF(B214="4*",0.06,0.072)*IFS(B217="A6",4,B217="A5",3,OR(B217="A4",B217="A3"),2,B217="A2",1,OR(B217="A1",B217="A0"),0),0)
+IF(OR(AND(E218="Primary Ele DMG%",B215="Geo"),E218="All Ele DMG%"),E219*E220,0)+IF(OR(AND(E221="Primary Ele DMG%",B215="Geo"),E221="All Ele DMG%"),E222*E223,0)+IF(OR(AND(E224="Primary Ele DMG%",B215="Geo"),E224="All Ele DMG%"),E225*E226,0)
+IF(H215="Geo DMG%",H216,0)+IF(H218="Geo DMG%",H219*H220,0)+IF(H221="Geo DMG%",H222*H223,0)+IF(H226="Geo DMG%",0.466,0)
+M219+M220</f>
        <v>0</v>
      </c>
    </row>
    <row r="220">
      <c r="A220" s="85" t="s">
        <v>142</v>
      </c>
      <c r="B220" s="87">
        <v>12.0</v>
      </c>
      <c r="D220" s="85" t="s">
        <v>143</v>
      </c>
      <c r="E220" s="98">
        <v>1.0</v>
      </c>
      <c r="G220" s="71" t="s">
        <v>144</v>
      </c>
      <c r="H220" s="98">
        <v>1.0</v>
      </c>
      <c r="J220" s="71" t="s">
        <v>145</v>
      </c>
      <c r="K220" s="93">
        <v>0.0</v>
      </c>
      <c r="L220" s="5" t="s">
        <v>146</v>
      </c>
      <c r="M220" s="89">
        <v>0.0</v>
      </c>
      <c r="O220" s="71" t="s">
        <v>59</v>
      </c>
      <c r="P220" s="90">
        <f>E228
+311+E36*16.54
+K217</f>
        <v>344.08</v>
      </c>
      <c r="Q220" s="5" t="s">
        <v>147</v>
      </c>
      <c r="R220" s="91">
        <f>IF(OR(E218="NA DMG%",E218="NA/CA DMG%",E218="NA/CA/PA DMG%"),E220*E219,0)+IF(OR(E221="NA DMG%",E221="NA/CA DMG%",E221="NA/CA/PA DMG%"),E223*E222,0)+IF(OR(E224="NA DMG%",E224="NA/CA DMG%",E224="NA/CA/PA DMG%"),E226*E225,0)
+IF(OR(H218="NA DMG%",H218="NA/CA DMG%",H218="NA/CA/PA DMG%"),H219*H220,0)+IF(OR(H221="NA DMG%",H221="NA/CA DMG%",H221="NA/CA/PA DMG%"),H222*H223,0)
+M221</f>
        <v>0</v>
      </c>
    </row>
    <row r="221">
      <c r="A221" s="85" t="s">
        <v>148</v>
      </c>
      <c r="B221" s="87">
        <v>12.0</v>
      </c>
      <c r="D221" s="85" t="s">
        <v>149</v>
      </c>
      <c r="E221" s="92" t="str">
        <f>VLOOKUP(E213,WeaponStats,8,false)</f>
        <v>DEF%</v>
      </c>
      <c r="G221" s="85" t="s">
        <v>150</v>
      </c>
      <c r="H221" s="92" t="str">
        <f>VLOOKUP(H217,ArtifactSetStats,4,false)</f>
        <v/>
      </c>
      <c r="J221" s="71" t="s">
        <v>2</v>
      </c>
      <c r="K221" s="88">
        <v>0.0</v>
      </c>
      <c r="L221" s="5" t="s">
        <v>147</v>
      </c>
      <c r="M221" s="89">
        <v>0.0</v>
      </c>
      <c r="O221" s="71" t="s">
        <v>151</v>
      </c>
      <c r="P221" s="90">
        <f>P218*(1+P219)+P220</f>
        <v>1310.738895</v>
      </c>
      <c r="Q221" s="5" t="s">
        <v>152</v>
      </c>
      <c r="R221" s="91">
        <f>IF(OR(E218="CA DMG%",E218="NA/CA DMG%",E218="NA/CA/PA DMG%"),E220*E219,0)+IF(OR(E221="CA DMG%",E221="NA/CA DMG%",E221="NA/CA/PA DMG%"),E223*E222,0)+IF(OR(E224="CA DMG%",E224="NA/CA DMG%",E224="NA/CA/PA DMG%"),E226*E225,0)
+IF(OR(H218="CA DMG%",H218="NA/CA DMG%",H218="NA/CA/PA DMG%"),H219*H220,0)+IF(OR(H221="CA DMG%",H221="NA/CA DMG%",H221="NA/CA/PA DMG%"),H222*H223,0)
+M222</f>
        <v>0</v>
      </c>
    </row>
    <row r="222">
      <c r="A222" s="99" t="s">
        <v>153</v>
      </c>
      <c r="B222" s="22">
        <v>6.0</v>
      </c>
      <c r="D222" s="85" t="s">
        <v>154</v>
      </c>
      <c r="E222" s="100">
        <f>VLOOKUP(E213,WeaponStats,9,false)+(E214-1)*VLOOKUP(E213,WeaponStats,10,false)</f>
        <v>0.08</v>
      </c>
      <c r="G222" s="85" t="s">
        <v>155</v>
      </c>
      <c r="H222" s="92" t="str">
        <f>VLOOKUP(H217,ArtifactSetStats,5,false)</f>
        <v/>
      </c>
      <c r="J222" s="71" t="s">
        <v>3</v>
      </c>
      <c r="K222" s="88">
        <v>0.0</v>
      </c>
      <c r="L222" s="5" t="s">
        <v>152</v>
      </c>
      <c r="M222" s="89">
        <v>0.0</v>
      </c>
      <c r="O222" s="71" t="s">
        <v>156</v>
      </c>
      <c r="P222" s="90">
        <f>VLOOKUP(B213,CharBaseStats,6,false)
*((IF(B214="4*",0.082566,0.087394)*(B216-1)+1)+IF(B214="4*",0.7470687,0.8573469)*IFS(B217="A6",4.7894737,B217="A5",4.078947,B217="A4",3.368421,B217="A3",2.6578,B217="A2",1.7105263,B217="A1",1,B217="A0",0))</f>
        <v>771.2143292</v>
      </c>
      <c r="Q222" s="5" t="s">
        <v>157</v>
      </c>
      <c r="R222" s="91">
        <f>IF(E218="NA/CA/PA DMG%",E220*E219,0)+IF(E221="NA/CA/PA DMG%",E223*E222,0)+IF(E224="NA/CA/PA DMG%",E226*E225,0)
+IF(H218="NA/CA/PA DMG%",H219*H220,0)+IF(H221="NA/CA/PA DMG%",H222*H223,0)
+M223</f>
        <v>0</v>
      </c>
    </row>
    <row r="223">
      <c r="A223" s="5"/>
      <c r="B223" s="101"/>
      <c r="D223" s="85" t="s">
        <v>158</v>
      </c>
      <c r="E223" s="102">
        <v>1.0</v>
      </c>
      <c r="G223" s="71" t="s">
        <v>159</v>
      </c>
      <c r="H223" s="98">
        <v>1.0</v>
      </c>
      <c r="J223" s="71" t="s">
        <v>5</v>
      </c>
      <c r="K223" s="88">
        <v>0.0</v>
      </c>
      <c r="L223" s="5" t="s">
        <v>157</v>
      </c>
      <c r="M223" s="89">
        <v>0.0</v>
      </c>
      <c r="O223" s="71" t="s">
        <v>60</v>
      </c>
      <c r="P223" s="94">
        <f>IF(B218="DEF%",IF(B214="4*",0.075,0.09)*IFS(B217="A6",4,B217="A5",3,OR(B217="A4",B217="A3"),2,B217="A2",1,OR(B217="A1",B217="A0"),0),0)
+IF(E216="DEF%",E217,0)+IF(E218="DEF%",E220*E219,0)+IF(E221="DEF%",E223*E222,0)+IF(E224="DEF%",E226*E225,0)
+IF(H215="DEF%",H216,0)+IF(H218="DEF%",H219*H220,0)+IF(H221="DEF%",H222*H223,0)+IF(H225="DEF%",0.583,0)+IF(H226="DEF%",0.583,0)+IF(H227="DEF%",0.583,0)+F36*0.062
+K218</f>
        <v>0.204</v>
      </c>
      <c r="Q223" s="5" t="s">
        <v>160</v>
      </c>
      <c r="R223" s="91">
        <f>IF(OR(E218="Skill DMG%",E218="Skill/Burst DMG%"),E220*E219,0)+IF(OR(E221="Skill DMG%",E221="Skill/Burst DMG%"),E223*E222,0)+IF(OR(E224="Skill DMG%",E224="Skill/Burst DMG%"),E226*E225,0)
+M224</f>
        <v>0</v>
      </c>
    </row>
    <row r="224">
      <c r="A224" s="5"/>
      <c r="B224" s="103"/>
      <c r="D224" s="85" t="s">
        <v>161</v>
      </c>
      <c r="E224" s="104" t="str">
        <f>VLOOKUP(E213,WeaponStats,11,false)</f>
        <v/>
      </c>
      <c r="G224" s="85" t="s">
        <v>162</v>
      </c>
      <c r="H224" s="95">
        <f>IF(H217="4ESF",0.25*P229,0)</f>
        <v>0</v>
      </c>
      <c r="J224" s="71" t="s">
        <v>163</v>
      </c>
      <c r="K224" s="88">
        <v>0.0</v>
      </c>
      <c r="L224" s="5" t="s">
        <v>160</v>
      </c>
      <c r="M224" s="89">
        <v>0.0</v>
      </c>
      <c r="O224" s="71" t="s">
        <v>61</v>
      </c>
      <c r="P224" s="90">
        <f>G36*19.68
+K219</f>
        <v>39.36</v>
      </c>
      <c r="Q224" s="5" t="s">
        <v>164</v>
      </c>
      <c r="R224" s="91">
        <f>IF(OR(E218="Burst DMG%",E218="Skill/Burst DMG%"),E220*E219,0)+IF(OR(E221="Burst DMG%",E221="Skill/Burst DMG%"),E223*E222,0)+IF(OR(E224="Burst DMG%",E224="Skill/Burst DMG%"),E226*E225,0)
+IF(H215="Burst DMG%",H216,0)+IF(H218="Burst DMG%",H219*H220,0)+IF(H221="Burst DMG%",H222*H223,0)+H224
+M225</f>
        <v>0.2</v>
      </c>
    </row>
    <row r="225">
      <c r="A225" s="5"/>
      <c r="B225" s="103"/>
      <c r="D225" s="85" t="s">
        <v>165</v>
      </c>
      <c r="E225" s="100">
        <f>VLOOKUP(E213,WeaponStats,12,false)+(E214-1)*VLOOKUP(E213,WeaponStats,13,false)</f>
        <v>0</v>
      </c>
      <c r="G225" s="85" t="s">
        <v>166</v>
      </c>
      <c r="H225" s="105" t="s">
        <v>5</v>
      </c>
      <c r="J225" s="81"/>
      <c r="K225" s="106"/>
      <c r="L225" s="5" t="s">
        <v>164</v>
      </c>
      <c r="M225" s="89">
        <f>0</f>
        <v>0</v>
      </c>
      <c r="O225" s="71" t="s">
        <v>167</v>
      </c>
      <c r="P225" s="90">
        <f>P222*(1+P223)+P224</f>
        <v>967.9020524</v>
      </c>
      <c r="Q225" s="5" t="s">
        <v>168</v>
      </c>
      <c r="R225" s="91">
        <f>IF(E218="Other DMG%",E220*E219,0)+IF(E221="Other DMG%",E223*E222,0)+IF(E224="Other DMG%",E226*E225,0)
+IF(H218="Other DMG%",H219*H220,0)+IF(H221="Other DMG%",H222*H223,0)
+M226</f>
        <v>0</v>
      </c>
    </row>
    <row r="226">
      <c r="A226" s="5"/>
      <c r="B226" s="103"/>
      <c r="D226" s="85" t="s">
        <v>169</v>
      </c>
      <c r="E226" s="107">
        <v>1.0</v>
      </c>
      <c r="F226" s="108"/>
      <c r="G226" s="71" t="s">
        <v>170</v>
      </c>
      <c r="H226" s="105" t="s">
        <v>116</v>
      </c>
      <c r="K226" s="109"/>
      <c r="L226" s="42" t="s">
        <v>168</v>
      </c>
      <c r="M226" s="110">
        <v>0.0</v>
      </c>
      <c r="O226" s="71" t="s">
        <v>4</v>
      </c>
      <c r="P226" s="90">
        <f>IF(B218="EM",IF(B214="4*",24,28.8)*IFS(B217="A6",4,B217="A5",3,OR(B217="A4",B217="A3"),2,B217="A2",1,OR(B217="A1",B217="A0"),0),0)
+IF(E216="EM",E217,0)+IF(E218="EM",E220*E219,0)+IF(E221="EM",E223*E222,0)+IF(E224="EM",E226*E225,0)
+IF(H215="EM",H216,0)+IF(H218="EM",H219*H220,0)+IF(H221="EM",H222*H223,0)+IF(H225="EM",187,0)+IF(H226="EM",187,0)+IF(H227="EM",187,0)+H36*19.82
+K220</f>
        <v>39.64</v>
      </c>
      <c r="Q226" s="111"/>
      <c r="R226" s="81"/>
    </row>
    <row r="227">
      <c r="A227" s="5"/>
      <c r="B227" s="103"/>
      <c r="D227" s="85" t="s">
        <v>171</v>
      </c>
      <c r="E227" s="112" t="b">
        <v>0</v>
      </c>
      <c r="G227" s="99" t="s">
        <v>172</v>
      </c>
      <c r="H227" s="113" t="s">
        <v>2</v>
      </c>
      <c r="O227" s="71" t="s">
        <v>2</v>
      </c>
      <c r="P227" s="114">
        <f>0.05
+IF(B218="CR",IF(B214="4*",0.04,0.048)*IFS(B217="A6",4,B217="A5",3,OR(B217="A4",B217="A3"),2,B217="A2",1,OR(B217="A1",B217="A0"),0),0)
+IF(E216="CR",E217,0)+IF(E218="CR",E220*E219,0)+IF(E221="CR",E223*E222,0)+IF(E224="CR",E226*E225,0)
+IF(H215="CR",H216,0)+IF(H218="CR",H219*H220,0)+IF(H221="CR",H222*H223,0)+IF(H227="CR",0.311,0)+I36*0.0331
+K221</f>
        <v>0.692</v>
      </c>
      <c r="Q227" s="115"/>
    </row>
    <row r="228">
      <c r="A228" s="5"/>
      <c r="B228" s="103"/>
      <c r="D228" s="85" t="s">
        <v>173</v>
      </c>
      <c r="E228" s="100">
        <f>IF(E213="Primordial Jade Cutter",(0.012+(E214-1)*0.003)*(P214*(1+P215)+P216),0)
+IF(E213="Staff of Homa",(0.008+(E214-1)*0.002)*(P214*(1+P215)+P216),0)
+IF(AND(E213="Staff of Homa",E227),(0.01+(E214-1)*0.002)*(P214*(1+P215)+P216),0)</f>
        <v>0</v>
      </c>
      <c r="G228" s="14"/>
      <c r="H228" s="14"/>
      <c r="O228" s="71" t="s">
        <v>3</v>
      </c>
      <c r="P228" s="116">
        <f>0.5
+IF(B218="CD",IF(B214="4*",0.08,0.096)*IFS(B217="A6",4,B217="A5",3,OR(B217="A4",B217="A3"),2,B217="A2",1,OR(B217="A1",B217="A0"),0),0)
+IF(E216="CD",E217,0)+IF(E218="CD",E220*E219,0)+IF(E221="CD",E223*E222,0)+IF(E224="CD",E226*E225,0)
+IF(H227="CD",0.622,0)+J36*0.0662
+K222</f>
        <v>1.2944</v>
      </c>
    </row>
    <row r="229">
      <c r="A229" s="5"/>
      <c r="B229" s="103"/>
      <c r="D229" s="99" t="s">
        <v>174</v>
      </c>
      <c r="E229" s="117">
        <f>IF(E213="Engulfing Lightning",(0.28+(E214-1)*0.07)*(P229-1),0)</f>
        <v>0</v>
      </c>
      <c r="G229" s="14"/>
      <c r="H229" s="14"/>
      <c r="O229" s="71" t="s">
        <v>5</v>
      </c>
      <c r="P229" s="91">
        <f>1
+IF(B218="ER",IF(B214="4*",0.067,0.08)*IFS(B217="A6",4,B217="A5",3,OR(B217="A4",B217="A3"),2,B217="A2",1,OR(B217="A1",B217="A0"),0),0)
+IF(E216="ER",E217,0)+IF(E218="ER",E220*E219,0)+IF(E221="ER",E223*E222,0)+IF(E224="ER",E226*E225,0)
+IF(H215="ER",H216,0)+IF(H218="ER",H219*H220,0)+IF(H221="ER",H222*H223,0)+IF(H225="ER",0.518,0)+K36*0.0551
+K223</f>
        <v>1.8962</v>
      </c>
    </row>
    <row r="230">
      <c r="A230" s="5"/>
      <c r="B230" s="103"/>
      <c r="G230" s="14"/>
      <c r="H230" s="14"/>
      <c r="O230" s="21" t="s">
        <v>163</v>
      </c>
      <c r="P230" s="118">
        <f>IF(B218="Healing Bonus",IF(B214="4*",0.04625,0.0555)*IFS(B217="A6",4,B217="A5",3,OR(B217="A4",B217="A3"),2,B217="A2",1,OR(B217="A1",B217="A0"),0),0)
+IF(E218="Healing Bonus",E220*E219,0)+IF(E221="Healing Bonus",E223*E222,0)+IF(E224="Healing Bonus",E226*E225,0)
+IF(H215="Healing Bonus",H216,0)+IF(H218="Healing Bonus",H219*H220,0)+IF(H221="Healing Bonus",H222*H223,0)+IF(H227="Healing Bonus",0.359,0)
+K224</f>
        <v>0</v>
      </c>
    </row>
    <row r="231">
      <c r="A231" s="119" t="s">
        <v>175</v>
      </c>
      <c r="B231" s="71"/>
      <c r="C231" s="120"/>
      <c r="D231" s="120"/>
      <c r="E231" s="120"/>
      <c r="F231" s="120"/>
      <c r="G231" s="5"/>
    </row>
    <row r="232">
      <c r="A232" s="85" t="str">
        <f>OFFSET(Stats!327:327,MATCH(B213,CharMVsCharNames,0)-1,0)</f>
        <v>Bennett</v>
      </c>
      <c r="B232" s="121" t="s">
        <v>176</v>
      </c>
      <c r="C232" s="121" t="s">
        <v>177</v>
      </c>
      <c r="D232" s="121" t="s">
        <v>178</v>
      </c>
      <c r="E232" s="121" t="s">
        <v>179</v>
      </c>
      <c r="F232" s="121" t="s">
        <v>246</v>
      </c>
      <c r="G232" s="121" t="s">
        <v>270</v>
      </c>
      <c r="H232" s="121" t="s">
        <v>271</v>
      </c>
      <c r="I232" s="121" t="s">
        <v>181</v>
      </c>
      <c r="J232" s="121" t="s">
        <v>182</v>
      </c>
      <c r="K232" s="121" t="s">
        <v>183</v>
      </c>
      <c r="L232" s="121"/>
      <c r="M232" s="121"/>
      <c r="N232" s="121"/>
      <c r="O232" s="121"/>
      <c r="P232" s="121"/>
      <c r="Q232" s="122" t="s">
        <v>184</v>
      </c>
      <c r="R232" s="122" t="s">
        <v>288</v>
      </c>
      <c r="S232" s="122" t="s">
        <v>289</v>
      </c>
      <c r="T232" s="122" t="s">
        <v>290</v>
      </c>
      <c r="U232" s="122" t="s">
        <v>291</v>
      </c>
      <c r="V232" s="122" t="s">
        <v>292</v>
      </c>
      <c r="W232" s="122" t="s">
        <v>293</v>
      </c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 t="s">
        <v>294</v>
      </c>
      <c r="AH232" s="122" t="s">
        <v>295</v>
      </c>
      <c r="AI232" s="122" t="s">
        <v>296</v>
      </c>
      <c r="AJ232" s="122" t="s">
        <v>297</v>
      </c>
      <c r="AK232" s="122" t="s">
        <v>248</v>
      </c>
      <c r="AL232" s="122" t="s">
        <v>189</v>
      </c>
      <c r="AM232" s="122" t="s">
        <v>253</v>
      </c>
      <c r="AN232" s="122"/>
      <c r="AO232" s="122"/>
      <c r="AP232" s="122"/>
      <c r="AQ232" s="122"/>
      <c r="AR232" s="122"/>
      <c r="AS232" s="122"/>
      <c r="AT232" s="122"/>
      <c r="AU232" s="123"/>
    </row>
    <row r="233">
      <c r="A233" s="99"/>
      <c r="B233" s="124">
        <f t="array" ref="B233">IF(ISBLANK(B232),"",INDEX(CharMVsBase,MATCH($B$213,CharMVsCharNames,0)+2,CELL("col",B232))
*HLOOKUP(INDEX(CharMVsBase,MATCH($B$213,CharMVsCharNames,0)+1,CELL("col",B232)),CharMVsScaling,$B$219+1,false))</f>
        <v>0.8183835</v>
      </c>
      <c r="C233" s="124">
        <f t="array" ref="C233">IF(ISBLANK(C232),"",INDEX(CharMVsBase,MATCH($B$213,CharMVsCharNames,0)+2,CELL("col",C232))
*HLOOKUP(INDEX(CharMVsBase,MATCH($B$213,CharMVsCharNames,0)+1,CELL("col",C232)),CharMVsScaling,$B$219+1,false))</f>
        <v>0.7851338</v>
      </c>
      <c r="D233" s="124">
        <f t="array" ref="D233">IF(ISBLANK(D232),"",INDEX(CharMVsBase,MATCH($B$213,CharMVsCharNames,0)+2,CELL("col",D232))
*HLOOKUP(INDEX(CharMVsBase,MATCH($B$213,CharMVsCharNames,0)+1,CELL("col",D232)),CharMVsScaling,$B$219+1,false))</f>
        <v>1.0031857</v>
      </c>
      <c r="E233" s="124">
        <f t="array" ref="E233">IF(ISBLANK(E232),"",INDEX(CharMVsBase,MATCH($B$213,CharMVsCharNames,0)+2,CELL("col",E232))
*HLOOKUP(INDEX(CharMVsBase,MATCH($B$213,CharMVsCharNames,0)+1,CELL("col",E232)),CharMVsScaling,$B$219+1,false))</f>
        <v>1.0963216</v>
      </c>
      <c r="F233" s="124">
        <f t="array" ref="F233">IF(ISBLANK(F232),"",INDEX(CharMVsBase,MATCH($B$213,CharMVsCharNames,0)+2,CELL("col",F232))
*HLOOKUP(INDEX(CharMVsBase,MATCH($B$213,CharMVsCharNames,0)+1,CELL("col",F232)),CharMVsScaling,$B$219+1,false))</f>
        <v>1.320803</v>
      </c>
      <c r="G233" s="124">
        <f t="array" ref="G233">IF(ISBLANK(G232),"",INDEX(CharMVsBase,MATCH($B$213,CharMVsCharNames,0)+2,CELL("col",G232))
*HLOOKUP(INDEX(CharMVsBase,MATCH($B$213,CharMVsCharNames,0)+1,CELL("col",G232)),CharMVsScaling,$B$219+1,false))</f>
        <v>1.026883</v>
      </c>
      <c r="H233" s="124">
        <f t="array" ref="H233">IF(ISBLANK(H232),"",INDEX(CharMVsBase,MATCH($B$213,CharMVsCharNames,0)+2,CELL("col",H232))
*HLOOKUP(INDEX(CharMVsBase,MATCH($B$213,CharMVsCharNames,0)+1,CELL("col",H232)),CharMVsScaling,$B$219+1,false))</f>
        <v>1.1154264</v>
      </c>
      <c r="I233" s="124">
        <f t="array" ref="I233">IF(ISBLANK(I232),"",INDEX(CharMVsBase,MATCH($B$213,CharMVsCharNames,0)+2,CELL("col",I232))
*HLOOKUP(INDEX(CharMVsBase,MATCH($B$213,CharMVsCharNames,0)+1,CELL("col",I232)),CharMVsScaling,$B$219+1,false))</f>
        <v>1.1743941</v>
      </c>
      <c r="J233" s="124">
        <f t="array" ref="J233">IF(ISBLANK(J232),"",INDEX(CharMVsBase,MATCH($B$213,CharMVsCharNames,0)+2,CELL("col",J232))
*HLOOKUP(INDEX(CharMVsBase,MATCH($B$213,CharMVsCharNames,0)+1,CELL("col",J232)),CharMVsScaling,$B$219+1,false))</f>
        <v>2.3487882</v>
      </c>
      <c r="K233" s="124">
        <f t="array" ref="K233">IF(ISBLANK(K232),"",INDEX(CharMVsBase,MATCH($B$213,CharMVsCharNames,0)+2,CELL("col",K232))
*HLOOKUP(INDEX(CharMVsBase,MATCH($B$213,CharMVsCharNames,0)+1,CELL("col",K232)),CharMVsScaling,$B$219+1,false))</f>
        <v>2.9360771</v>
      </c>
      <c r="L233" s="124" t="str">
        <f t="array" ref="L233">IF(ISBLANK(L232),"",INDEX(CharMVsBase,MATCH($B$213,CharMVsCharNames,0)+2,CELL("col",L232))
*HLOOKUP(INDEX(CharMVsBase,MATCH($B$213,CharMVsCharNames,0)+1,CELL("col",L232)),CharMVsScaling,$B$219+1,false))</f>
        <v/>
      </c>
      <c r="M233" s="124" t="str">
        <f t="array" ref="M233">IF(ISBLANK(M232),"",INDEX(CharMVsBase,MATCH($B$213,CharMVsCharNames,0)+2,CELL("col",M232))
*HLOOKUP(INDEX(CharMVsBase,MATCH($B$213,CharMVsCharNames,0)+1,CELL("col",M232)),CharMVsScaling,$B$219+1,false))</f>
        <v/>
      </c>
      <c r="N233" s="124" t="str">
        <f t="array" ref="N233">IF(ISBLANK(N232),"",INDEX(CharMVsBase,MATCH($B$213,CharMVsCharNames,0)+2,CELL("col",N232))
*HLOOKUP(INDEX(CharMVsBase,MATCH($B$213,CharMVsCharNames,0)+1,CELL("col",N232)),CharMVsScaling,$B$219+1,false))</f>
        <v/>
      </c>
      <c r="O233" s="124" t="str">
        <f t="array" ref="O233">IF(ISBLANK(O232),"",INDEX(CharMVsBase,MATCH($B$213,CharMVsCharNames,0)+2,CELL("col",O232))
*HLOOKUP(INDEX(CharMVsBase,MATCH($B$213,CharMVsCharNames,0)+1,CELL("col",O232)),CharMVsScaling,$B$219+1,false))</f>
        <v/>
      </c>
      <c r="P233" s="124" t="str">
        <f t="array" ref="P233">IF(ISBLANK(P232),"",INDEX(CharMVsBase,MATCH($B$213,CharMVsCharNames,0)+2,CELL("col",P232))
*HLOOKUP(INDEX(CharMVsBase,MATCH($B$213,CharMVsCharNames,0)+1,CELL("col",P232)),CharMVsScaling,$B$219+1,false))</f>
        <v/>
      </c>
      <c r="Q233" s="124">
        <f t="array" ref="Q233">IF(ISBLANK(Q232),"",INDEX(CharMVsBase,MATCH($B$213,CharMVsCharNames,0)+2,CELL("col",Q232))
*HLOOKUP(INDEX(CharMVsBase,MATCH($B$213,CharMVsCharNames,0)+1,CELL("col",Q232)),CharMVsScaling,$B$220+1,false))</f>
        <v>2.752</v>
      </c>
      <c r="R233" s="124">
        <f t="array" ref="R233">IF(ISBLANK(R232),"",INDEX(CharMVsBase,MATCH($B$213,CharMVsCharNames,0)+2,CELL("col",R232))
*HLOOKUP(INDEX(CharMVsBase,MATCH($B$213,CharMVsCharNames,0)+1,CELL("col",R232)),CharMVsScaling,$B$220+1,false))</f>
        <v>1.68</v>
      </c>
      <c r="S233" s="124">
        <f t="array" ref="S233">IF(ISBLANK(S232),"",INDEX(CharMVsBase,MATCH($B$213,CharMVsCharNames,0)+2,CELL("col",S232))
*HLOOKUP(INDEX(CharMVsBase,MATCH($B$213,CharMVsCharNames,0)+1,CELL("col",S232)),CharMVsScaling,$B$220+1,false))</f>
        <v>1.84</v>
      </c>
      <c r="T233" s="124">
        <f t="array" ref="T233">IF(ISBLANK(T232),"",INDEX(CharMVsBase,MATCH($B$213,CharMVsCharNames,0)+2,CELL("col",T232))
*HLOOKUP(INDEX(CharMVsBase,MATCH($B$213,CharMVsCharNames,0)+1,CELL("col",T232)),CharMVsScaling,$B$220+1,false))</f>
        <v>1.76</v>
      </c>
      <c r="U233" s="124">
        <f t="array" ref="U233">IF(ISBLANK(U232),"",INDEX(CharMVsBase,MATCH($B$213,CharMVsCharNames,0)+2,CELL("col",U232))
*HLOOKUP(INDEX(CharMVsBase,MATCH($B$213,CharMVsCharNames,0)+1,CELL("col",U232)),CharMVsScaling,$B$220+1,false))</f>
        <v>1.92</v>
      </c>
      <c r="V233" s="124">
        <f t="array" ref="V233">IF(ISBLANK(V232),"",INDEX(CharMVsBase,MATCH($B$213,CharMVsCharNames,0)+2,CELL("col",V232))
*HLOOKUP(INDEX(CharMVsBase,MATCH($B$213,CharMVsCharNames,0)+1,CELL("col",V232)),CharMVsScaling,$B$220+1,false))</f>
        <v>2.64</v>
      </c>
      <c r="W233" s="124">
        <f t="array" ref="W233">IF(ISBLANK(W232),"",INDEX(CharMVsBase,MATCH($B$213,CharMVsCharNames,0)+2,CELL("col",W232))
*HLOOKUP(INDEX(CharMVsBase,MATCH($B$213,CharMVsCharNames,0)+1,CELL("col",W232)),CharMVsScaling,$B$220+1,false))</f>
        <v>1.35</v>
      </c>
      <c r="X233" s="124" t="str">
        <f t="array" ref="X233">IF(ISBLANK(X232),"",INDEX(CharMVsBase,MATCH($B$213,CharMVsCharNames,0)+2,CELL("col",X232))
*HLOOKUP(INDEX(CharMVsBase,MATCH($B$213,CharMVsCharNames,0)+1,CELL("col",X232)),CharMVsScaling,$B$220+1,false))</f>
        <v/>
      </c>
      <c r="Y233" s="124" t="str">
        <f t="array" ref="Y233">IF(ISBLANK(Y232),"",INDEX(CharMVsBase,MATCH($B$213,CharMVsCharNames,0)+2,CELL("col",Y232))
*HLOOKUP(INDEX(CharMVsBase,MATCH($B$213,CharMVsCharNames,0)+1,CELL("col",Y232)),CharMVsScaling,$B$220+1,false))</f>
        <v/>
      </c>
      <c r="Z233" s="124" t="str">
        <f t="array" ref="Z233">IF(ISBLANK(Z232),"",INDEX(CharMVsBase,MATCH($B$213,CharMVsCharNames,0)+2,CELL("col",Z232))
*HLOOKUP(INDEX(CharMVsBase,MATCH($B$213,CharMVsCharNames,0)+1,CELL("col",Z232)),CharMVsScaling,$B$220+1,false))</f>
        <v/>
      </c>
      <c r="AA233" s="124" t="str">
        <f t="array" ref="AA233">IF(ISBLANK(AA232),"",INDEX(CharMVsBase,MATCH($B$213,CharMVsCharNames,0)+2,CELL("col",AA232))
*HLOOKUP(INDEX(CharMVsBase,MATCH($B$213,CharMVsCharNames,0)+1,CELL("col",AA232)),CharMVsScaling,$B$220+1,false))</f>
        <v/>
      </c>
      <c r="AB233" s="124" t="str">
        <f t="array" ref="AB233">IF(ISBLANK(AB232),"",INDEX(CharMVsBase,MATCH($B$213,CharMVsCharNames,0)+2,CELL("col",AB232))
*HLOOKUP(INDEX(CharMVsBase,MATCH($B$213,CharMVsCharNames,0)+1,CELL("col",AB232)),CharMVsScaling,$B$220+1,false))</f>
        <v/>
      </c>
      <c r="AC233" s="124" t="str">
        <f t="array" ref="AC233">IF(ISBLANK(AC232),"",INDEX(CharMVsBase,MATCH($B$213,CharMVsCharNames,0)+2,CELL("col",AC232))
*HLOOKUP(INDEX(CharMVsBase,MATCH($B$213,CharMVsCharNames,0)+1,CELL("col",AC232)),CharMVsScaling,$B$220+1,false))</f>
        <v/>
      </c>
      <c r="AD233" s="124" t="str">
        <f t="array" ref="AD233">IF(ISBLANK(AD232),"",INDEX(CharMVsBase,MATCH($B$213,CharMVsCharNames,0)+2,CELL("col",AD232))
*HLOOKUP(INDEX(CharMVsBase,MATCH($B$213,CharMVsCharNames,0)+1,CELL("col",AD232)),CharMVsScaling,$B$220+1,false))</f>
        <v/>
      </c>
      <c r="AE233" s="124" t="str">
        <f t="array" ref="AE233">IF(ISBLANK(AE232),"",INDEX(CharMVsBase,MATCH($B$213,CharMVsCharNames,0)+2,CELL("col",AE232))
*HLOOKUP(INDEX(CharMVsBase,MATCH($B$213,CharMVsCharNames,0)+1,CELL("col",AE232)),CharMVsScaling,$B$220+1,false))</f>
        <v/>
      </c>
      <c r="AF233" s="124" t="str">
        <f t="array" ref="AF233">IF(ISBLANK(AF232),"",INDEX(CharMVsBase,MATCH($B$213,CharMVsCharNames,0)+2,CELL("col",AF232))
*HLOOKUP(INDEX(CharMVsBase,MATCH($B$213,CharMVsCharNames,0)+1,CELL("col",AF232)),CharMVsScaling,$B$220+1,false))</f>
        <v/>
      </c>
      <c r="AG233" s="124">
        <f t="array" ref="AG233">IF(ISBLANK(AG232),"",INDEX(CharMVsBase,MATCH($B$213,CharMVsCharNames,0)+2,CELL("col",AG232))
*HLOOKUP(INDEX(CharMVsBase,MATCH($B$213,CharMVsCharNames,0)+1,CELL("col",AG232)),CharMVsScaling,$B$221+1,false))</f>
        <v>4.656</v>
      </c>
      <c r="AH233" s="124">
        <f t="array" ref="AH233">IF(ISBLANK(AH232),"",INDEX(CharMVsBase,MATCH($B$213,CharMVsCharNames,0)+2,CELL("col",AH232))
*HLOOKUP(INDEX(CharMVsBase,MATCH($B$213,CharMVsCharNames,0)+1,CELL("col",AH232)),CharMVsScaling,$B$221+1,false))</f>
        <v>0.12</v>
      </c>
      <c r="AI233" s="124">
        <f t="array" ref="AI233">IF(ISBLANK(AI232),"",INDEX(CharMVsBase,MATCH($B$213,CharMVsCharNames,0)+2,CELL("col",AI232))
*HLOOKUP(INDEX(CharMVsBase,MATCH($B$213,CharMVsCharNames,0)+1,CELL("col",AI232)),CharMVsScaling,$B$221+1,false))</f>
        <v>1476.543</v>
      </c>
      <c r="AJ233" s="124">
        <f t="array" ref="AJ233">IF(ISBLANK(AJ232),"",INDEX(CharMVsBase,MATCH($B$213,CharMVsCharNames,0)+2,CELL("col",AJ232))
*HLOOKUP(INDEX(CharMVsBase,MATCH($B$213,CharMVsCharNames,0)+1,CELL("col",AJ232)),CharMVsScaling,$B$221+1,false))</f>
        <v>1.12</v>
      </c>
      <c r="AK233" s="124">
        <f t="array" ref="AK233">IF(ISBLANK(AK232),"",INDEX(CharMVsBase,MATCH($B$213,CharMVsCharNames,0)+2,CELL("col",AK232))
*HLOOKUP(INDEX(CharMVsBase,MATCH($B$213,CharMVsCharNames,0)+1,CELL("col",AK232)),CharMVsScaling,$B$221+1,false))</f>
        <v>0.2</v>
      </c>
      <c r="AL233" s="124">
        <f t="array" ref="AL233">IF(ISBLANK(AL232),"",INDEX(CharMVsBase,MATCH($B$213,CharMVsCharNames,0)+2,CELL("col",AL232))
*HLOOKUP(INDEX(CharMVsBase,MATCH($B$213,CharMVsCharNames,0)+1,CELL("col",AL232)),CharMVsScaling,$B$221+1,false))</f>
        <v>0.3</v>
      </c>
      <c r="AM233" s="124">
        <f t="array" ref="AM233">IF(ISBLANK(AM232),"",INDEX(CharMVsBase,MATCH($B$213,CharMVsCharNames,0)+2,CELL("col",AM232))
*HLOOKUP(INDEX(CharMVsBase,MATCH($B$213,CharMVsCharNames,0)+1,CELL("col",AM232)),CharMVsScaling,$B$221+1,false))</f>
        <v>0.15</v>
      </c>
      <c r="AN233" s="124" t="str">
        <f t="array" ref="AN233">IF(ISBLANK(AN232),"",INDEX(CharMVsBase,MATCH($B$213,CharMVsCharNames,0)+2,CELL("col",AN232))
*HLOOKUP(INDEX(CharMVsBase,MATCH($B$213,CharMVsCharNames,0)+1,CELL("col",AN232)),CharMVsScaling,$B$221+1,false))</f>
        <v/>
      </c>
      <c r="AO233" s="124" t="str">
        <f t="array" ref="AO233">IF(ISBLANK(AO232),"",INDEX(CharMVsBase,MATCH($B$213,CharMVsCharNames,0)+2,CELL("col",AO232))
*HLOOKUP(INDEX(CharMVsBase,MATCH($B$213,CharMVsCharNames,0)+1,CELL("col",AO232)),CharMVsScaling,$B$221+1,false))</f>
        <v/>
      </c>
      <c r="AP233" s="124" t="str">
        <f t="array" ref="AP233">IF(ISBLANK(AP232),"",INDEX(CharMVsBase,MATCH($B$213,CharMVsCharNames,0)+2,CELL("col",AP232))
*HLOOKUP(INDEX(CharMVsBase,MATCH($B$213,CharMVsCharNames,0)+1,CELL("col",AP232)),CharMVsScaling,$B$221+1,false))</f>
        <v/>
      </c>
      <c r="AQ233" s="124" t="str">
        <f t="array" ref="AQ233">IF(ISBLANK(AQ232),"",INDEX(CharMVsBase,MATCH($B$213,CharMVsCharNames,0)+2,CELL("col",AQ232))
*HLOOKUP(INDEX(CharMVsBase,MATCH($B$213,CharMVsCharNames,0)+1,CELL("col",AQ232)),CharMVsScaling,$B$221+1,false))</f>
        <v/>
      </c>
      <c r="AR233" s="124" t="str">
        <f t="array" ref="AR233">IF(ISBLANK(AR232),"",INDEX(CharMVsBase,MATCH($B$213,CharMVsCharNames,0)+2,CELL("col",AR232))
*HLOOKUP(INDEX(CharMVsBase,MATCH($B$213,CharMVsCharNames,0)+1,CELL("col",AR232)),CharMVsScaling,$B$221+1,false))</f>
        <v/>
      </c>
      <c r="AS233" s="124" t="str">
        <f t="array" ref="AS233">IF(ISBLANK(AS232),"",INDEX(CharMVsBase,MATCH($B$213,CharMVsCharNames,0)+2,CELL("col",AS232))
*HLOOKUP(INDEX(CharMVsBase,MATCH($B$213,CharMVsCharNames,0)+1,CELL("col",AS232)),CharMVsScaling,$B$221+1,false))</f>
        <v/>
      </c>
      <c r="AT233" s="124" t="str">
        <f t="array" ref="AT233">IF(ISBLANK(AT232),"",INDEX(CharMVsBase,MATCH($B$213,CharMVsCharNames,0)+2,CELL("col",AT232))
*HLOOKUP(INDEX(CharMVsBase,MATCH($B$213,CharMVsCharNames,0)+1,CELL("col",AT232)),CharMVsScaling,$B$221+1,false))</f>
        <v/>
      </c>
      <c r="AU233" s="124" t="str">
        <f t="array" ref="AU233">IF(ISBLANK(AU232),"",INDEX(CharMVsBase,MATCH($B$213,CharMVsCharNames,0)+2,CELL("col",AU232))
*HLOOKUP(INDEX(CharMVsBase,MATCH($B$213,CharMVsCharNames,0)+1,CELL("col",AU232)),CharMVsScaling,$B$221+1,false))</f>
        <v/>
      </c>
    </row>
    <row r="235">
      <c r="A235" s="19" t="s">
        <v>24</v>
      </c>
      <c r="B235" s="23" t="s">
        <v>193</v>
      </c>
      <c r="C235" s="23" t="s">
        <v>194</v>
      </c>
      <c r="D235" s="23" t="s">
        <v>195</v>
      </c>
      <c r="E235" s="23" t="s">
        <v>196</v>
      </c>
      <c r="F235" s="23" t="s">
        <v>197</v>
      </c>
      <c r="G235" s="23" t="s">
        <v>198</v>
      </c>
      <c r="H235" s="125" t="s">
        <v>199</v>
      </c>
      <c r="I235" s="125" t="s">
        <v>200</v>
      </c>
      <c r="J235" s="125" t="s">
        <v>201</v>
      </c>
      <c r="K235" s="125" t="s">
        <v>202</v>
      </c>
      <c r="L235" s="125" t="s">
        <v>203</v>
      </c>
      <c r="M235" s="125" t="s">
        <v>204</v>
      </c>
      <c r="N235" s="125" t="s">
        <v>205</v>
      </c>
      <c r="O235" s="125" t="s">
        <v>206</v>
      </c>
      <c r="P235" s="125" t="s">
        <v>207</v>
      </c>
      <c r="Q235" s="125" t="s">
        <v>208</v>
      </c>
      <c r="R235" s="23" t="s">
        <v>209</v>
      </c>
      <c r="S235" s="23" t="s">
        <v>210</v>
      </c>
      <c r="T235" s="23" t="s">
        <v>211</v>
      </c>
      <c r="U235" s="23" t="s">
        <v>212</v>
      </c>
      <c r="V235" s="23" t="s">
        <v>213</v>
      </c>
      <c r="W235" s="25" t="s">
        <v>214</v>
      </c>
    </row>
    <row r="236">
      <c r="A236" s="50" t="s">
        <v>215</v>
      </c>
      <c r="B236" s="126" t="s">
        <v>184</v>
      </c>
      <c r="C236" s="127">
        <v>1.0</v>
      </c>
      <c r="D236" s="128">
        <f t="shared" ref="D236:D239" si="51">HLOOKUP(B236,A$232:AU$233,2,false)
*C236</f>
        <v>2.752</v>
      </c>
      <c r="E236" s="129" t="str">
        <f t="array" ref="E236">INDEX(CharMVsBase,MATCH(B$213,CharMVsCharNames,0)+3,MATCH(B236,B$232:AU$232,0)+1)</f>
        <v>ATK</v>
      </c>
      <c r="F236" s="126" t="s">
        <v>84</v>
      </c>
      <c r="G236" s="129" t="str">
        <f t="array" ref="G236">INDEX(CharMVsBase,MATCH(B$213,CharMVsCharNames,0)+4,MATCH(B236,B$232:AU$232,0)+1)</f>
        <v>Skill DMG%</v>
      </c>
      <c r="H236" s="88">
        <v>0.0</v>
      </c>
      <c r="I236" s="130">
        <v>0.0</v>
      </c>
      <c r="J236" s="130">
        <v>0.0</v>
      </c>
      <c r="K236" s="88">
        <v>0.0</v>
      </c>
      <c r="L236" s="88">
        <v>0.0</v>
      </c>
      <c r="M236" s="88">
        <v>0.0</v>
      </c>
      <c r="N236" s="88">
        <v>0.0</v>
      </c>
      <c r="O236" s="88">
        <v>0.0</v>
      </c>
      <c r="P236" s="88">
        <v>0.0</v>
      </c>
      <c r="Q236" s="88">
        <v>0.0</v>
      </c>
      <c r="R236" s="90">
        <f t="shared" ref="R236:R239" si="52">D236
*(IFS(E236="ATK",(P$218*(1+P$219+H236)+P$220+I236),E236="DEF",(P$222*(1+P$223+H236)+P$224+I236),E236="HP",(P$214*(1+P$215+H236)+P$216+I236),TRUE,1)
*(1+MEDIAN(0,1,(P$227+L236))*(P$228+M236))
*(1+VLOOKUP(CONCATENATE(F236," DMG%"),Q$213:R$219,2,false)+IF(G236="",0,VLOOKUP(G236,Q$220:R$224,2,false))+R$225+N236)
*IF((VLOOKUP(F236,A$57:B$63,2,false)+O236)&lt;0,1-(VLOOKUP(F236,A$57:B$63,2,false)+O236)/2,1-(VLOOKUP(F236,A$57:B$63,2,false)+O236))
*((B$216+100)/((1+P236)*(1+Q236)*(B$56+100)+B$216+100)))</f>
        <v>4395.470621</v>
      </c>
      <c r="S236" s="131">
        <v>0.0</v>
      </c>
      <c r="T236" s="126">
        <v>1.5</v>
      </c>
      <c r="U236" s="132">
        <f t="shared" ref="U236:U241" si="53">((1-S236)*R236
+S236*R236
*T236
*(1+(2.78*(P$226+J236)/(P$226+J236+1400))+K236+IF(H$217="4CW",0.15,0)))</f>
        <v>4395.470621</v>
      </c>
      <c r="V236" s="126">
        <v>1.0</v>
      </c>
      <c r="W236" s="133">
        <f t="shared" ref="W236:W245" si="54">U236*V236</f>
        <v>4395.470621</v>
      </c>
      <c r="X236" s="5" t="s">
        <v>298</v>
      </c>
    </row>
    <row r="237">
      <c r="A237" s="50" t="s">
        <v>215</v>
      </c>
      <c r="B237" s="126" t="s">
        <v>184</v>
      </c>
      <c r="C237" s="127">
        <v>1.0</v>
      </c>
      <c r="D237" s="128">
        <f t="shared" si="51"/>
        <v>2.752</v>
      </c>
      <c r="E237" s="129" t="str">
        <f t="array" ref="E237">INDEX(CharMVsBase,MATCH(B$213,CharMVsCharNames,0)+3,MATCH(B237,B$232:AU$232,0)+1)</f>
        <v>ATK</v>
      </c>
      <c r="F237" s="126" t="s">
        <v>84</v>
      </c>
      <c r="G237" s="129" t="str">
        <f t="array" ref="G237">INDEX(CharMVsBase,MATCH(B$213,CharMVsCharNames,0)+4,MATCH(B237,B$232:AU$232,0)+1)</f>
        <v>Skill DMG%</v>
      </c>
      <c r="H237" s="88">
        <v>0.2</v>
      </c>
      <c r="I237" s="130">
        <v>0.0</v>
      </c>
      <c r="J237" s="130">
        <v>0.0</v>
      </c>
      <c r="K237" s="88">
        <v>0.0</v>
      </c>
      <c r="L237" s="88">
        <v>0.0</v>
      </c>
      <c r="M237" s="88">
        <v>0.0</v>
      </c>
      <c r="N237" s="88">
        <f>$B$79+15%</f>
        <v>0.468048</v>
      </c>
      <c r="O237" s="88">
        <v>-0.55</v>
      </c>
      <c r="P237" s="88">
        <v>-0.15</v>
      </c>
      <c r="Q237" s="88">
        <v>0.0</v>
      </c>
      <c r="R237" s="90">
        <f t="shared" si="52"/>
        <v>9537.095669</v>
      </c>
      <c r="S237" s="131">
        <v>0.0</v>
      </c>
      <c r="T237" s="126">
        <v>1.5</v>
      </c>
      <c r="U237" s="132">
        <f t="shared" si="53"/>
        <v>9537.095669</v>
      </c>
      <c r="V237" s="126">
        <v>1.0</v>
      </c>
      <c r="W237" s="133">
        <f t="shared" si="54"/>
        <v>9537.095669</v>
      </c>
      <c r="X237" s="5" t="s">
        <v>298</v>
      </c>
      <c r="Y237" s="5" t="s">
        <v>229</v>
      </c>
      <c r="Z237" s="5" t="s">
        <v>56</v>
      </c>
      <c r="AA237" s="5" t="s">
        <v>230</v>
      </c>
      <c r="AB237" s="5" t="s">
        <v>258</v>
      </c>
      <c r="AC237" s="5" t="s">
        <v>103</v>
      </c>
    </row>
    <row r="238">
      <c r="A238" s="50" t="s">
        <v>215</v>
      </c>
      <c r="B238" s="126" t="s">
        <v>184</v>
      </c>
      <c r="C238" s="127">
        <v>1.0</v>
      </c>
      <c r="D238" s="128">
        <f t="shared" si="51"/>
        <v>2.752</v>
      </c>
      <c r="E238" s="129" t="str">
        <f t="array" ref="E238">INDEX(CharMVsBase,MATCH(B$213,CharMVsCharNames,0)+3,MATCH(B238,B$232:AU$232,0)+1)</f>
        <v>ATK</v>
      </c>
      <c r="F238" s="126" t="s">
        <v>84</v>
      </c>
      <c r="G238" s="129" t="str">
        <f t="array" ref="G238">INDEX(CharMVsBase,MATCH(B$213,CharMVsCharNames,0)+4,MATCH(B238,B$232:AU$232,0)+1)</f>
        <v>Skill DMG%</v>
      </c>
      <c r="H238" s="88">
        <v>0.2</v>
      </c>
      <c r="I238" s="134">
        <f>B78</f>
        <v>998.1146284</v>
      </c>
      <c r="J238" s="130">
        <v>0.0</v>
      </c>
      <c r="K238" s="88">
        <v>0.0</v>
      </c>
      <c r="L238" s="88">
        <v>0.0</v>
      </c>
      <c r="M238" s="88">
        <v>0.0</v>
      </c>
      <c r="N238" s="88">
        <f>$B$79+15%+20%</f>
        <v>0.668048</v>
      </c>
      <c r="O238" s="88">
        <v>-0.55</v>
      </c>
      <c r="P238" s="88">
        <v>-0.15</v>
      </c>
      <c r="Q238" s="88">
        <v>0.0</v>
      </c>
      <c r="R238" s="90">
        <f t="shared" si="52"/>
        <v>17707.81009</v>
      </c>
      <c r="S238" s="131">
        <v>0.0</v>
      </c>
      <c r="T238" s="126">
        <v>1.5</v>
      </c>
      <c r="U238" s="132">
        <f t="shared" si="53"/>
        <v>17707.81009</v>
      </c>
      <c r="V238" s="126">
        <v>1.0</v>
      </c>
      <c r="W238" s="133">
        <f t="shared" si="54"/>
        <v>17707.81009</v>
      </c>
      <c r="X238" s="5" t="s">
        <v>298</v>
      </c>
      <c r="Y238" s="5" t="s">
        <v>229</v>
      </c>
      <c r="Z238" s="5" t="s">
        <v>56</v>
      </c>
      <c r="AA238" s="5" t="s">
        <v>230</v>
      </c>
      <c r="AB238" s="5" t="s">
        <v>258</v>
      </c>
      <c r="AC238" s="5" t="s">
        <v>103</v>
      </c>
      <c r="AD238" s="5" t="s">
        <v>92</v>
      </c>
      <c r="AE238" s="5" t="s">
        <v>218</v>
      </c>
    </row>
    <row r="239">
      <c r="A239" s="50" t="s">
        <v>215</v>
      </c>
      <c r="B239" s="126" t="s">
        <v>294</v>
      </c>
      <c r="C239" s="127">
        <v>1.0</v>
      </c>
      <c r="D239" s="128">
        <f t="shared" si="51"/>
        <v>4.656</v>
      </c>
      <c r="E239" s="129" t="str">
        <f t="array" ref="E239">INDEX(CharMVsBase,MATCH(B$213,CharMVsCharNames,0)+3,MATCH(B239,B$232:AU$232,0)+1)</f>
        <v>ATK</v>
      </c>
      <c r="F239" s="126" t="s">
        <v>84</v>
      </c>
      <c r="G239" s="129" t="str">
        <f t="array" ref="G239">INDEX(CharMVsBase,MATCH(B$213,CharMVsCharNames,0)+4,MATCH(B239,B$232:AU$232,0)+1)</f>
        <v>Burst DMG%</v>
      </c>
      <c r="H239" s="88">
        <v>0.0</v>
      </c>
      <c r="I239" s="130">
        <v>0.0</v>
      </c>
      <c r="J239" s="130">
        <v>0.0</v>
      </c>
      <c r="K239" s="88">
        <v>0.0</v>
      </c>
      <c r="L239" s="88">
        <v>0.0</v>
      </c>
      <c r="M239" s="88">
        <v>0.0</v>
      </c>
      <c r="N239" s="88">
        <v>0.0</v>
      </c>
      <c r="O239" s="88">
        <v>0.0</v>
      </c>
      <c r="P239" s="88">
        <v>0.0</v>
      </c>
      <c r="Q239" s="88">
        <v>0.0</v>
      </c>
      <c r="R239" s="90">
        <f t="shared" si="52"/>
        <v>8451.055435</v>
      </c>
      <c r="S239" s="131">
        <v>0.0</v>
      </c>
      <c r="T239" s="126">
        <v>1.5</v>
      </c>
      <c r="U239" s="132">
        <f t="shared" si="53"/>
        <v>8451.055435</v>
      </c>
      <c r="V239" s="126">
        <v>2.0</v>
      </c>
      <c r="W239" s="133">
        <f t="shared" si="54"/>
        <v>16902.11087</v>
      </c>
      <c r="X239" s="5" t="s">
        <v>299</v>
      </c>
    </row>
    <row r="240">
      <c r="A240" s="50" t="s">
        <v>264</v>
      </c>
      <c r="B240" s="23"/>
      <c r="C240" s="135"/>
      <c r="D240" s="136">
        <v>1.0</v>
      </c>
      <c r="E240" s="137">
        <v>1000.0</v>
      </c>
      <c r="F240" s="137" t="s">
        <v>83</v>
      </c>
      <c r="G240" s="137" t="s">
        <v>147</v>
      </c>
      <c r="H240" s="138"/>
      <c r="I240" s="23"/>
      <c r="J240" s="139">
        <v>0.0</v>
      </c>
      <c r="K240" s="140">
        <v>0.0</v>
      </c>
      <c r="L240" s="140">
        <v>0.0</v>
      </c>
      <c r="M240" s="140">
        <v>0.0</v>
      </c>
      <c r="N240" s="140">
        <v>0.0</v>
      </c>
      <c r="O240" s="140">
        <v>0.0</v>
      </c>
      <c r="P240" s="140">
        <v>0.0</v>
      </c>
      <c r="Q240" s="140">
        <v>0.0</v>
      </c>
      <c r="R240" s="141">
        <f>D240
*E240
*(1+MEDIAN(0,1,(P$227+L240))*(P$228+M240))
*(1+VLOOKUP(CONCATENATE(F240," DMG%"),Q$213:R$219,2,false)+IF(G240="",0,VLOOKUP(G240,Q$220:R$224,2,false))+R$225+N240)
*IF((VLOOKUP(F240,A$57:B$63,2,false)+O240)&lt;0,1-(VLOOKUP(F240,A$57:B$63,2,false)+O240)/2,1-(VLOOKUP(F240,A$57:B$63,2,false)+O240))
*((B$216+100)/((1+P240)*(1+Q240)*(B$56+100)+B$216+100))</f>
        <v>1117.967245</v>
      </c>
      <c r="S240" s="142">
        <v>0.0</v>
      </c>
      <c r="T240" s="137">
        <v>1.5</v>
      </c>
      <c r="U240" s="143">
        <f t="shared" si="53"/>
        <v>1117.967245</v>
      </c>
      <c r="V240" s="137">
        <v>0.0</v>
      </c>
      <c r="W240" s="144">
        <f t="shared" si="54"/>
        <v>0</v>
      </c>
    </row>
    <row r="241">
      <c r="A241" s="50" t="s">
        <v>223</v>
      </c>
      <c r="B241" s="126" t="s">
        <v>224</v>
      </c>
      <c r="C241" s="127">
        <v>1.0</v>
      </c>
      <c r="D241" s="128">
        <f>VLOOKUP(B241,WeaponDamageProcs,2,false)
+(E$214-1)*VLOOKUP(B241,WeaponDamageProcs,3,false)
*C241</f>
        <v>3.2</v>
      </c>
      <c r="E241" s="129" t="str">
        <f>VLOOKUP(B241,WeaponDamageProcs,4,false)</f>
        <v>ATK</v>
      </c>
      <c r="F241" s="126" t="s">
        <v>83</v>
      </c>
      <c r="G241" s="129" t="str">
        <f>VLOOKUP(B241,WeaponDamageProcs,5,false)</f>
        <v/>
      </c>
      <c r="H241" s="88">
        <v>0.0</v>
      </c>
      <c r="I241" s="130">
        <v>0.0</v>
      </c>
      <c r="J241" s="130">
        <v>0.0</v>
      </c>
      <c r="K241" s="88">
        <v>0.0</v>
      </c>
      <c r="L241" s="88">
        <v>0.0</v>
      </c>
      <c r="M241" s="88">
        <v>0.0</v>
      </c>
      <c r="N241" s="88">
        <v>0.0</v>
      </c>
      <c r="O241" s="88">
        <v>0.0</v>
      </c>
      <c r="P241" s="88">
        <v>0.0</v>
      </c>
      <c r="Q241" s="88">
        <v>0.0</v>
      </c>
      <c r="R241" s="90">
        <f>D241
*(IFS(E241="ATK",(P$218*(1+P$219+H241)+P$220+I241),E241="DEF",(P$222*(1+P$223+H241)+P$224+I241),E241="HP",(P$214*(1+P$215+H241)+P$216+I241),TRUE,1)
*(1+MEDIAN(0,1,(P$227+L241))*(P$228+M241))
*(1+VLOOKUP(CONCATENATE(F241," DMG%"),Q$213:R$219,2,false)+IF(G241="",0,VLOOKUP(G241,Q$220:R$224,2,false))+R$225+N241)
*IF((VLOOKUP(F241,A$57:B$63,2,false)+O241)&lt;0,1-(VLOOKUP(F241,A$57:B$63,2,false)+O241)/2,1-(VLOOKUP(F241,A$57:B$63,2,false)+O241))
*((B$216+100)/((1+P241)*(1+Q241)*(B$56+100)+B$216+100)))</f>
        <v>4689.162081</v>
      </c>
      <c r="S241" s="131">
        <v>0.0</v>
      </c>
      <c r="T241" s="126">
        <v>1.5</v>
      </c>
      <c r="U241" s="132">
        <f t="shared" si="53"/>
        <v>4689.162081</v>
      </c>
      <c r="V241" s="126">
        <v>0.0</v>
      </c>
      <c r="W241" s="133">
        <f t="shared" si="54"/>
        <v>0</v>
      </c>
    </row>
    <row r="242">
      <c r="A242" s="163" t="s">
        <v>225</v>
      </c>
      <c r="B242" s="164" t="str">
        <f>IFS($H$217="4clam","Healing",true,"")</f>
        <v/>
      </c>
      <c r="C242" s="165"/>
      <c r="D242" s="166" t="str">
        <f>IFS($H$217="4echoes",70%,true,"")</f>
        <v/>
      </c>
      <c r="E242" s="164"/>
      <c r="F242" s="167" t="s">
        <v>83</v>
      </c>
      <c r="G242" s="164" t="str">
        <f>IFS($H$217="4echoes","NA DMG%",true,"")</f>
        <v/>
      </c>
      <c r="H242" s="168">
        <v>0.0</v>
      </c>
      <c r="I242" s="169">
        <v>0.0</v>
      </c>
      <c r="J242" s="169">
        <v>0.0</v>
      </c>
      <c r="K242" s="168">
        <v>0.0</v>
      </c>
      <c r="L242" s="168">
        <v>0.0</v>
      </c>
      <c r="M242" s="168">
        <v>0.0</v>
      </c>
      <c r="N242" s="168">
        <v>0.0</v>
      </c>
      <c r="O242" s="168">
        <v>0.0</v>
      </c>
      <c r="P242" s="168">
        <v>0.0</v>
      </c>
      <c r="Q242" s="168">
        <v>0.0</v>
      </c>
      <c r="R242" s="170">
        <f>IFS(H$217="4echoes",
(D242
*(P$218*(1+P$219+H242)+P$220+I242)
*(1+MEDIAN(0,1,(P$227+L242))*(P$228+M242))
*(1+VLOOKUP(CONCATENATE(F242," DMG%"),Q$213:R$219,2,false)+IF(G242="",0,VLOOKUP(G242,Q$220:R$224,2,false))+R$225+N242)
*IF((VLOOKUP(F242,A$57:B$63,2,false)+O242)&lt;0,1-(VLOOKUP(F242,A$57:B$63,2,false)+O242)/2,1-(VLOOKUP(F242,A$57:B$63,2,false)+O242))
*((B$216+100)/((1+P242)*(1+Q242)*(B$56+100)+B$216+100))),
H$217="4clam",
0.9
*IFS(ISBLANK(C242),0,true,MIN(30000,C242))
*IF((VLOOKUP(F242,A$57:B$63,2,false)+O242)&lt;0,1-(VLOOKUP(F242,A$57:B$63,2,false)+O242)/2,1-(VLOOKUP(F242,A$57:B$63,2,false)+O242)),
true,0)</f>
        <v>0</v>
      </c>
      <c r="S242" s="171">
        <v>0.0</v>
      </c>
      <c r="T242" s="172">
        <v>1.5</v>
      </c>
      <c r="U242" s="170">
        <f>IFS($H$217="4echoes",
((1-S242)*R242
+S242*R242
*T242
*(1+(2.78*(P$226+J242)/(P$226+J242+1400))+K242)),
$H$217="4clam",R242,true,0)</f>
        <v>0</v>
      </c>
      <c r="V242" s="172">
        <v>0.0</v>
      </c>
      <c r="W242" s="173">
        <f t="shared" si="54"/>
        <v>0</v>
      </c>
    </row>
    <row r="243">
      <c r="A243" s="50" t="s">
        <v>226</v>
      </c>
      <c r="B243" s="126" t="s">
        <v>300</v>
      </c>
      <c r="E243" s="5"/>
      <c r="F243" s="126" t="s">
        <v>86</v>
      </c>
      <c r="J243" s="130">
        <v>0.0</v>
      </c>
      <c r="K243" s="88">
        <v>0.0</v>
      </c>
      <c r="O243" s="88">
        <v>0.0</v>
      </c>
      <c r="Q243" s="16"/>
      <c r="R243" s="90">
        <f>IFS(B243="Superconduct",0.5,B243="Swirl",0.6,B243="Electrocharge",1.2,B243="Shatter",1.5,B243="Overload",2)
*VLOOKUP(B$216,TransformativeBases,2,false)
*(1+(16*(P$226+J243)/(P$226+J243+2000))+K243+IFS(AND(B243="Swirl",H$217="4VV"),0.6,AND(OR(B243="Superconduct",B243="Electrocharge",B243="Overload"),H$217="4TF"),0.4,AND(B243="Overload",H$217="4CW"),0.4,true,0))
*IF((VLOOKUP(F243,A$57:B$63,2,false)+O243)&lt;0,1-(VLOOKUP(F243,A$57:B$63,2,false)+O243)/2,1-(VLOOKUP(F243,A$57:B$63,2,false)+O243))</f>
        <v>2048.569321</v>
      </c>
      <c r="S243" s="131">
        <v>0.0</v>
      </c>
      <c r="T243" s="126">
        <v>1.5</v>
      </c>
      <c r="U243" s="132">
        <f>((1-S243)*R243
+S243*R243
*T243
*(1+(2.78*(P$226+J243)/(P$226+J243+1400))+K243+IF(H$217="4CW",0.15,0)))</f>
        <v>2048.569321</v>
      </c>
      <c r="V243" s="126">
        <v>0.0</v>
      </c>
      <c r="W243" s="133">
        <f t="shared" si="54"/>
        <v>0</v>
      </c>
    </row>
    <row r="244">
      <c r="A244" s="50" t="s">
        <v>231</v>
      </c>
      <c r="E244" s="5"/>
      <c r="F244" s="126" t="s">
        <v>86</v>
      </c>
      <c r="J244" s="130">
        <v>0.0</v>
      </c>
      <c r="K244" s="103"/>
      <c r="N244" s="148" t="s">
        <v>232</v>
      </c>
      <c r="O244" s="88">
        <v>0.0</v>
      </c>
      <c r="Q244" s="16"/>
      <c r="R244" s="38" t="s">
        <v>233</v>
      </c>
      <c r="S244" s="126" t="s">
        <v>83</v>
      </c>
      <c r="U244" s="132">
        <f>VLOOKUP(B$216,TransformativeBases,3,false)
*(1+4.44*(P$226+J244)/(P$226+J244+1400))
*(1+O244)
*IFS(F244="Geo",1.5,F244=S244,2.5,TRUE,1)</f>
        <v>2077.291963</v>
      </c>
      <c r="V244" s="126">
        <v>0.0</v>
      </c>
      <c r="W244" s="133">
        <f t="shared" si="54"/>
        <v>0</v>
      </c>
    </row>
    <row r="245">
      <c r="A245" s="50" t="s">
        <v>234</v>
      </c>
      <c r="B245" s="126" t="s">
        <v>176</v>
      </c>
      <c r="C245" s="127">
        <v>1.0</v>
      </c>
      <c r="D245" s="128">
        <f t="shared" ref="D245:D246" si="55">HLOOKUP(B245,A$232:AU$233,2,false)
*C245</f>
        <v>0.8183835</v>
      </c>
      <c r="E245" s="129" t="str">
        <f t="array" ref="E245">INDEX(CharMVsBase,MATCH(B$213,CharMVsCharNames,0)+3,MATCH(B245,B$232:AU$232,0)+1)</f>
        <v>ATK</v>
      </c>
      <c r="F245" s="126" t="s">
        <v>86</v>
      </c>
      <c r="H245" s="88">
        <v>0.0</v>
      </c>
      <c r="I245" s="130">
        <v>0.0</v>
      </c>
      <c r="J245" s="5"/>
      <c r="L245" s="103"/>
      <c r="N245" s="148" t="s">
        <v>232</v>
      </c>
      <c r="O245" s="88">
        <v>0.0</v>
      </c>
      <c r="Q245" s="38"/>
      <c r="R245" s="38" t="s">
        <v>233</v>
      </c>
      <c r="S245" s="126" t="s">
        <v>83</v>
      </c>
      <c r="U245" s="132">
        <f>D245
*(IFS(E245="ATK",(P$218*(1+P$219+H245)+P$220+I245),E245="DEF",(P$222*(1+P$223+H245)+P$224+I245),E245="HP",(P$214*(1+P$215+H245)+P$216+I245),TRUE,1))
*(1+O245)
*IFS(F245="Geo",1.5,F245=S245,2.5,TRUE,1)</f>
        <v>1072.687084</v>
      </c>
      <c r="V245" s="126">
        <v>0.0</v>
      </c>
      <c r="W245" s="133">
        <f t="shared" si="54"/>
        <v>0</v>
      </c>
    </row>
    <row r="246">
      <c r="A246" s="50" t="s">
        <v>235</v>
      </c>
      <c r="B246" s="126" t="s">
        <v>176</v>
      </c>
      <c r="C246" s="127">
        <v>1.0</v>
      </c>
      <c r="D246" s="128">
        <f t="shared" si="55"/>
        <v>0.8183835</v>
      </c>
      <c r="E246" s="129" t="str">
        <f t="array" ref="E246">INDEX(CharMVsBase,MATCH(B$213,CharMVsCharNames,0)+3,MATCH(B246,B$232:AU$232,0)+1)</f>
        <v>ATK</v>
      </c>
      <c r="F246" s="5"/>
      <c r="H246" s="88">
        <v>0.0</v>
      </c>
      <c r="I246" s="130">
        <v>0.0</v>
      </c>
      <c r="J246" s="5"/>
      <c r="K246" s="5" t="s">
        <v>236</v>
      </c>
      <c r="L246" s="88">
        <v>0.0</v>
      </c>
      <c r="N246" s="5" t="s">
        <v>237</v>
      </c>
      <c r="O246" s="88">
        <v>0.0</v>
      </c>
      <c r="Q246" s="38"/>
      <c r="R246" s="38" t="s">
        <v>238</v>
      </c>
      <c r="S246" s="126" t="b">
        <v>0</v>
      </c>
      <c r="U246" s="132">
        <f>D246
*(IFS(E246="ATK",(P$218*(1+P$219+H246)+P$220+I246),E246="DEF",(P$222*(1+P$223+H246)+P$224+I246),E246="HP",(P$214*(1+P$215+H246)+P$216+I246),E246="EM",P$226,TRUE,1))
*(1+P$230+L246+O246)</f>
        <v>1072.687084</v>
      </c>
      <c r="V246" s="126">
        <v>0.0</v>
      </c>
      <c r="W246" s="133">
        <f t="shared" ref="W246:W247" si="56">U246*V246*IF(S246,4,1)</f>
        <v>0</v>
      </c>
    </row>
    <row r="247">
      <c r="A247" s="149" t="s">
        <v>239</v>
      </c>
      <c r="B247" s="150" t="s">
        <v>224</v>
      </c>
      <c r="C247" s="151">
        <v>1.0</v>
      </c>
      <c r="D247" s="152">
        <f>VLOOKUP(B247,WeaponHealingProcs,2,false)
+(E$214-1)*VLOOKUP(B247,WeaponHealingProcs,3,false)
*C247</f>
        <v>1.6</v>
      </c>
      <c r="E247" s="153" t="str">
        <f>VLOOKUP(B247,WeaponHealingProcs,4,false)</f>
        <v>ATK</v>
      </c>
      <c r="F247" s="42"/>
      <c r="G247" s="47"/>
      <c r="H247" s="154">
        <v>0.0</v>
      </c>
      <c r="I247" s="155">
        <v>0.0</v>
      </c>
      <c r="J247" s="42"/>
      <c r="K247" s="42" t="s">
        <v>236</v>
      </c>
      <c r="L247" s="154">
        <v>0.0</v>
      </c>
      <c r="M247" s="47"/>
      <c r="N247" s="42" t="s">
        <v>237</v>
      </c>
      <c r="O247" s="154">
        <v>0.0</v>
      </c>
      <c r="P247" s="47"/>
      <c r="Q247" s="39"/>
      <c r="R247" s="39" t="s">
        <v>238</v>
      </c>
      <c r="S247" s="150" t="b">
        <v>0</v>
      </c>
      <c r="T247" s="47"/>
      <c r="U247" s="156">
        <f>D247
*(IFS(E247="ATK",(P$218*(1+P$219+H247)+P$220+I247),E247="DEF",(P$222*(1+P$223+H247)+P$224+I247),E247="HP",(P$214*(1+P$215+H247)+P$216+I247),TRUE,1))
*(1+P$230+L247+O247)</f>
        <v>2097.182231</v>
      </c>
      <c r="V247" s="150">
        <v>0.0</v>
      </c>
      <c r="W247" s="157">
        <f t="shared" si="56"/>
        <v>0</v>
      </c>
    </row>
    <row r="248">
      <c r="A248" s="176"/>
      <c r="B248" s="176"/>
      <c r="C248" s="176"/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  <c r="P248" s="176"/>
    </row>
    <row r="249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  <c r="P249" s="176"/>
    </row>
    <row r="250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  <c r="P250" s="176"/>
    </row>
    <row r="251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  <c r="P251" s="176"/>
    </row>
    <row r="252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  <c r="P252" s="176"/>
    </row>
    <row r="253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  <c r="P253" s="176"/>
    </row>
    <row r="255">
      <c r="A255" s="120"/>
      <c r="B255" s="120"/>
      <c r="C255" s="120"/>
      <c r="D255" s="120"/>
    </row>
    <row r="256">
      <c r="A256" s="120"/>
      <c r="B256" s="177"/>
      <c r="C256" s="177"/>
      <c r="D256" s="177"/>
    </row>
    <row r="257">
      <c r="A257" s="120"/>
      <c r="B257" s="177"/>
      <c r="C257" s="177"/>
      <c r="D257" s="177"/>
    </row>
    <row r="258">
      <c r="A258" s="120"/>
      <c r="B258" s="177"/>
      <c r="C258" s="177"/>
      <c r="D258" s="177"/>
    </row>
    <row r="259">
      <c r="A259" s="120"/>
      <c r="B259" s="177"/>
      <c r="C259" s="177"/>
      <c r="D259" s="177"/>
    </row>
    <row r="260">
      <c r="A260" s="120"/>
      <c r="B260" s="177"/>
      <c r="C260" s="177"/>
      <c r="D260" s="177"/>
    </row>
    <row r="261">
      <c r="A261" s="120"/>
      <c r="B261" s="177"/>
      <c r="C261" s="177"/>
      <c r="D261" s="177"/>
    </row>
    <row r="262">
      <c r="A262" s="120"/>
      <c r="B262" s="177"/>
      <c r="C262" s="177"/>
      <c r="D262" s="177"/>
    </row>
    <row r="263">
      <c r="A263" s="120"/>
      <c r="B263" s="177"/>
      <c r="C263" s="177"/>
      <c r="D263" s="177"/>
    </row>
    <row r="264">
      <c r="A264" s="120"/>
      <c r="B264" s="177"/>
      <c r="C264" s="177"/>
      <c r="D264" s="177"/>
    </row>
    <row r="265">
      <c r="A265" s="120"/>
      <c r="B265" s="177"/>
      <c r="C265" s="177"/>
      <c r="D265" s="177"/>
    </row>
    <row r="266">
      <c r="A266" s="120"/>
      <c r="B266" s="177"/>
      <c r="C266" s="177"/>
      <c r="D266" s="177"/>
    </row>
    <row r="267">
      <c r="A267" s="120"/>
      <c r="B267" s="177"/>
      <c r="C267" s="177"/>
      <c r="D267" s="177"/>
    </row>
    <row r="268">
      <c r="A268" s="120"/>
      <c r="B268" s="177"/>
      <c r="C268" s="177"/>
      <c r="D268" s="177"/>
    </row>
    <row r="269">
      <c r="A269" s="120"/>
      <c r="B269" s="177"/>
      <c r="C269" s="177"/>
      <c r="D269" s="177"/>
    </row>
    <row r="270">
      <c r="A270" s="120"/>
      <c r="B270" s="177"/>
      <c r="C270" s="177"/>
      <c r="D270" s="177"/>
    </row>
    <row r="271">
      <c r="A271" s="120"/>
      <c r="B271" s="177"/>
      <c r="C271" s="177"/>
      <c r="D271" s="177"/>
    </row>
    <row r="272">
      <c r="A272" s="120"/>
      <c r="B272" s="177"/>
      <c r="C272" s="177"/>
      <c r="D272" s="177"/>
    </row>
    <row r="273">
      <c r="A273" s="120"/>
      <c r="B273" s="177"/>
      <c r="C273" s="177"/>
      <c r="D273" s="177"/>
    </row>
    <row r="274">
      <c r="A274" s="120"/>
      <c r="B274" s="177"/>
      <c r="C274" s="177"/>
      <c r="D274" s="177"/>
    </row>
    <row r="275">
      <c r="A275" s="120"/>
      <c r="B275" s="177"/>
      <c r="C275" s="177"/>
      <c r="D275" s="177"/>
    </row>
    <row r="276">
      <c r="A276" s="120"/>
      <c r="B276" s="177"/>
      <c r="C276" s="177"/>
      <c r="D276" s="177"/>
    </row>
    <row r="277">
      <c r="A277" s="120"/>
      <c r="B277" s="177"/>
      <c r="C277" s="177"/>
      <c r="D277" s="177"/>
    </row>
    <row r="278">
      <c r="A278" s="120"/>
      <c r="B278" s="177"/>
      <c r="C278" s="177"/>
      <c r="D278" s="177"/>
    </row>
    <row r="279">
      <c r="A279" s="120"/>
      <c r="B279" s="177"/>
      <c r="C279" s="177"/>
      <c r="D279" s="177"/>
    </row>
    <row r="280">
      <c r="A280" s="120"/>
      <c r="B280" s="177"/>
      <c r="C280" s="177"/>
      <c r="D280" s="177"/>
    </row>
    <row r="281">
      <c r="A281" s="120"/>
      <c r="B281" s="177"/>
      <c r="C281" s="177"/>
      <c r="D281" s="177"/>
    </row>
    <row r="282">
      <c r="A282" s="120"/>
      <c r="B282" s="177"/>
      <c r="C282" s="177"/>
      <c r="D282" s="177"/>
    </row>
    <row r="283">
      <c r="A283" s="120"/>
      <c r="B283" s="177"/>
      <c r="C283" s="177"/>
      <c r="D283" s="177"/>
    </row>
    <row r="284">
      <c r="A284" s="120"/>
      <c r="B284" s="177"/>
      <c r="C284" s="177"/>
      <c r="D284" s="177"/>
    </row>
    <row r="285">
      <c r="A285" s="120"/>
      <c r="B285" s="177"/>
      <c r="C285" s="177"/>
      <c r="D285" s="177"/>
    </row>
    <row r="286">
      <c r="A286" s="120"/>
      <c r="B286" s="177"/>
      <c r="C286" s="177"/>
      <c r="D286" s="177"/>
    </row>
    <row r="287">
      <c r="A287" s="120"/>
      <c r="B287" s="177"/>
      <c r="C287" s="177"/>
      <c r="D287" s="177"/>
    </row>
    <row r="288">
      <c r="A288" s="120"/>
      <c r="B288" s="177"/>
      <c r="C288" s="177"/>
      <c r="D288" s="177"/>
    </row>
    <row r="289">
      <c r="A289" s="120"/>
      <c r="B289" s="177"/>
      <c r="C289" s="177"/>
      <c r="D289" s="177"/>
    </row>
    <row r="290">
      <c r="A290" s="120"/>
      <c r="B290" s="177"/>
      <c r="C290" s="177"/>
      <c r="D290" s="177"/>
    </row>
    <row r="291">
      <c r="A291" s="120"/>
      <c r="B291" s="177"/>
      <c r="C291" s="177"/>
      <c r="D291" s="177"/>
    </row>
    <row r="292">
      <c r="A292" s="120"/>
      <c r="B292" s="177"/>
      <c r="C292" s="177"/>
      <c r="D292" s="177"/>
    </row>
    <row r="293">
      <c r="A293" s="120"/>
      <c r="B293" s="177"/>
      <c r="C293" s="177"/>
      <c r="D293" s="177"/>
    </row>
    <row r="294">
      <c r="A294" s="120"/>
      <c r="B294" s="177"/>
      <c r="C294" s="177"/>
      <c r="D294" s="177"/>
    </row>
    <row r="295">
      <c r="A295" s="120"/>
      <c r="B295" s="177"/>
      <c r="C295" s="177"/>
      <c r="D295" s="177"/>
    </row>
    <row r="296">
      <c r="A296" s="120"/>
      <c r="B296" s="177"/>
      <c r="C296" s="177"/>
      <c r="D296" s="177"/>
    </row>
    <row r="297">
      <c r="A297" s="120"/>
      <c r="B297" s="177"/>
      <c r="C297" s="177"/>
      <c r="D297" s="177"/>
    </row>
    <row r="299">
      <c r="A299" s="120"/>
      <c r="B299" s="178"/>
      <c r="C299" s="178"/>
      <c r="F299" s="179"/>
      <c r="G299" s="179"/>
      <c r="H299" s="179"/>
      <c r="I299" s="179"/>
      <c r="J299" s="179"/>
      <c r="K299" s="179"/>
      <c r="L299" s="179"/>
      <c r="M299" s="179"/>
    </row>
    <row r="300">
      <c r="A300" s="177"/>
      <c r="B300" s="177"/>
      <c r="C300" s="177"/>
      <c r="D300" s="179"/>
      <c r="F300" s="179"/>
      <c r="G300" s="179"/>
      <c r="H300" s="179"/>
      <c r="I300" s="179"/>
      <c r="J300" s="179"/>
      <c r="K300" s="179"/>
      <c r="L300" s="179"/>
      <c r="M300" s="179"/>
    </row>
    <row r="301">
      <c r="A301" s="177"/>
      <c r="B301" s="177"/>
      <c r="C301" s="177"/>
      <c r="D301" s="179"/>
      <c r="F301" s="179"/>
      <c r="G301" s="179"/>
      <c r="H301" s="179"/>
      <c r="I301" s="179"/>
      <c r="J301" s="179"/>
      <c r="K301" s="179"/>
      <c r="L301" s="179"/>
      <c r="M301" s="179"/>
    </row>
    <row r="302">
      <c r="A302" s="177"/>
      <c r="B302" s="177"/>
      <c r="C302" s="177"/>
      <c r="D302" s="179"/>
      <c r="F302" s="179"/>
      <c r="G302" s="179"/>
      <c r="H302" s="179"/>
      <c r="I302" s="179"/>
      <c r="J302" s="179"/>
      <c r="K302" s="179"/>
      <c r="L302" s="179"/>
      <c r="M302" s="179"/>
    </row>
    <row r="303">
      <c r="A303" s="177"/>
      <c r="B303" s="177"/>
      <c r="C303" s="177"/>
      <c r="D303" s="179"/>
      <c r="F303" s="179"/>
      <c r="G303" s="179"/>
      <c r="H303" s="179"/>
      <c r="I303" s="179"/>
      <c r="J303" s="179"/>
      <c r="K303" s="179"/>
      <c r="L303" s="179"/>
      <c r="M303" s="179"/>
    </row>
    <row r="304">
      <c r="A304" s="177"/>
      <c r="B304" s="177"/>
      <c r="C304" s="177"/>
      <c r="D304" s="179"/>
      <c r="F304" s="179"/>
      <c r="G304" s="179"/>
      <c r="H304" s="179"/>
      <c r="I304" s="179"/>
      <c r="J304" s="179"/>
      <c r="K304" s="179"/>
      <c r="L304" s="179"/>
      <c r="M304" s="179"/>
    </row>
    <row r="305">
      <c r="A305" s="177"/>
      <c r="B305" s="177"/>
      <c r="C305" s="177"/>
      <c r="D305" s="179"/>
      <c r="F305" s="179"/>
      <c r="G305" s="179"/>
      <c r="H305" s="179"/>
      <c r="I305" s="179"/>
      <c r="J305" s="179"/>
      <c r="K305" s="179"/>
      <c r="L305" s="179"/>
      <c r="M305" s="179"/>
    </row>
    <row r="306">
      <c r="A306" s="177"/>
      <c r="B306" s="177"/>
      <c r="C306" s="177"/>
      <c r="D306" s="179"/>
      <c r="F306" s="179"/>
      <c r="G306" s="179"/>
      <c r="H306" s="179"/>
      <c r="I306" s="179"/>
      <c r="J306" s="179"/>
      <c r="K306" s="179"/>
      <c r="L306" s="179"/>
      <c r="M306" s="179"/>
    </row>
    <row r="307">
      <c r="A307" s="177"/>
      <c r="B307" s="177"/>
      <c r="C307" s="177"/>
      <c r="D307" s="179"/>
      <c r="F307" s="179"/>
      <c r="G307" s="179"/>
      <c r="H307" s="179"/>
      <c r="I307" s="179"/>
      <c r="J307" s="179"/>
      <c r="K307" s="179"/>
      <c r="L307" s="179"/>
      <c r="M307" s="179"/>
    </row>
    <row r="308">
      <c r="A308" s="177"/>
      <c r="B308" s="177"/>
      <c r="C308" s="177"/>
      <c r="D308" s="179"/>
      <c r="F308" s="179"/>
      <c r="G308" s="179"/>
      <c r="H308" s="179"/>
      <c r="I308" s="179"/>
      <c r="J308" s="179"/>
      <c r="K308" s="179"/>
      <c r="L308" s="179"/>
      <c r="M308" s="179"/>
    </row>
    <row r="309">
      <c r="A309" s="177"/>
      <c r="B309" s="177"/>
      <c r="C309" s="177"/>
      <c r="D309" s="179"/>
      <c r="F309" s="179"/>
      <c r="G309" s="179"/>
      <c r="H309" s="179"/>
      <c r="I309" s="179"/>
      <c r="J309" s="179"/>
      <c r="K309" s="179"/>
      <c r="L309" s="179"/>
      <c r="M309" s="179"/>
    </row>
    <row r="310">
      <c r="A310" s="177"/>
      <c r="B310" s="177"/>
      <c r="C310" s="177"/>
      <c r="D310" s="179"/>
      <c r="F310" s="179"/>
      <c r="G310" s="179"/>
      <c r="H310" s="179"/>
      <c r="I310" s="179"/>
      <c r="J310" s="179"/>
      <c r="K310" s="179"/>
      <c r="L310" s="179"/>
      <c r="M310" s="179"/>
    </row>
    <row r="311">
      <c r="A311" s="177"/>
      <c r="B311" s="177"/>
      <c r="C311" s="177"/>
      <c r="D311" s="179"/>
      <c r="F311" s="179"/>
      <c r="G311" s="179"/>
      <c r="H311" s="179"/>
      <c r="I311" s="179"/>
      <c r="J311" s="179"/>
      <c r="K311" s="179"/>
      <c r="L311" s="179"/>
      <c r="M311" s="179"/>
    </row>
    <row r="312">
      <c r="A312" s="177"/>
      <c r="B312" s="177"/>
      <c r="C312" s="177"/>
      <c r="D312" s="179"/>
      <c r="F312" s="179"/>
      <c r="G312" s="179"/>
      <c r="H312" s="179"/>
      <c r="I312" s="179"/>
      <c r="J312" s="179"/>
      <c r="K312" s="179"/>
      <c r="L312" s="179"/>
      <c r="M312" s="179"/>
    </row>
    <row r="313">
      <c r="A313" s="177"/>
      <c r="B313" s="177"/>
      <c r="C313" s="177"/>
      <c r="D313" s="179"/>
      <c r="F313" s="179"/>
      <c r="G313" s="179"/>
      <c r="H313" s="179"/>
      <c r="I313" s="179"/>
      <c r="J313" s="179"/>
      <c r="K313" s="179"/>
      <c r="L313" s="179"/>
      <c r="M313" s="179"/>
    </row>
    <row r="314">
      <c r="A314" s="177"/>
      <c r="B314" s="177"/>
      <c r="C314" s="177"/>
      <c r="D314" s="179"/>
      <c r="F314" s="179"/>
      <c r="G314" s="179"/>
      <c r="H314" s="179"/>
      <c r="I314" s="179"/>
      <c r="J314" s="179"/>
      <c r="K314" s="179"/>
      <c r="L314" s="179"/>
      <c r="M314" s="179"/>
    </row>
    <row r="315">
      <c r="A315" s="177"/>
      <c r="B315" s="177"/>
      <c r="C315" s="177"/>
      <c r="D315" s="179"/>
      <c r="F315" s="179"/>
      <c r="G315" s="179"/>
      <c r="H315" s="179"/>
      <c r="I315" s="179"/>
      <c r="J315" s="179"/>
      <c r="K315" s="179"/>
      <c r="L315" s="179"/>
      <c r="M315" s="179"/>
    </row>
    <row r="316">
      <c r="A316" s="177"/>
      <c r="B316" s="177"/>
      <c r="C316" s="177"/>
      <c r="D316" s="179"/>
      <c r="F316" s="179"/>
      <c r="G316" s="179"/>
      <c r="H316" s="179"/>
      <c r="I316" s="179"/>
      <c r="J316" s="179"/>
      <c r="K316" s="179"/>
      <c r="L316" s="179"/>
      <c r="M316" s="179"/>
    </row>
    <row r="317">
      <c r="A317" s="177"/>
      <c r="B317" s="177"/>
      <c r="C317" s="177"/>
      <c r="D317" s="179"/>
      <c r="F317" s="179"/>
      <c r="G317" s="179"/>
      <c r="H317" s="179"/>
      <c r="I317" s="179"/>
      <c r="J317" s="179"/>
      <c r="K317" s="179"/>
      <c r="L317" s="179"/>
      <c r="M317" s="179"/>
    </row>
    <row r="318">
      <c r="A318" s="177"/>
      <c r="B318" s="177"/>
      <c r="C318" s="177"/>
      <c r="D318" s="179"/>
      <c r="F318" s="179"/>
      <c r="G318" s="179"/>
      <c r="H318" s="179"/>
      <c r="I318" s="179"/>
      <c r="J318" s="179"/>
      <c r="K318" s="179"/>
      <c r="L318" s="179"/>
      <c r="M318" s="179"/>
    </row>
    <row r="319">
      <c r="A319" s="177"/>
      <c r="B319" s="177"/>
      <c r="C319" s="177"/>
      <c r="D319" s="179"/>
      <c r="F319" s="179"/>
      <c r="G319" s="179"/>
      <c r="H319" s="179"/>
      <c r="I319" s="179"/>
      <c r="J319" s="179"/>
      <c r="K319" s="179"/>
      <c r="L319" s="179"/>
      <c r="M319" s="179"/>
    </row>
    <row r="320">
      <c r="A320" s="177"/>
      <c r="B320" s="177"/>
      <c r="C320" s="177"/>
      <c r="D320" s="179"/>
      <c r="F320" s="179"/>
      <c r="G320" s="179"/>
      <c r="H320" s="179"/>
      <c r="I320" s="179"/>
      <c r="J320" s="179"/>
      <c r="K320" s="179"/>
      <c r="L320" s="179"/>
      <c r="M320" s="179"/>
    </row>
    <row r="321">
      <c r="A321" s="177"/>
      <c r="B321" s="177"/>
      <c r="C321" s="177"/>
      <c r="D321" s="179"/>
      <c r="F321" s="179"/>
      <c r="G321" s="179"/>
      <c r="H321" s="179"/>
      <c r="I321" s="179"/>
      <c r="J321" s="179"/>
      <c r="K321" s="179"/>
      <c r="L321" s="179"/>
      <c r="M321" s="179"/>
    </row>
    <row r="322">
      <c r="A322" s="177"/>
      <c r="B322" s="177"/>
      <c r="C322" s="177"/>
      <c r="D322" s="179"/>
      <c r="F322" s="179"/>
      <c r="G322" s="179"/>
      <c r="H322" s="179"/>
      <c r="I322" s="179"/>
      <c r="J322" s="179"/>
      <c r="K322" s="179"/>
      <c r="L322" s="179"/>
      <c r="M322" s="179"/>
    </row>
    <row r="323">
      <c r="A323" s="177"/>
      <c r="B323" s="177"/>
      <c r="C323" s="177"/>
      <c r="D323" s="179"/>
      <c r="F323" s="179"/>
      <c r="G323" s="179"/>
      <c r="H323" s="179"/>
      <c r="I323" s="179"/>
      <c r="J323" s="179"/>
      <c r="K323" s="179"/>
      <c r="L323" s="179"/>
      <c r="M323" s="179"/>
    </row>
    <row r="324">
      <c r="A324" s="177"/>
      <c r="B324" s="177"/>
      <c r="C324" s="177"/>
      <c r="D324" s="179"/>
    </row>
    <row r="325">
      <c r="A325" s="177"/>
      <c r="B325" s="177"/>
      <c r="C325" s="177"/>
      <c r="D325" s="179"/>
    </row>
    <row r="326">
      <c r="A326" s="177"/>
      <c r="B326" s="177"/>
      <c r="C326" s="177"/>
      <c r="D326" s="179"/>
    </row>
    <row r="327">
      <c r="A327" s="177"/>
      <c r="B327" s="177"/>
      <c r="C327" s="177"/>
      <c r="D327" s="179"/>
    </row>
    <row r="328">
      <c r="A328" s="177"/>
      <c r="B328" s="177"/>
      <c r="C328" s="177"/>
      <c r="D328" s="179"/>
    </row>
    <row r="329">
      <c r="A329" s="177"/>
      <c r="B329" s="177"/>
      <c r="C329" s="177"/>
      <c r="D329" s="179"/>
    </row>
    <row r="330">
      <c r="A330" s="177"/>
      <c r="B330" s="177"/>
      <c r="C330" s="177"/>
      <c r="D330" s="179"/>
    </row>
    <row r="331">
      <c r="A331" s="177"/>
      <c r="B331" s="177"/>
      <c r="C331" s="177"/>
      <c r="D331" s="179"/>
    </row>
    <row r="332">
      <c r="A332" s="177"/>
      <c r="B332" s="177"/>
      <c r="C332" s="177"/>
      <c r="D332" s="179"/>
    </row>
    <row r="333">
      <c r="A333" s="177"/>
      <c r="B333" s="177"/>
      <c r="C333" s="177"/>
      <c r="D333" s="179"/>
    </row>
    <row r="334">
      <c r="A334" s="177"/>
      <c r="B334" s="177"/>
      <c r="C334" s="177"/>
      <c r="D334" s="179"/>
    </row>
    <row r="335">
      <c r="A335" s="177"/>
      <c r="B335" s="177"/>
      <c r="C335" s="177"/>
      <c r="D335" s="179"/>
    </row>
    <row r="336">
      <c r="A336" s="177"/>
      <c r="B336" s="177"/>
      <c r="C336" s="177"/>
      <c r="D336" s="179"/>
    </row>
    <row r="337">
      <c r="A337" s="177"/>
      <c r="B337" s="177"/>
      <c r="C337" s="177"/>
      <c r="D337" s="179"/>
    </row>
    <row r="338">
      <c r="A338" s="177"/>
      <c r="B338" s="177"/>
      <c r="C338" s="177"/>
      <c r="D338" s="179"/>
    </row>
    <row r="339">
      <c r="A339" s="177"/>
      <c r="B339" s="177"/>
      <c r="C339" s="177"/>
      <c r="D339" s="179"/>
    </row>
    <row r="340">
      <c r="A340" s="177"/>
      <c r="B340" s="177"/>
      <c r="C340" s="177"/>
      <c r="D340" s="179"/>
    </row>
    <row r="341">
      <c r="A341" s="177"/>
      <c r="B341" s="177"/>
      <c r="C341" s="177"/>
      <c r="D341" s="179"/>
    </row>
    <row r="342">
      <c r="A342" s="177"/>
      <c r="B342" s="177"/>
      <c r="C342" s="177"/>
      <c r="D342" s="179"/>
    </row>
    <row r="343">
      <c r="A343" s="177"/>
      <c r="B343" s="177"/>
      <c r="C343" s="177"/>
      <c r="D343" s="179"/>
    </row>
    <row r="344">
      <c r="A344" s="177"/>
      <c r="B344" s="177"/>
      <c r="C344" s="177"/>
      <c r="D344" s="179"/>
    </row>
    <row r="345">
      <c r="A345" s="177"/>
      <c r="B345" s="177"/>
      <c r="C345" s="177"/>
      <c r="D345" s="179"/>
    </row>
    <row r="346">
      <c r="A346" s="177"/>
      <c r="B346" s="177"/>
      <c r="C346" s="177"/>
      <c r="D346" s="179"/>
    </row>
    <row r="347">
      <c r="A347" s="177"/>
      <c r="B347" s="177"/>
      <c r="C347" s="177"/>
      <c r="D347" s="179"/>
    </row>
    <row r="348">
      <c r="A348" s="177"/>
      <c r="B348" s="177"/>
      <c r="C348" s="177"/>
      <c r="D348" s="179"/>
    </row>
    <row r="349">
      <c r="A349" s="177"/>
      <c r="B349" s="177"/>
      <c r="C349" s="177"/>
      <c r="D349" s="179"/>
    </row>
    <row r="350">
      <c r="A350" s="177"/>
      <c r="B350" s="177"/>
      <c r="C350" s="177"/>
      <c r="D350" s="179"/>
    </row>
    <row r="351">
      <c r="A351" s="177"/>
      <c r="B351" s="177"/>
      <c r="C351" s="177"/>
      <c r="D351" s="179"/>
    </row>
    <row r="352">
      <c r="A352" s="177"/>
      <c r="B352" s="177"/>
      <c r="C352" s="177"/>
      <c r="D352" s="179"/>
    </row>
    <row r="353">
      <c r="A353" s="177"/>
      <c r="B353" s="177"/>
      <c r="C353" s="177"/>
      <c r="D353" s="179"/>
    </row>
    <row r="354">
      <c r="A354" s="177"/>
      <c r="B354" s="177"/>
      <c r="C354" s="177"/>
      <c r="D354" s="179"/>
    </row>
    <row r="355">
      <c r="A355" s="177"/>
      <c r="B355" s="177"/>
      <c r="C355" s="177"/>
      <c r="D355" s="179"/>
    </row>
    <row r="356">
      <c r="A356" s="177"/>
      <c r="B356" s="177"/>
      <c r="C356" s="177"/>
      <c r="D356" s="179"/>
    </row>
    <row r="357">
      <c r="A357" s="177"/>
      <c r="B357" s="177"/>
      <c r="C357" s="177"/>
      <c r="D357" s="179"/>
    </row>
    <row r="358">
      <c r="A358" s="177"/>
      <c r="B358" s="177"/>
      <c r="C358" s="177"/>
      <c r="D358" s="179"/>
    </row>
    <row r="359">
      <c r="A359" s="177"/>
      <c r="B359" s="177"/>
      <c r="C359" s="177"/>
      <c r="D359" s="179"/>
    </row>
    <row r="360">
      <c r="A360" s="177"/>
      <c r="B360" s="177"/>
      <c r="C360" s="177"/>
      <c r="D360" s="179"/>
    </row>
    <row r="361">
      <c r="A361" s="177"/>
      <c r="B361" s="177"/>
      <c r="C361" s="177"/>
      <c r="D361" s="179"/>
    </row>
    <row r="362">
      <c r="A362" s="177"/>
      <c r="B362" s="177"/>
      <c r="C362" s="177"/>
      <c r="D362" s="179"/>
    </row>
    <row r="363">
      <c r="A363" s="177"/>
      <c r="B363" s="177"/>
      <c r="C363" s="177"/>
      <c r="D363" s="179"/>
    </row>
    <row r="364">
      <c r="A364" s="177"/>
      <c r="B364" s="177"/>
      <c r="C364" s="177"/>
      <c r="D364" s="179"/>
    </row>
    <row r="365">
      <c r="A365" s="177"/>
      <c r="B365" s="177"/>
      <c r="C365" s="177"/>
      <c r="D365" s="179"/>
    </row>
    <row r="366">
      <c r="A366" s="177"/>
      <c r="B366" s="177"/>
      <c r="C366" s="177"/>
      <c r="D366" s="179"/>
    </row>
    <row r="367">
      <c r="A367" s="177"/>
      <c r="B367" s="177"/>
      <c r="C367" s="177"/>
      <c r="D367" s="179"/>
    </row>
    <row r="368">
      <c r="A368" s="177"/>
      <c r="B368" s="177"/>
      <c r="C368" s="177"/>
      <c r="D368" s="179"/>
    </row>
    <row r="369">
      <c r="A369" s="177"/>
      <c r="B369" s="177"/>
      <c r="C369" s="177"/>
      <c r="D369" s="179"/>
    </row>
    <row r="370">
      <c r="A370" s="177"/>
      <c r="B370" s="177"/>
      <c r="C370" s="177"/>
      <c r="D370" s="179"/>
    </row>
    <row r="371">
      <c r="A371" s="177"/>
      <c r="B371" s="177"/>
      <c r="C371" s="177"/>
      <c r="D371" s="179"/>
    </row>
    <row r="372">
      <c r="A372" s="177"/>
      <c r="B372" s="177"/>
      <c r="C372" s="177"/>
      <c r="D372" s="179"/>
    </row>
    <row r="373">
      <c r="A373" s="177"/>
      <c r="B373" s="177"/>
      <c r="C373" s="177"/>
      <c r="D373" s="179"/>
    </row>
    <row r="374">
      <c r="A374" s="177"/>
      <c r="B374" s="177"/>
      <c r="C374" s="177"/>
      <c r="D374" s="179"/>
    </row>
    <row r="375">
      <c r="A375" s="177"/>
      <c r="B375" s="177"/>
      <c r="C375" s="177"/>
      <c r="D375" s="179"/>
    </row>
    <row r="376">
      <c r="A376" s="177"/>
      <c r="B376" s="177"/>
      <c r="C376" s="177"/>
      <c r="D376" s="179"/>
    </row>
    <row r="377">
      <c r="A377" s="177"/>
      <c r="B377" s="177"/>
      <c r="C377" s="177"/>
      <c r="D377" s="179"/>
    </row>
    <row r="378">
      <c r="A378" s="177"/>
      <c r="B378" s="177"/>
      <c r="C378" s="177"/>
      <c r="D378" s="179"/>
    </row>
    <row r="379">
      <c r="A379" s="177"/>
      <c r="B379" s="177"/>
      <c r="C379" s="177"/>
      <c r="D379" s="179"/>
    </row>
    <row r="380">
      <c r="A380" s="177"/>
      <c r="B380" s="177"/>
      <c r="C380" s="177"/>
      <c r="D380" s="179"/>
    </row>
    <row r="381">
      <c r="A381" s="177"/>
      <c r="B381" s="177"/>
      <c r="C381" s="177"/>
      <c r="D381" s="179"/>
    </row>
    <row r="382">
      <c r="A382" s="177"/>
      <c r="B382" s="177"/>
      <c r="C382" s="177"/>
      <c r="D382" s="179"/>
    </row>
    <row r="383">
      <c r="A383" s="177"/>
      <c r="B383" s="177"/>
      <c r="C383" s="177"/>
      <c r="D383" s="179"/>
    </row>
    <row r="384">
      <c r="A384" s="177"/>
      <c r="B384" s="177"/>
      <c r="C384" s="177"/>
      <c r="D384" s="179"/>
    </row>
    <row r="385">
      <c r="A385" s="177"/>
      <c r="B385" s="177"/>
      <c r="C385" s="177"/>
      <c r="D385" s="179"/>
    </row>
    <row r="386">
      <c r="A386" s="177"/>
      <c r="B386" s="177"/>
      <c r="C386" s="177"/>
      <c r="D386" s="179"/>
    </row>
    <row r="387">
      <c r="A387" s="177"/>
      <c r="B387" s="177"/>
      <c r="C387" s="177"/>
      <c r="D387" s="179"/>
    </row>
    <row r="388">
      <c r="A388" s="177"/>
      <c r="B388" s="177"/>
      <c r="C388" s="177"/>
      <c r="D388" s="179"/>
    </row>
    <row r="389">
      <c r="A389" s="177"/>
      <c r="B389" s="177"/>
      <c r="C389" s="177"/>
      <c r="D389" s="179"/>
      <c r="S389" s="120"/>
      <c r="T389" s="120"/>
    </row>
    <row r="390">
      <c r="D390" s="179"/>
    </row>
    <row r="391">
      <c r="A391" s="18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81"/>
      <c r="T391" s="181"/>
      <c r="U391" s="120"/>
      <c r="V391" s="120"/>
      <c r="W391" s="120"/>
      <c r="X391" s="120"/>
      <c r="Y391" s="120"/>
      <c r="Z391" s="120"/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0"/>
      <c r="AS391" s="120"/>
      <c r="AT391" s="120"/>
      <c r="AU391" s="120"/>
    </row>
    <row r="392">
      <c r="A392" s="120"/>
      <c r="B392" s="177"/>
      <c r="C392" s="177"/>
      <c r="D392" s="177"/>
      <c r="E392" s="177"/>
      <c r="I392" s="177"/>
      <c r="S392" s="177"/>
      <c r="T392" s="177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2"/>
      <c r="AT392" s="182"/>
      <c r="AU392" s="182"/>
    </row>
    <row r="393">
      <c r="A393" s="120"/>
      <c r="B393" s="177"/>
      <c r="C393" s="177"/>
      <c r="D393" s="177"/>
      <c r="E393" s="177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77"/>
      <c r="T393" s="177"/>
      <c r="U393" s="181"/>
      <c r="V393" s="181"/>
      <c r="W393" s="181"/>
      <c r="X393" s="181"/>
      <c r="Y393" s="181"/>
      <c r="Z393" s="181"/>
      <c r="AA393" s="181"/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O393" s="181"/>
      <c r="AP393" s="181"/>
      <c r="AQ393" s="181"/>
      <c r="AR393" s="181"/>
      <c r="AS393" s="181"/>
      <c r="AT393" s="181"/>
      <c r="AU393" s="181"/>
    </row>
    <row r="394">
      <c r="A394" s="120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81"/>
      <c r="T394" s="181"/>
      <c r="U394" s="177"/>
      <c r="V394" s="177"/>
      <c r="W394" s="177"/>
      <c r="X394" s="177"/>
      <c r="Y394" s="177"/>
      <c r="Z394" s="177"/>
      <c r="AA394" s="177"/>
      <c r="AB394" s="177"/>
      <c r="AC394" s="177"/>
      <c r="AD394" s="177"/>
      <c r="AE394" s="177"/>
      <c r="AF394" s="177"/>
      <c r="AG394" s="177"/>
      <c r="AH394" s="177"/>
      <c r="AI394" s="177"/>
      <c r="AJ394" s="177"/>
      <c r="AK394" s="177"/>
      <c r="AL394" s="177"/>
      <c r="AM394" s="177"/>
      <c r="AN394" s="177"/>
      <c r="AO394" s="177"/>
      <c r="AP394" s="177"/>
      <c r="AQ394" s="177"/>
      <c r="AR394" s="177"/>
      <c r="AS394" s="177"/>
      <c r="AT394" s="177"/>
      <c r="AU394" s="177"/>
    </row>
    <row r="395">
      <c r="A395" s="120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81"/>
      <c r="T395" s="181"/>
      <c r="U395" s="177"/>
      <c r="V395" s="177"/>
      <c r="W395" s="177"/>
      <c r="X395" s="177"/>
      <c r="Y395" s="177"/>
      <c r="Z395" s="177"/>
      <c r="AA395" s="177"/>
      <c r="AB395" s="177"/>
      <c r="AC395" s="177"/>
      <c r="AD395" s="177"/>
      <c r="AE395" s="177"/>
      <c r="AF395" s="177"/>
      <c r="AG395" s="177"/>
      <c r="AH395" s="177"/>
      <c r="AI395" s="177"/>
      <c r="AJ395" s="177"/>
      <c r="AK395" s="177"/>
      <c r="AL395" s="177"/>
      <c r="AM395" s="177"/>
      <c r="AN395" s="177"/>
      <c r="AO395" s="177"/>
      <c r="AP395" s="177"/>
      <c r="AQ395" s="177"/>
      <c r="AR395" s="177"/>
      <c r="AS395" s="177"/>
      <c r="AT395" s="177"/>
      <c r="AU395" s="177"/>
    </row>
    <row r="396">
      <c r="A396" s="120"/>
      <c r="B396" s="177"/>
      <c r="C396" s="177"/>
      <c r="D396" s="177"/>
      <c r="E396" s="177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  <c r="AA396" s="181"/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O396" s="181"/>
      <c r="AP396" s="181"/>
      <c r="AQ396" s="181"/>
      <c r="AR396" s="181"/>
      <c r="AS396" s="181"/>
      <c r="AT396" s="181"/>
      <c r="AU396" s="181"/>
    </row>
    <row r="397">
      <c r="A397" s="120"/>
      <c r="B397" s="177"/>
      <c r="C397" s="177"/>
      <c r="D397" s="177"/>
      <c r="E397" s="177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  <c r="AA397" s="181"/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O397" s="181"/>
      <c r="AP397" s="181"/>
      <c r="AQ397" s="181"/>
      <c r="AR397" s="181"/>
      <c r="AS397" s="181"/>
      <c r="AT397" s="181"/>
      <c r="AU397" s="181"/>
    </row>
    <row r="398">
      <c r="A398" s="120"/>
      <c r="B398" s="177"/>
      <c r="C398" s="177"/>
      <c r="D398" s="177"/>
      <c r="E398" s="177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  <c r="AA398" s="181"/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O398" s="181"/>
      <c r="AP398" s="181"/>
      <c r="AQ398" s="181"/>
      <c r="AR398" s="181"/>
      <c r="AS398" s="181"/>
      <c r="AT398" s="181"/>
      <c r="AU398" s="181"/>
    </row>
    <row r="399">
      <c r="A399" s="120"/>
      <c r="B399" s="177"/>
      <c r="C399" s="177"/>
      <c r="D399" s="177"/>
      <c r="E399" s="177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  <c r="AA399" s="181"/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O399" s="181"/>
      <c r="AP399" s="181"/>
      <c r="AQ399" s="181"/>
      <c r="AR399" s="181"/>
      <c r="AS399" s="181"/>
      <c r="AT399" s="181"/>
      <c r="AU399" s="181"/>
    </row>
    <row r="400">
      <c r="A400" s="120"/>
      <c r="B400" s="177"/>
      <c r="C400" s="177"/>
      <c r="D400" s="177"/>
      <c r="E400" s="177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  <c r="AA400" s="181"/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O400" s="181"/>
      <c r="AP400" s="181"/>
      <c r="AQ400" s="181"/>
      <c r="AR400" s="181"/>
      <c r="AS400" s="181"/>
      <c r="AT400" s="181"/>
      <c r="AU400" s="181"/>
    </row>
    <row r="401">
      <c r="A401" s="120"/>
      <c r="B401" s="177"/>
      <c r="C401" s="177"/>
      <c r="D401" s="177"/>
      <c r="E401" s="177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  <c r="AA401" s="181"/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O401" s="181"/>
      <c r="AP401" s="181"/>
      <c r="AQ401" s="181"/>
      <c r="AR401" s="181"/>
      <c r="AS401" s="181"/>
      <c r="AT401" s="181"/>
      <c r="AU401" s="181"/>
    </row>
    <row r="402">
      <c r="A402" s="120"/>
      <c r="B402" s="177"/>
      <c r="C402" s="177"/>
      <c r="D402" s="177"/>
      <c r="E402" s="177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O402" s="181"/>
      <c r="AP402" s="181"/>
      <c r="AQ402" s="181"/>
      <c r="AR402" s="181"/>
      <c r="AS402" s="181"/>
      <c r="AT402" s="181"/>
      <c r="AU402" s="181"/>
    </row>
    <row r="403">
      <c r="A403" s="120"/>
      <c r="B403" s="177"/>
      <c r="C403" s="177"/>
      <c r="D403" s="177"/>
      <c r="E403" s="177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77"/>
      <c r="T403" s="177"/>
      <c r="U403" s="181"/>
      <c r="V403" s="181"/>
      <c r="W403" s="181"/>
      <c r="X403" s="181"/>
      <c r="Y403" s="181"/>
      <c r="Z403" s="181"/>
      <c r="AA403" s="181"/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O403" s="181"/>
      <c r="AP403" s="181"/>
      <c r="AQ403" s="181"/>
      <c r="AR403" s="181"/>
      <c r="AS403" s="181"/>
      <c r="AT403" s="181"/>
      <c r="AU403" s="181"/>
    </row>
    <row r="404">
      <c r="A404" s="120"/>
      <c r="B404" s="177"/>
      <c r="C404" s="177"/>
      <c r="D404" s="177"/>
      <c r="E404" s="177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O404" s="181"/>
      <c r="AP404" s="181"/>
      <c r="AQ404" s="181"/>
      <c r="AR404" s="181"/>
      <c r="AS404" s="181"/>
      <c r="AT404" s="181"/>
      <c r="AU404" s="181"/>
    </row>
    <row r="405">
      <c r="A405" s="120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81"/>
      <c r="T405" s="181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7"/>
      <c r="AG405" s="177"/>
      <c r="AH405" s="177"/>
      <c r="AI405" s="177"/>
      <c r="AJ405" s="177"/>
      <c r="AK405" s="177"/>
      <c r="AL405" s="177"/>
      <c r="AM405" s="177"/>
      <c r="AN405" s="177"/>
      <c r="AO405" s="177"/>
      <c r="AP405" s="177"/>
      <c r="AQ405" s="177"/>
      <c r="AR405" s="177"/>
      <c r="AS405" s="177"/>
      <c r="AT405" s="177"/>
      <c r="AU405" s="177"/>
    </row>
    <row r="406">
      <c r="A406" s="120"/>
      <c r="B406" s="177"/>
      <c r="C406" s="177"/>
      <c r="D406" s="177"/>
      <c r="E406" s="177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  <c r="AA406" s="181"/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O406" s="181"/>
      <c r="AP406" s="181"/>
      <c r="AQ406" s="181"/>
      <c r="AR406" s="181"/>
      <c r="AS406" s="181"/>
      <c r="AT406" s="181"/>
      <c r="AU406" s="181"/>
    </row>
    <row r="407">
      <c r="A407" s="120"/>
      <c r="B407" s="177"/>
      <c r="C407" s="177"/>
      <c r="D407" s="177"/>
      <c r="E407" s="177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77"/>
      <c r="T407" s="177"/>
      <c r="U407" s="181"/>
      <c r="V407" s="181"/>
      <c r="W407" s="181"/>
      <c r="X407" s="181"/>
      <c r="Y407" s="181"/>
      <c r="Z407" s="181"/>
      <c r="AA407" s="181"/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O407" s="181"/>
      <c r="AP407" s="181"/>
      <c r="AQ407" s="181"/>
      <c r="AR407" s="181"/>
      <c r="AS407" s="181"/>
      <c r="AT407" s="181"/>
      <c r="AU407" s="181"/>
    </row>
    <row r="408">
      <c r="A408" s="120"/>
      <c r="B408" s="177"/>
      <c r="C408" s="177"/>
      <c r="D408" s="177"/>
      <c r="E408" s="177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  <c r="AA408" s="181"/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O408" s="181"/>
      <c r="AP408" s="181"/>
      <c r="AQ408" s="181"/>
      <c r="AR408" s="181"/>
      <c r="AS408" s="181"/>
      <c r="AT408" s="181"/>
      <c r="AU408" s="181"/>
    </row>
    <row r="409">
      <c r="A409" s="120"/>
      <c r="B409" s="177"/>
      <c r="C409" s="183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81"/>
      <c r="T409" s="181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7"/>
      <c r="AG409" s="177"/>
      <c r="AH409" s="177"/>
      <c r="AI409" s="177"/>
      <c r="AJ409" s="177"/>
      <c r="AK409" s="177"/>
      <c r="AL409" s="177"/>
      <c r="AM409" s="177"/>
      <c r="AN409" s="177"/>
      <c r="AO409" s="177"/>
      <c r="AP409" s="177"/>
      <c r="AQ409" s="177"/>
      <c r="AR409" s="177"/>
      <c r="AS409" s="177"/>
      <c r="AT409" s="177"/>
      <c r="AU409" s="177"/>
    </row>
    <row r="410">
      <c r="A410" s="120"/>
      <c r="B410" s="177"/>
      <c r="C410" s="177"/>
      <c r="D410" s="177"/>
      <c r="E410" s="177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77"/>
      <c r="T410" s="177"/>
      <c r="U410" s="181"/>
      <c r="V410" s="181"/>
      <c r="W410" s="181"/>
      <c r="X410" s="181"/>
      <c r="Y410" s="181"/>
      <c r="Z410" s="181"/>
      <c r="AA410" s="181"/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O410" s="181"/>
      <c r="AP410" s="181"/>
      <c r="AQ410" s="181"/>
      <c r="AR410" s="181"/>
      <c r="AS410" s="181"/>
      <c r="AT410" s="181"/>
      <c r="AU410" s="181"/>
    </row>
    <row r="411">
      <c r="A411" s="120"/>
      <c r="B411" s="177"/>
      <c r="C411" s="177"/>
      <c r="D411" s="177"/>
      <c r="E411" s="177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  <c r="AA411" s="181"/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O411" s="181"/>
      <c r="AP411" s="181"/>
      <c r="AQ411" s="181"/>
      <c r="AR411" s="181"/>
      <c r="AS411" s="181"/>
      <c r="AT411" s="181"/>
      <c r="AU411" s="181"/>
    </row>
    <row r="412">
      <c r="A412" s="120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  <c r="AC412" s="177"/>
      <c r="AD412" s="177"/>
      <c r="AE412" s="177"/>
      <c r="AF412" s="177"/>
      <c r="AG412" s="177"/>
      <c r="AH412" s="177"/>
      <c r="AI412" s="177"/>
      <c r="AJ412" s="177"/>
      <c r="AK412" s="177"/>
      <c r="AL412" s="177"/>
      <c r="AM412" s="177"/>
      <c r="AN412" s="177"/>
      <c r="AO412" s="177"/>
      <c r="AP412" s="177"/>
      <c r="AQ412" s="177"/>
      <c r="AR412" s="177"/>
      <c r="AS412" s="177"/>
      <c r="AT412" s="177"/>
      <c r="AU412" s="177"/>
    </row>
    <row r="413">
      <c r="A413" s="120"/>
      <c r="B413" s="177"/>
      <c r="C413" s="177"/>
      <c r="D413" s="177"/>
      <c r="E413" s="177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77"/>
      <c r="T413" s="177"/>
      <c r="U413" s="181"/>
      <c r="V413" s="181"/>
      <c r="W413" s="181"/>
      <c r="X413" s="181"/>
      <c r="Y413" s="181"/>
      <c r="Z413" s="181"/>
      <c r="AA413" s="181"/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O413" s="181"/>
      <c r="AP413" s="181"/>
      <c r="AQ413" s="181"/>
      <c r="AR413" s="181"/>
      <c r="AS413" s="181"/>
      <c r="AT413" s="181"/>
      <c r="AU413" s="181"/>
    </row>
    <row r="414">
      <c r="A414" s="120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  <c r="AC414" s="177"/>
      <c r="AD414" s="177"/>
      <c r="AE414" s="177"/>
      <c r="AF414" s="177"/>
      <c r="AG414" s="177"/>
      <c r="AH414" s="177"/>
      <c r="AI414" s="177"/>
      <c r="AJ414" s="177"/>
      <c r="AK414" s="177"/>
      <c r="AL414" s="177"/>
      <c r="AM414" s="177"/>
      <c r="AN414" s="177"/>
      <c r="AO414" s="177"/>
      <c r="AP414" s="177"/>
      <c r="AQ414" s="177"/>
      <c r="AR414" s="177"/>
      <c r="AS414" s="177"/>
      <c r="AT414" s="177"/>
      <c r="AU414" s="177"/>
    </row>
    <row r="415">
      <c r="A415" s="120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  <c r="AC415" s="177"/>
      <c r="AD415" s="177"/>
      <c r="AE415" s="177"/>
      <c r="AF415" s="177"/>
      <c r="AG415" s="177"/>
      <c r="AH415" s="177"/>
      <c r="AI415" s="177"/>
      <c r="AJ415" s="177"/>
      <c r="AK415" s="177"/>
      <c r="AL415" s="177"/>
      <c r="AM415" s="177"/>
      <c r="AN415" s="177"/>
      <c r="AO415" s="177"/>
      <c r="AP415" s="177"/>
      <c r="AQ415" s="177"/>
      <c r="AR415" s="177"/>
      <c r="AS415" s="177"/>
      <c r="AT415" s="177"/>
      <c r="AU415" s="177"/>
    </row>
    <row r="416">
      <c r="A416" s="120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  <c r="AC416" s="177"/>
      <c r="AD416" s="177"/>
      <c r="AE416" s="177"/>
      <c r="AF416" s="177"/>
      <c r="AG416" s="177"/>
      <c r="AH416" s="177"/>
      <c r="AI416" s="177"/>
      <c r="AJ416" s="177"/>
      <c r="AK416" s="177"/>
      <c r="AL416" s="177"/>
      <c r="AM416" s="177"/>
      <c r="AN416" s="177"/>
      <c r="AO416" s="177"/>
      <c r="AP416" s="177"/>
      <c r="AQ416" s="177"/>
      <c r="AR416" s="177"/>
      <c r="AS416" s="177"/>
      <c r="AT416" s="177"/>
      <c r="AU416" s="177"/>
    </row>
    <row r="417">
      <c r="A417" s="120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  <c r="AC417" s="177"/>
      <c r="AD417" s="177"/>
      <c r="AE417" s="177"/>
      <c r="AF417" s="177"/>
      <c r="AG417" s="177"/>
      <c r="AH417" s="177"/>
      <c r="AI417" s="177"/>
      <c r="AJ417" s="177"/>
      <c r="AK417" s="177"/>
      <c r="AL417" s="177"/>
      <c r="AM417" s="177"/>
      <c r="AN417" s="177"/>
      <c r="AO417" s="177"/>
      <c r="AP417" s="177"/>
      <c r="AQ417" s="177"/>
      <c r="AR417" s="177"/>
      <c r="AS417" s="177"/>
      <c r="AT417" s="177"/>
      <c r="AU417" s="177"/>
    </row>
    <row r="418">
      <c r="A418" s="120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  <c r="AC418" s="177"/>
      <c r="AD418" s="177"/>
      <c r="AE418" s="177"/>
      <c r="AF418" s="177"/>
      <c r="AG418" s="177"/>
      <c r="AH418" s="177"/>
      <c r="AI418" s="177"/>
      <c r="AJ418" s="177"/>
      <c r="AK418" s="177"/>
      <c r="AL418" s="177"/>
      <c r="AM418" s="177"/>
      <c r="AN418" s="177"/>
      <c r="AO418" s="177"/>
      <c r="AP418" s="177"/>
      <c r="AQ418" s="177"/>
      <c r="AR418" s="177"/>
      <c r="AS418" s="177"/>
      <c r="AT418" s="177"/>
      <c r="AU418" s="177"/>
    </row>
    <row r="419">
      <c r="A419" s="120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7"/>
      <c r="AG419" s="177"/>
      <c r="AH419" s="177"/>
      <c r="AI419" s="177"/>
      <c r="AJ419" s="177"/>
      <c r="AK419" s="177"/>
      <c r="AL419" s="177"/>
      <c r="AM419" s="177"/>
      <c r="AN419" s="177"/>
      <c r="AO419" s="177"/>
      <c r="AP419" s="177"/>
      <c r="AQ419" s="177"/>
      <c r="AR419" s="177"/>
      <c r="AS419" s="177"/>
      <c r="AT419" s="177"/>
      <c r="AU419" s="177"/>
    </row>
    <row r="420">
      <c r="A420" s="120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7"/>
      <c r="AT420" s="177"/>
      <c r="AU420" s="177"/>
    </row>
    <row r="421">
      <c r="A421" s="120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7"/>
      <c r="AT421" s="177"/>
      <c r="AU421" s="177"/>
    </row>
    <row r="422">
      <c r="A422" s="120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7"/>
      <c r="AT422" s="177"/>
      <c r="AU422" s="177"/>
    </row>
    <row r="423">
      <c r="A423" s="120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7"/>
      <c r="AT423" s="177"/>
      <c r="AU423" s="177"/>
    </row>
    <row r="424">
      <c r="A424" s="120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7"/>
      <c r="AT424" s="177"/>
      <c r="AU424" s="177"/>
    </row>
    <row r="425">
      <c r="A425" s="120"/>
      <c r="B425" s="183"/>
      <c r="C425" s="183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177"/>
      <c r="AT425" s="177"/>
      <c r="AU425" s="177"/>
    </row>
    <row r="426">
      <c r="A426" s="120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77"/>
      <c r="AT426" s="177"/>
      <c r="AU426" s="177"/>
    </row>
    <row r="427">
      <c r="A427" s="120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177"/>
      <c r="AT427" s="177"/>
      <c r="AU427" s="177"/>
    </row>
    <row r="428">
      <c r="A428" s="120"/>
      <c r="B428" s="177"/>
      <c r="C428" s="183"/>
      <c r="D428" s="177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177"/>
      <c r="AT428" s="177"/>
      <c r="AU428" s="177"/>
    </row>
    <row r="429">
      <c r="A429" s="120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  <c r="AA429" s="177"/>
      <c r="AB429" s="177"/>
      <c r="AC429" s="177"/>
      <c r="AD429" s="177"/>
      <c r="AE429" s="177"/>
      <c r="AF429" s="177"/>
      <c r="AG429" s="177"/>
      <c r="AH429" s="177"/>
      <c r="AI429" s="177"/>
      <c r="AJ429" s="177"/>
      <c r="AK429" s="177"/>
      <c r="AL429" s="177"/>
      <c r="AM429" s="177"/>
      <c r="AN429" s="177"/>
      <c r="AO429" s="177"/>
      <c r="AP429" s="177"/>
      <c r="AQ429" s="177"/>
      <c r="AR429" s="177"/>
      <c r="AS429" s="177"/>
      <c r="AT429" s="177"/>
      <c r="AU429" s="177"/>
    </row>
    <row r="430">
      <c r="A430" s="120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  <c r="AC430" s="177"/>
      <c r="AD430" s="177"/>
      <c r="AE430" s="177"/>
      <c r="AF430" s="177"/>
      <c r="AG430" s="177"/>
      <c r="AH430" s="177"/>
      <c r="AI430" s="177"/>
      <c r="AJ430" s="177"/>
      <c r="AK430" s="177"/>
      <c r="AL430" s="177"/>
      <c r="AM430" s="177"/>
      <c r="AN430" s="177"/>
      <c r="AO430" s="177"/>
      <c r="AP430" s="177"/>
      <c r="AQ430" s="177"/>
      <c r="AR430" s="177"/>
      <c r="AS430" s="177"/>
      <c r="AT430" s="177"/>
      <c r="AU430" s="177"/>
    </row>
    <row r="431">
      <c r="A431" s="120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7"/>
      <c r="AG431" s="177"/>
      <c r="AH431" s="177"/>
      <c r="AI431" s="177"/>
      <c r="AJ431" s="177"/>
      <c r="AK431" s="177"/>
      <c r="AL431" s="177"/>
      <c r="AM431" s="177"/>
      <c r="AN431" s="177"/>
      <c r="AO431" s="177"/>
      <c r="AP431" s="177"/>
      <c r="AQ431" s="177"/>
      <c r="AR431" s="177"/>
      <c r="AS431" s="177"/>
      <c r="AT431" s="177"/>
      <c r="AU431" s="177"/>
    </row>
    <row r="432">
      <c r="A432" s="120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7"/>
      <c r="AG432" s="177"/>
      <c r="AH432" s="177"/>
      <c r="AI432" s="177"/>
      <c r="AJ432" s="177"/>
      <c r="AK432" s="177"/>
      <c r="AL432" s="177"/>
      <c r="AM432" s="177"/>
      <c r="AN432" s="177"/>
      <c r="AO432" s="177"/>
      <c r="AP432" s="177"/>
      <c r="AQ432" s="177"/>
      <c r="AR432" s="177"/>
      <c r="AS432" s="177"/>
      <c r="AT432" s="177"/>
      <c r="AU432" s="177"/>
    </row>
    <row r="435">
      <c r="C435" s="59"/>
    </row>
    <row r="436">
      <c r="C436" s="59"/>
    </row>
    <row r="438">
      <c r="C438" s="59"/>
    </row>
    <row r="439">
      <c r="C439" s="59"/>
    </row>
    <row r="440">
      <c r="C440" s="59"/>
    </row>
    <row r="442">
      <c r="C442" s="59"/>
    </row>
    <row r="443">
      <c r="C443" s="59"/>
    </row>
    <row r="445">
      <c r="C445" s="59"/>
    </row>
    <row r="447">
      <c r="C447" s="59"/>
    </row>
    <row r="448">
      <c r="C448" s="59"/>
    </row>
    <row r="449">
      <c r="C449" s="59"/>
    </row>
    <row r="450">
      <c r="C450" s="59"/>
    </row>
    <row r="451">
      <c r="C451" s="59"/>
    </row>
    <row r="452">
      <c r="C452" s="59"/>
    </row>
    <row r="453">
      <c r="C453" s="59"/>
    </row>
    <row r="454">
      <c r="C454" s="59"/>
    </row>
    <row r="455">
      <c r="C455" s="59"/>
    </row>
    <row r="456">
      <c r="C456" s="59"/>
    </row>
    <row r="457">
      <c r="C457" s="59"/>
    </row>
    <row r="458">
      <c r="C458" s="59"/>
    </row>
    <row r="459">
      <c r="C459" s="59"/>
    </row>
    <row r="460">
      <c r="C460" s="184"/>
    </row>
    <row r="461">
      <c r="C461" s="59"/>
    </row>
    <row r="462">
      <c r="C462" s="59"/>
    </row>
    <row r="463">
      <c r="C463" s="59"/>
    </row>
  </sheetData>
  <mergeCells count="7">
    <mergeCell ref="A1:G1"/>
    <mergeCell ref="B8:D8"/>
    <mergeCell ref="A19:D19"/>
    <mergeCell ref="A20:D20"/>
    <mergeCell ref="A21:D21"/>
    <mergeCell ref="A22:D22"/>
    <mergeCell ref="A25:J30"/>
  </mergeCells>
  <conditionalFormatting sqref="C113">
    <cfRule type="expression" dxfId="0" priority="1">
      <formula>$H$87="4clam"</formula>
    </cfRule>
  </conditionalFormatting>
  <conditionalFormatting sqref="D113 G113">
    <cfRule type="expression" dxfId="1" priority="2">
      <formula>$H$87="4echoes"</formula>
    </cfRule>
  </conditionalFormatting>
  <conditionalFormatting sqref="C159">
    <cfRule type="expression" dxfId="0" priority="3">
      <formula>$H$125="4clam"</formula>
    </cfRule>
  </conditionalFormatting>
  <conditionalFormatting sqref="D159 G159">
    <cfRule type="expression" dxfId="1" priority="4">
      <formula>$H$125="4echoes"</formula>
    </cfRule>
  </conditionalFormatting>
  <conditionalFormatting sqref="C205">
    <cfRule type="expression" dxfId="0" priority="5">
      <formula>$H$170="4clam"</formula>
    </cfRule>
  </conditionalFormatting>
  <conditionalFormatting sqref="D205 G205">
    <cfRule type="expression" dxfId="1" priority="6">
      <formula>$H$170="4echoes"</formula>
    </cfRule>
  </conditionalFormatting>
  <conditionalFormatting sqref="C242">
    <cfRule type="expression" dxfId="0" priority="7">
      <formula>$H$217="4clam"</formula>
    </cfRule>
  </conditionalFormatting>
  <conditionalFormatting sqref="D242 G242">
    <cfRule type="expression" dxfId="1" priority="8">
      <formula>$H$217="4echoes"</formula>
    </cfRule>
  </conditionalFormatting>
  <dataValidations>
    <dataValidation type="list" allowBlank="1" sqref="B90:B91 B128:B129 B173:B174 B220:B221">
      <formula1>"1,2,3,4,5,6,7,8,9,10,11,12,13"</formula1>
    </dataValidation>
    <dataValidation type="list" allowBlank="1" sqref="B119 B164 B211 B247">
      <formula1>Stats!G$303:G$306</formula1>
    </dataValidation>
    <dataValidation type="list" allowBlank="1" sqref="B83 B121 B166 B213">
      <formula1>Stats!$A$2:$A$53</formula1>
    </dataValidation>
    <dataValidation type="list" allowBlank="1" sqref="H95 H133 H178 H225">
      <formula1>"HP%,ATK%,DEF%,EM,ER"</formula1>
    </dataValidation>
    <dataValidation type="list" allowBlank="1" sqref="B114:B115 B160 B206:B207 B243">
      <formula1>"Superconduct,Swirl,Electrocharge,Shatter,Overload"</formula1>
    </dataValidation>
    <dataValidation type="list" allowBlank="1" sqref="E84 E122 E167 E214">
      <formula1>"1,2,3,4,5"</formula1>
    </dataValidation>
    <dataValidation type="list" allowBlank="1" sqref="H84 H87 H122 H125 H167 H170 H214 H217">
      <formula1>Stats!$A$148:$A$189</formula1>
    </dataValidation>
    <dataValidation type="list" allowBlank="1" sqref="B106:B110 B117:B118">
      <formula1>B$102:AU$102</formula1>
    </dataValidation>
    <dataValidation type="decimal" allowBlank="1" showDropDown="1" sqref="B86 B124 B169 B216">
      <formula1>1.0</formula1>
      <formula2>90.0</formula2>
    </dataValidation>
    <dataValidation type="list" allowBlank="1" sqref="F114:F116 F160:F161 F206:F208 F243:F244">
      <formula1>"Pyro,Hydro,Electro,Cryo"</formula1>
    </dataValidation>
    <dataValidation type="list" allowBlank="1" sqref="B89 B127 B172 B219">
      <formula1>"1,2,3,4,5,6,7,8,9,10,11"</formula1>
    </dataValidation>
    <dataValidation type="list" allowBlank="1" sqref="B112 B158 B204 B241">
      <formula1>Stats!$A$303:$A$324</formula1>
    </dataValidation>
    <dataValidation type="list" allowBlank="1" sqref="B87 B125 B170 B217">
      <formula1>"A0,A1,A2,A3,A4,A5,A6"</formula1>
    </dataValidation>
    <dataValidation type="list" allowBlank="1" sqref="B236:B239 B245:B246">
      <formula1>B$232:AU$232</formula1>
    </dataValidation>
    <dataValidation type="list" allowBlank="1" sqref="H96 H134 H179 H226">
      <formula1>"HP%,ATK%,DEF%,EM,Phys DMG%,Pyro DMG%,Hydro DMG%,Electro DMG%,Cryo DMG%,Anemo DMG%,Geo DMG%"</formula1>
    </dataValidation>
    <dataValidation type="list" allowBlank="1" sqref="T106:T115 T144:T160 T189:T207 T236:T243">
      <formula1>"1.5,2"</formula1>
    </dataValidation>
    <dataValidation type="list" allowBlank="1" sqref="B189:B202 B209:B210">
      <formula1>B$185:AU$185</formula1>
    </dataValidation>
    <dataValidation type="list" allowBlank="1" sqref="G111 G157 G203 G240">
      <formula1>"NA DMG%,CA DMG%,PA DMG%,Skill DMG%,Burst DMG%"</formula1>
    </dataValidation>
    <dataValidation type="list" allowBlank="1" sqref="E83 E121 E166 E213">
      <formula1>Stats!$A$192:$A$300</formula1>
    </dataValidation>
    <dataValidation type="list" allowBlank="1" sqref="H97 H135 H180 H227">
      <formula1>"HP%,ATK%,DEF%,EM,CR,CD,Healing Bonus"</formula1>
    </dataValidation>
    <dataValidation type="list" allowBlank="1" sqref="B92 B130 B175 B222">
      <formula1>"0,1,2,3,4,5,6"</formula1>
    </dataValidation>
    <dataValidation type="list" allowBlank="1" sqref="F106:F113 F117 S116:S117 F144:F159 F162 S161:S162 F189:F205 F209 S208:S209 F236:F242 F245 S244:S245">
      <formula1>"Phys,Pyro,Hydro,Electro,Cryo,Anemo,Geo"</formula1>
    </dataValidation>
    <dataValidation type="list" allowBlank="1" sqref="B144:B156 B162:B163">
      <formula1>B$140:AU$140</formula1>
    </dataValidation>
  </dataValidations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0" t="s">
        <v>301</v>
      </c>
      <c r="B1" s="185" t="s">
        <v>302</v>
      </c>
      <c r="C1" s="120" t="s">
        <v>112</v>
      </c>
      <c r="D1" s="120" t="s">
        <v>303</v>
      </c>
      <c r="E1" s="120" t="s">
        <v>304</v>
      </c>
      <c r="F1" s="120" t="s">
        <v>305</v>
      </c>
      <c r="G1" s="185" t="s">
        <v>133</v>
      </c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</row>
    <row r="2">
      <c r="A2" s="120" t="s">
        <v>306</v>
      </c>
      <c r="B2" s="185" t="s">
        <v>89</v>
      </c>
      <c r="C2" s="187" t="s">
        <v>307</v>
      </c>
      <c r="D2" s="177">
        <v>1029.585571</v>
      </c>
      <c r="E2" s="177">
        <v>19.5510006</v>
      </c>
      <c r="F2" s="177">
        <v>68.20619965</v>
      </c>
      <c r="G2" s="185" t="s">
        <v>141</v>
      </c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</row>
    <row r="3">
      <c r="A3" s="120" t="s">
        <v>308</v>
      </c>
      <c r="B3" s="185" t="s">
        <v>87</v>
      </c>
      <c r="C3" s="187" t="s">
        <v>307</v>
      </c>
      <c r="D3" s="188">
        <v>848.454772949218</v>
      </c>
      <c r="E3" s="188">
        <v>18.2103595733642</v>
      </c>
      <c r="F3" s="188">
        <v>52.6503982543945</v>
      </c>
      <c r="G3" s="185" t="s">
        <v>131</v>
      </c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</row>
    <row r="4">
      <c r="A4" s="120" t="s">
        <v>309</v>
      </c>
      <c r="B4" s="185" t="s">
        <v>84</v>
      </c>
      <c r="C4" s="187" t="s">
        <v>310</v>
      </c>
      <c r="D4" s="177">
        <v>793.2581787</v>
      </c>
      <c r="E4" s="177">
        <v>18.6984005</v>
      </c>
      <c r="F4" s="177">
        <v>50.35800171</v>
      </c>
      <c r="G4" s="185" t="s">
        <v>58</v>
      </c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</row>
    <row r="5">
      <c r="A5" s="120" t="s">
        <v>311</v>
      </c>
      <c r="B5" s="185" t="s">
        <v>88</v>
      </c>
      <c r="C5" s="187" t="s">
        <v>310</v>
      </c>
      <c r="D5" s="177">
        <v>911.7910156</v>
      </c>
      <c r="E5" s="177">
        <v>17.80800056</v>
      </c>
      <c r="F5" s="177">
        <v>57.22499847</v>
      </c>
      <c r="G5" s="185" t="s">
        <v>58</v>
      </c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</row>
    <row r="6">
      <c r="A6" s="120" t="s">
        <v>312</v>
      </c>
      <c r="B6" s="185" t="s">
        <v>87</v>
      </c>
      <c r="C6" s="187" t="s">
        <v>307</v>
      </c>
      <c r="D6" s="177">
        <v>1000.986023</v>
      </c>
      <c r="E6" s="177">
        <v>26.62660027</v>
      </c>
      <c r="F6" s="177">
        <v>61.02659988</v>
      </c>
      <c r="G6" s="185" t="s">
        <v>3</v>
      </c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6"/>
      <c r="BC6" s="186"/>
      <c r="BD6" s="186"/>
      <c r="BE6" s="186"/>
      <c r="BF6" s="186"/>
    </row>
    <row r="7">
      <c r="A7" s="120" t="s">
        <v>313</v>
      </c>
      <c r="B7" s="185" t="s">
        <v>85</v>
      </c>
      <c r="C7" s="187" t="s">
        <v>307</v>
      </c>
      <c r="D7" s="187">
        <v>1067.7184</v>
      </c>
      <c r="E7" s="187">
        <v>23.275</v>
      </c>
      <c r="F7" s="187">
        <v>59.83</v>
      </c>
      <c r="G7" s="185" t="s">
        <v>3</v>
      </c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  <c r="BA7" s="186"/>
      <c r="BB7" s="186"/>
      <c r="BC7" s="186"/>
      <c r="BD7" s="186"/>
      <c r="BE7" s="186"/>
      <c r="BF7" s="186"/>
    </row>
    <row r="8">
      <c r="A8" s="120" t="s">
        <v>314</v>
      </c>
      <c r="B8" s="185" t="s">
        <v>85</v>
      </c>
      <c r="C8" s="187" t="s">
        <v>310</v>
      </c>
      <c r="D8" s="177">
        <v>820.6118774</v>
      </c>
      <c r="E8" s="177">
        <v>13.35599995</v>
      </c>
      <c r="F8" s="177">
        <v>56.08050156</v>
      </c>
      <c r="G8" s="185" t="s">
        <v>6</v>
      </c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  <c r="BA8" s="186"/>
      <c r="BB8" s="186"/>
      <c r="BC8" s="186"/>
      <c r="BD8" s="186"/>
      <c r="BE8" s="186"/>
      <c r="BF8" s="186"/>
    </row>
    <row r="9">
      <c r="A9" s="120" t="s">
        <v>315</v>
      </c>
      <c r="B9" s="185" t="s">
        <v>86</v>
      </c>
      <c r="C9" s="187" t="s">
        <v>310</v>
      </c>
      <c r="D9" s="177">
        <v>1094.14917</v>
      </c>
      <c r="E9" s="177">
        <v>18.8764801</v>
      </c>
      <c r="F9" s="177">
        <v>54.36375046</v>
      </c>
      <c r="G9" s="185" t="s">
        <v>125</v>
      </c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6"/>
      <c r="BF9" s="186"/>
    </row>
    <row r="10">
      <c r="A10" s="120" t="s">
        <v>75</v>
      </c>
      <c r="B10" s="185" t="s">
        <v>84</v>
      </c>
      <c r="C10" s="187" t="s">
        <v>310</v>
      </c>
      <c r="D10" s="177">
        <v>1039.441772</v>
      </c>
      <c r="E10" s="177">
        <v>16.0272007</v>
      </c>
      <c r="F10" s="177">
        <v>64.66425323</v>
      </c>
      <c r="G10" s="185" t="s">
        <v>5</v>
      </c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186"/>
      <c r="BD10" s="186"/>
      <c r="BE10" s="186"/>
      <c r="BF10" s="186"/>
    </row>
    <row r="11">
      <c r="A11" s="120" t="s">
        <v>316</v>
      </c>
      <c r="B11" s="185" t="s">
        <v>87</v>
      </c>
      <c r="C11" s="187" t="s">
        <v>310</v>
      </c>
      <c r="D11" s="177">
        <v>920.9089355</v>
      </c>
      <c r="E11" s="177">
        <v>18.6984005</v>
      </c>
      <c r="F11" s="177">
        <v>54.36375046</v>
      </c>
      <c r="G11" s="185" t="s">
        <v>58</v>
      </c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  <c r="BA11" s="186"/>
      <c r="BB11" s="186"/>
      <c r="BC11" s="186"/>
      <c r="BD11" s="186"/>
      <c r="BE11" s="186"/>
      <c r="BF11" s="186"/>
    </row>
    <row r="12">
      <c r="A12" s="120" t="s">
        <v>317</v>
      </c>
      <c r="B12" s="185" t="s">
        <v>84</v>
      </c>
      <c r="C12" s="187" t="s">
        <v>307</v>
      </c>
      <c r="D12" s="177">
        <v>1010.519226</v>
      </c>
      <c r="E12" s="177">
        <v>26.06800079</v>
      </c>
      <c r="F12" s="177">
        <v>61.02659988</v>
      </c>
      <c r="G12" s="185" t="s">
        <v>2</v>
      </c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/>
    </row>
    <row r="13">
      <c r="A13" s="120" t="s">
        <v>318</v>
      </c>
      <c r="B13" s="185" t="s">
        <v>87</v>
      </c>
      <c r="C13" s="187" t="s">
        <v>310</v>
      </c>
      <c r="D13" s="177">
        <v>802.3760986</v>
      </c>
      <c r="E13" s="177">
        <v>17.80800056</v>
      </c>
      <c r="F13" s="177">
        <v>50.35800171</v>
      </c>
      <c r="G13" s="185" t="s">
        <v>131</v>
      </c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  <c r="BA13" s="186"/>
      <c r="BB13" s="186"/>
      <c r="BC13" s="186"/>
      <c r="BD13" s="186"/>
      <c r="BE13" s="186"/>
      <c r="BF13" s="186"/>
    </row>
    <row r="14">
      <c r="A14" s="120" t="s">
        <v>319</v>
      </c>
      <c r="B14" s="185" t="s">
        <v>86</v>
      </c>
      <c r="C14" s="187" t="s">
        <v>310</v>
      </c>
      <c r="D14" s="177">
        <v>911.7910156</v>
      </c>
      <c r="E14" s="177">
        <v>17.80800056</v>
      </c>
      <c r="F14" s="177">
        <v>57.22499847</v>
      </c>
      <c r="G14" s="185" t="s">
        <v>58</v>
      </c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  <c r="BA14" s="186"/>
      <c r="BB14" s="186"/>
      <c r="BC14" s="186"/>
      <c r="BD14" s="186"/>
      <c r="BE14" s="186"/>
      <c r="BF14" s="186"/>
    </row>
    <row r="15">
      <c r="A15" s="120" t="s">
        <v>320</v>
      </c>
      <c r="B15" s="185" t="s">
        <v>87</v>
      </c>
      <c r="C15" s="187" t="s">
        <v>307</v>
      </c>
      <c r="D15" s="177">
        <v>1029.585571</v>
      </c>
      <c r="E15" s="177">
        <v>26.62660027</v>
      </c>
      <c r="F15" s="177">
        <v>58.45391083</v>
      </c>
      <c r="G15" s="185" t="s">
        <v>3</v>
      </c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  <c r="BA15" s="186"/>
      <c r="BB15" s="186"/>
      <c r="BC15" s="186"/>
      <c r="BD15" s="186"/>
      <c r="BE15" s="186"/>
      <c r="BF15" s="186"/>
    </row>
    <row r="16">
      <c r="A16" s="120" t="s">
        <v>321</v>
      </c>
      <c r="B16" s="185" t="s">
        <v>86</v>
      </c>
      <c r="C16" s="187" t="s">
        <v>310</v>
      </c>
      <c r="D16" s="177">
        <v>770.4633789</v>
      </c>
      <c r="E16" s="177">
        <v>20.47920036</v>
      </c>
      <c r="F16" s="177">
        <v>49.78575134</v>
      </c>
      <c r="G16" s="185" t="s">
        <v>58</v>
      </c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</row>
    <row r="17">
      <c r="A17" s="120" t="s">
        <v>322</v>
      </c>
      <c r="B17" s="185" t="s">
        <v>87</v>
      </c>
      <c r="C17" s="187" t="s">
        <v>307</v>
      </c>
      <c r="D17" s="177">
        <v>762.6560059</v>
      </c>
      <c r="E17" s="177">
        <v>26.06800079</v>
      </c>
      <c r="F17" s="177">
        <v>49.06060028</v>
      </c>
      <c r="G17" s="185" t="s">
        <v>3</v>
      </c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</row>
    <row r="18">
      <c r="A18" s="120" t="s">
        <v>323</v>
      </c>
      <c r="B18" s="185" t="s">
        <v>89</v>
      </c>
      <c r="C18" s="187" t="s">
        <v>310</v>
      </c>
      <c r="D18" s="177">
        <v>911.7910156</v>
      </c>
      <c r="E18" s="177">
        <v>17.80800056</v>
      </c>
      <c r="F18" s="177">
        <v>57.22499847</v>
      </c>
      <c r="G18" s="185" t="s">
        <v>58</v>
      </c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  <c r="BA18" s="186"/>
      <c r="BB18" s="186"/>
      <c r="BC18" s="186"/>
      <c r="BD18" s="186"/>
      <c r="BE18" s="186"/>
      <c r="BF18" s="186"/>
    </row>
    <row r="19">
      <c r="A19" s="120" t="s">
        <v>324</v>
      </c>
      <c r="B19" s="185" t="s">
        <v>89</v>
      </c>
      <c r="C19" s="187" t="s">
        <v>310</v>
      </c>
      <c r="D19" s="189">
        <v>802.3760986</v>
      </c>
      <c r="E19" s="189">
        <v>15.31488037</v>
      </c>
      <c r="F19" s="189">
        <v>54.36375046</v>
      </c>
      <c r="G19" s="185" t="s">
        <v>141</v>
      </c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</row>
    <row r="20">
      <c r="A20" s="120" t="s">
        <v>325</v>
      </c>
      <c r="B20" s="185" t="s">
        <v>84</v>
      </c>
      <c r="C20" s="187" t="s">
        <v>307</v>
      </c>
      <c r="D20" s="177">
        <v>1210.716431</v>
      </c>
      <c r="E20" s="177">
        <v>8.285900116</v>
      </c>
      <c r="F20" s="177">
        <v>68.20619965</v>
      </c>
      <c r="G20" s="185" t="s">
        <v>3</v>
      </c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</row>
    <row r="21">
      <c r="A21" s="120" t="s">
        <v>326</v>
      </c>
      <c r="B21" s="185" t="s">
        <v>89</v>
      </c>
      <c r="C21" s="187" t="s">
        <v>307</v>
      </c>
      <c r="D21" s="189">
        <v>1000.986023</v>
      </c>
      <c r="E21" s="189">
        <v>17.68899918</v>
      </c>
      <c r="F21" s="189">
        <v>74.66783905</v>
      </c>
      <c r="G21" s="185" t="s">
        <v>2</v>
      </c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</row>
    <row r="22">
      <c r="A22" s="120" t="s">
        <v>327</v>
      </c>
      <c r="B22" s="185" t="s">
        <v>88</v>
      </c>
      <c r="C22" s="187" t="s">
        <v>307</v>
      </c>
      <c r="D22" s="177">
        <v>1143.984009</v>
      </c>
      <c r="E22" s="177">
        <v>18.62000084</v>
      </c>
      <c r="F22" s="177">
        <v>59.83000183</v>
      </c>
      <c r="G22" s="185" t="s">
        <v>163</v>
      </c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</row>
    <row r="23">
      <c r="A23" s="120" t="s">
        <v>328</v>
      </c>
      <c r="B23" s="185" t="s">
        <v>87</v>
      </c>
      <c r="C23" s="187" t="s">
        <v>310</v>
      </c>
      <c r="D23" s="177">
        <v>975.616394</v>
      </c>
      <c r="E23" s="177">
        <v>18.6984005</v>
      </c>
      <c r="F23" s="177">
        <v>66.3809967</v>
      </c>
      <c r="G23" s="185" t="s">
        <v>5</v>
      </c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  <c r="BA23" s="186"/>
      <c r="BB23" s="186"/>
      <c r="BC23" s="186"/>
      <c r="BD23" s="186"/>
      <c r="BE23" s="186"/>
      <c r="BF23" s="186"/>
    </row>
    <row r="24">
      <c r="A24" s="120" t="s">
        <v>50</v>
      </c>
      <c r="B24" s="185" t="s">
        <v>88</v>
      </c>
      <c r="C24" s="187" t="s">
        <v>307</v>
      </c>
      <c r="D24" s="177">
        <v>1039.118774</v>
      </c>
      <c r="E24" s="177">
        <v>23.08880043</v>
      </c>
      <c r="F24" s="177">
        <v>62.82149887</v>
      </c>
      <c r="G24" s="185" t="s">
        <v>4</v>
      </c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  <c r="BA24" s="186"/>
      <c r="BB24" s="186"/>
      <c r="BC24" s="186"/>
      <c r="BD24" s="186"/>
      <c r="BE24" s="186"/>
      <c r="BF24" s="186"/>
    </row>
    <row r="25">
      <c r="A25" s="120" t="s">
        <v>329</v>
      </c>
      <c r="B25" s="185" t="s">
        <v>86</v>
      </c>
      <c r="C25" s="187" t="s">
        <v>307</v>
      </c>
      <c r="D25" s="177">
        <v>1020.052429</v>
      </c>
      <c r="E25" s="177">
        <v>25.13699913</v>
      </c>
      <c r="F25" s="177">
        <v>62.22320175</v>
      </c>
      <c r="G25" s="185" t="s">
        <v>3</v>
      </c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  <c r="BA25" s="186"/>
      <c r="BB25" s="186"/>
      <c r="BC25" s="186"/>
      <c r="BD25" s="186"/>
      <c r="BE25" s="186"/>
      <c r="BF25" s="186"/>
    </row>
    <row r="26">
      <c r="A26" s="120" t="s">
        <v>330</v>
      </c>
      <c r="B26" s="185" t="s">
        <v>84</v>
      </c>
      <c r="C26" s="187" t="s">
        <v>307</v>
      </c>
      <c r="D26" s="177">
        <v>800.7888184</v>
      </c>
      <c r="E26" s="177">
        <v>24.20599937</v>
      </c>
      <c r="F26" s="177">
        <v>47.86399841</v>
      </c>
      <c r="G26" s="185" t="s">
        <v>116</v>
      </c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</row>
    <row r="27">
      <c r="A27" s="120" t="s">
        <v>331</v>
      </c>
      <c r="B27" s="185" t="s">
        <v>85</v>
      </c>
      <c r="C27" s="187" t="s">
        <v>307</v>
      </c>
      <c r="D27" s="177">
        <v>1048.651978</v>
      </c>
      <c r="E27" s="177">
        <v>18.24760056</v>
      </c>
      <c r="F27" s="177">
        <v>51.15465164</v>
      </c>
      <c r="G27" s="185" t="s">
        <v>121</v>
      </c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</row>
    <row r="28">
      <c r="A28" s="120" t="s">
        <v>11</v>
      </c>
      <c r="B28" s="185" t="s">
        <v>86</v>
      </c>
      <c r="C28" s="187" t="s">
        <v>310</v>
      </c>
      <c r="D28" s="177">
        <v>802.3760986</v>
      </c>
      <c r="E28" s="177">
        <v>19.41072083</v>
      </c>
      <c r="F28" s="177">
        <v>48.06900024</v>
      </c>
      <c r="G28" s="185" t="s">
        <v>4</v>
      </c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</row>
    <row r="29">
      <c r="A29" s="120" t="s">
        <v>332</v>
      </c>
      <c r="B29" s="185" t="s">
        <v>85</v>
      </c>
      <c r="C29" s="187" t="s">
        <v>307</v>
      </c>
      <c r="D29" s="177">
        <v>810.3220215</v>
      </c>
      <c r="E29" s="177">
        <v>22.34399986</v>
      </c>
      <c r="F29" s="177">
        <v>50.85549927</v>
      </c>
      <c r="G29" s="185" t="s">
        <v>5</v>
      </c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  <c r="BA29" s="186"/>
      <c r="BB29" s="186"/>
      <c r="BC29" s="186"/>
      <c r="BD29" s="186"/>
      <c r="BE29" s="186"/>
      <c r="BF29" s="186"/>
    </row>
    <row r="30">
      <c r="A30" s="120" t="s">
        <v>333</v>
      </c>
      <c r="B30" s="185" t="s">
        <v>89</v>
      </c>
      <c r="C30" s="187" t="s">
        <v>310</v>
      </c>
      <c r="D30" s="177">
        <v>820.6118774</v>
      </c>
      <c r="E30" s="177">
        <v>17.80800056</v>
      </c>
      <c r="F30" s="177">
        <v>48.06900024</v>
      </c>
      <c r="G30" s="185" t="s">
        <v>141</v>
      </c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</row>
    <row r="31">
      <c r="A31" s="120" t="s">
        <v>334</v>
      </c>
      <c r="B31" s="185" t="s">
        <v>89</v>
      </c>
      <c r="C31" s="187" t="s">
        <v>310</v>
      </c>
      <c r="D31" s="177">
        <v>1012.088013</v>
      </c>
      <c r="E31" s="177">
        <v>16.0272007</v>
      </c>
      <c r="F31" s="177">
        <v>66.95324707</v>
      </c>
      <c r="G31" s="185" t="s">
        <v>60</v>
      </c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  <c r="BA31" s="186"/>
      <c r="BB31" s="186"/>
      <c r="BC31" s="186"/>
      <c r="BD31" s="186"/>
      <c r="BE31" s="186"/>
      <c r="BF31" s="186"/>
    </row>
    <row r="32">
      <c r="A32" s="120" t="s">
        <v>335</v>
      </c>
      <c r="B32" s="185" t="s">
        <v>87</v>
      </c>
      <c r="C32" s="187" t="s">
        <v>307</v>
      </c>
      <c r="D32" s="177">
        <v>962.8532104</v>
      </c>
      <c r="E32" s="177">
        <v>22.34399986</v>
      </c>
      <c r="F32" s="177">
        <v>71.79599762</v>
      </c>
      <c r="G32" s="185" t="s">
        <v>163</v>
      </c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  <c r="BA32" s="186"/>
      <c r="BB32" s="186"/>
      <c r="BC32" s="186"/>
      <c r="BD32" s="186"/>
      <c r="BE32" s="186"/>
      <c r="BF32" s="186"/>
    </row>
    <row r="33">
      <c r="A33" s="120" t="s">
        <v>336</v>
      </c>
      <c r="B33" s="185" t="s">
        <v>86</v>
      </c>
      <c r="C33" s="187" t="s">
        <v>307</v>
      </c>
      <c r="D33" s="177">
        <v>1004.799255</v>
      </c>
      <c r="E33" s="177">
        <v>26.25419998</v>
      </c>
      <c r="F33" s="177">
        <v>61.44541168</v>
      </c>
      <c r="G33" s="185" t="s">
        <v>5</v>
      </c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</row>
    <row r="34">
      <c r="A34" s="120" t="s">
        <v>337</v>
      </c>
      <c r="B34" s="185" t="s">
        <v>86</v>
      </c>
      <c r="C34" s="187" t="s">
        <v>310</v>
      </c>
      <c r="D34" s="177">
        <v>1002.970093</v>
      </c>
      <c r="E34" s="177">
        <v>19.58880043</v>
      </c>
      <c r="F34" s="177">
        <v>62.94749832</v>
      </c>
      <c r="G34" s="185" t="s">
        <v>110</v>
      </c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  <c r="BA34" s="186"/>
      <c r="BB34" s="186"/>
      <c r="BC34" s="186"/>
      <c r="BD34" s="186"/>
      <c r="BE34" s="186"/>
      <c r="BF34" s="186"/>
    </row>
    <row r="35">
      <c r="A35" s="120" t="s">
        <v>338</v>
      </c>
      <c r="B35" s="185" t="s">
        <v>87</v>
      </c>
      <c r="C35" s="187" t="s">
        <v>310</v>
      </c>
      <c r="D35" s="177">
        <v>1030.323853</v>
      </c>
      <c r="E35" s="177">
        <v>20.12303925</v>
      </c>
      <c r="F35" s="177">
        <v>59.51399994</v>
      </c>
      <c r="G35" s="185" t="s">
        <v>58</v>
      </c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  <c r="BA35" s="186"/>
      <c r="BB35" s="186"/>
      <c r="BC35" s="186"/>
      <c r="BD35" s="186"/>
      <c r="BE35" s="186"/>
      <c r="BF35" s="186"/>
    </row>
    <row r="36">
      <c r="A36" s="120" t="s">
        <v>339</v>
      </c>
      <c r="B36" s="185" t="s">
        <v>86</v>
      </c>
      <c r="C36" s="187" t="s">
        <v>310</v>
      </c>
      <c r="D36" s="177">
        <v>802.3760986</v>
      </c>
      <c r="E36" s="177">
        <v>16.38335991</v>
      </c>
      <c r="F36" s="177">
        <v>52.64699936</v>
      </c>
      <c r="G36" s="185" t="s">
        <v>58</v>
      </c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  <c r="BA36" s="186"/>
      <c r="BB36" s="186"/>
      <c r="BC36" s="186"/>
      <c r="BD36" s="186"/>
      <c r="BE36" s="186"/>
      <c r="BF36" s="186"/>
    </row>
    <row r="37">
      <c r="A37" s="120" t="s">
        <v>340</v>
      </c>
      <c r="B37" s="185" t="s">
        <v>88</v>
      </c>
      <c r="C37" s="187" t="s">
        <v>310</v>
      </c>
      <c r="D37" s="177">
        <v>993.8521729</v>
      </c>
      <c r="E37" s="177">
        <v>20.47920036</v>
      </c>
      <c r="F37" s="177">
        <v>62.43247604</v>
      </c>
      <c r="G37" s="185" t="s">
        <v>4</v>
      </c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  <c r="BA37" s="186"/>
      <c r="BB37" s="186"/>
      <c r="BC37" s="186"/>
      <c r="BD37" s="186"/>
      <c r="BE37" s="186"/>
      <c r="BF37" s="186"/>
    </row>
    <row r="38">
      <c r="A38" s="120" t="s">
        <v>341</v>
      </c>
      <c r="B38" s="185" t="s">
        <v>87</v>
      </c>
      <c r="C38" s="187" t="s">
        <v>307</v>
      </c>
      <c r="D38" s="189">
        <v>1010.5</v>
      </c>
      <c r="E38" s="189">
        <v>23.6</v>
      </c>
      <c r="F38" s="189">
        <v>64.5</v>
      </c>
      <c r="G38" s="185" t="s">
        <v>58</v>
      </c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  <c r="BA38" s="186"/>
      <c r="BB38" s="186"/>
      <c r="BC38" s="186"/>
      <c r="BD38" s="186"/>
      <c r="BE38" s="186"/>
      <c r="BF38" s="186"/>
    </row>
    <row r="39">
      <c r="A39" s="120" t="s">
        <v>342</v>
      </c>
      <c r="B39" s="185" t="s">
        <v>86</v>
      </c>
      <c r="C39" s="187" t="s">
        <v>310</v>
      </c>
      <c r="D39" s="189">
        <v>1030.0</v>
      </c>
      <c r="E39" s="189">
        <v>18.0</v>
      </c>
      <c r="F39" s="189">
        <v>63.0</v>
      </c>
      <c r="G39" s="185" t="s">
        <v>6</v>
      </c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  <c r="BA39" s="186"/>
      <c r="BB39" s="186"/>
      <c r="BC39" s="186"/>
      <c r="BD39" s="186"/>
      <c r="BE39" s="186"/>
      <c r="BF39" s="186"/>
    </row>
    <row r="40">
      <c r="A40" s="120" t="s">
        <v>343</v>
      </c>
      <c r="B40" s="185" t="s">
        <v>88</v>
      </c>
      <c r="C40" s="187" t="s">
        <v>310</v>
      </c>
      <c r="D40" s="177">
        <v>775.0223389</v>
      </c>
      <c r="E40" s="177">
        <v>14.24639988</v>
      </c>
      <c r="F40" s="177">
        <v>58.94174957</v>
      </c>
      <c r="G40" s="185" t="s">
        <v>136</v>
      </c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  <c r="BA40" s="186"/>
      <c r="BB40" s="186"/>
      <c r="BC40" s="186"/>
      <c r="BD40" s="186"/>
      <c r="BE40" s="186"/>
      <c r="BF40" s="186"/>
    </row>
    <row r="41">
      <c r="A41" s="120" t="s">
        <v>344</v>
      </c>
      <c r="B41" s="185" t="s">
        <v>85</v>
      </c>
      <c r="C41" s="187" t="s">
        <v>307</v>
      </c>
      <c r="D41" s="177">
        <v>1020.052429</v>
      </c>
      <c r="E41" s="177">
        <v>23.46120071</v>
      </c>
      <c r="F41" s="177">
        <v>63.4197998</v>
      </c>
      <c r="G41" s="185" t="s">
        <v>121</v>
      </c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  <c r="BA41" s="186"/>
      <c r="BB41" s="186"/>
      <c r="BC41" s="186"/>
      <c r="BD41" s="186"/>
      <c r="BE41" s="186"/>
      <c r="BF41" s="186"/>
    </row>
    <row r="42">
      <c r="A42" s="120" t="s">
        <v>345</v>
      </c>
      <c r="B42" s="185" t="s">
        <v>84</v>
      </c>
      <c r="C42" s="187" t="s">
        <v>310</v>
      </c>
      <c r="D42" s="189">
        <v>866.2014771</v>
      </c>
      <c r="E42" s="189">
        <v>16.91760063</v>
      </c>
      <c r="F42" s="189">
        <v>62.94749832</v>
      </c>
      <c r="G42" s="185" t="s">
        <v>58</v>
      </c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  <c r="BA42" s="186"/>
      <c r="BB42" s="186"/>
      <c r="BC42" s="186"/>
      <c r="BD42" s="186"/>
      <c r="BE42" s="186"/>
      <c r="BF42" s="186"/>
    </row>
    <row r="43">
      <c r="A43" s="120" t="s">
        <v>346</v>
      </c>
      <c r="B43" s="185" t="s">
        <v>88</v>
      </c>
      <c r="C43" s="187" t="s">
        <v>307</v>
      </c>
      <c r="D43" s="177">
        <v>819.8552246</v>
      </c>
      <c r="E43" s="177">
        <v>20.48200035</v>
      </c>
      <c r="F43" s="177">
        <v>52.05210114</v>
      </c>
      <c r="G43" s="185" t="s">
        <v>5</v>
      </c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</row>
    <row r="44">
      <c r="A44" s="120" t="s">
        <v>241</v>
      </c>
      <c r="B44" s="185" t="s">
        <v>84</v>
      </c>
      <c r="C44" s="187" t="s">
        <v>310</v>
      </c>
      <c r="D44" s="177">
        <v>911.7910156</v>
      </c>
      <c r="E44" s="177">
        <v>18.8764801</v>
      </c>
      <c r="F44" s="177">
        <v>56.08050156</v>
      </c>
      <c r="G44" s="185" t="s">
        <v>4</v>
      </c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6"/>
      <c r="BD44" s="186"/>
      <c r="BE44" s="186"/>
      <c r="BF44" s="186"/>
    </row>
    <row r="45">
      <c r="A45" s="120" t="s">
        <v>347</v>
      </c>
      <c r="B45" s="185" t="s">
        <v>88</v>
      </c>
      <c r="C45" s="187" t="s">
        <v>307</v>
      </c>
      <c r="D45" s="177">
        <v>991.4528198</v>
      </c>
      <c r="E45" s="177">
        <v>27.18519974</v>
      </c>
      <c r="F45" s="177">
        <v>62.22320175</v>
      </c>
      <c r="G45" s="185" t="s">
        <v>2</v>
      </c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</row>
    <row r="46">
      <c r="A46" s="120" t="s">
        <v>348</v>
      </c>
      <c r="B46" s="185" t="s">
        <v>85</v>
      </c>
      <c r="C46" s="187" t="s">
        <v>310</v>
      </c>
      <c r="D46" s="177">
        <v>857.0835571</v>
      </c>
      <c r="E46" s="177">
        <v>16.91760063</v>
      </c>
      <c r="F46" s="177">
        <v>63.51974869</v>
      </c>
      <c r="G46" s="185" t="s">
        <v>58</v>
      </c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  <c r="BA46" s="186"/>
      <c r="BB46" s="186"/>
      <c r="BC46" s="186"/>
      <c r="BD46" s="186"/>
      <c r="BE46" s="186"/>
      <c r="BF46" s="186"/>
    </row>
    <row r="47">
      <c r="A47" s="120" t="s">
        <v>349</v>
      </c>
      <c r="B47" s="185" t="s">
        <v>84</v>
      </c>
      <c r="C47" s="187" t="s">
        <v>310</v>
      </c>
      <c r="D47" s="177">
        <v>939.1447144</v>
      </c>
      <c r="E47" s="177">
        <v>20.83535957</v>
      </c>
      <c r="F47" s="177">
        <v>66.95324707</v>
      </c>
      <c r="G47" s="185" t="s">
        <v>58</v>
      </c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186"/>
      <c r="BB47" s="186"/>
      <c r="BC47" s="186"/>
      <c r="BD47" s="186"/>
      <c r="BE47" s="186"/>
      <c r="BF47" s="186"/>
    </row>
    <row r="48">
      <c r="A48" s="120" t="s">
        <v>350</v>
      </c>
      <c r="B48" s="185" t="s">
        <v>86</v>
      </c>
      <c r="C48" s="187" t="s">
        <v>307</v>
      </c>
      <c r="D48" s="187">
        <v>807.46204</v>
      </c>
      <c r="E48" s="187">
        <v>26.4404</v>
      </c>
      <c r="F48" s="187">
        <v>44.2742</v>
      </c>
      <c r="G48" s="185" t="s">
        <v>2</v>
      </c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  <c r="BA48" s="186"/>
      <c r="BB48" s="186"/>
      <c r="BC48" s="186"/>
      <c r="BD48" s="186"/>
      <c r="BE48" s="186"/>
      <c r="BF48" s="186"/>
    </row>
    <row r="49">
      <c r="A49" s="120" t="s">
        <v>351</v>
      </c>
      <c r="B49" s="185" t="s">
        <v>84</v>
      </c>
      <c r="C49" s="187" t="s">
        <v>310</v>
      </c>
      <c r="D49" s="177">
        <v>784.1402588</v>
      </c>
      <c r="E49" s="177">
        <v>20.12303925</v>
      </c>
      <c r="F49" s="177">
        <v>49.21350098</v>
      </c>
      <c r="G49" s="185" t="s">
        <v>116</v>
      </c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  <c r="BA49" s="186"/>
      <c r="BB49" s="186"/>
      <c r="BC49" s="186"/>
      <c r="BD49" s="186"/>
      <c r="BE49" s="186"/>
      <c r="BF49" s="186"/>
    </row>
    <row r="50">
      <c r="A50" s="120" t="s">
        <v>352</v>
      </c>
      <c r="B50" s="185" t="s">
        <v>85</v>
      </c>
      <c r="C50" s="187" t="s">
        <v>307</v>
      </c>
      <c r="D50" s="187">
        <v>1124.9176</v>
      </c>
      <c r="E50" s="187">
        <v>18.9924</v>
      </c>
      <c r="F50" s="187">
        <v>42.65879</v>
      </c>
      <c r="G50" s="185" t="s">
        <v>2</v>
      </c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  <c r="BA50" s="186"/>
      <c r="BB50" s="186"/>
      <c r="BC50" s="186"/>
      <c r="BD50" s="186"/>
      <c r="BE50" s="186"/>
      <c r="BF50" s="186"/>
    </row>
    <row r="51">
      <c r="A51" s="120" t="s">
        <v>353</v>
      </c>
      <c r="B51" s="185" t="s">
        <v>84</v>
      </c>
      <c r="C51" s="187" t="s">
        <v>307</v>
      </c>
      <c r="D51" s="177">
        <v>791.2556152</v>
      </c>
      <c r="E51" s="177">
        <v>25.13699913</v>
      </c>
      <c r="F51" s="177">
        <v>47.86399841</v>
      </c>
      <c r="G51" s="185" t="s">
        <v>2</v>
      </c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  <c r="BA51" s="186"/>
      <c r="BB51" s="186"/>
      <c r="BC51" s="186"/>
      <c r="BD51" s="186"/>
      <c r="BE51" s="186"/>
      <c r="BF51" s="186"/>
    </row>
    <row r="52">
      <c r="A52" s="120" t="s">
        <v>354</v>
      </c>
      <c r="B52" s="185" t="s">
        <v>89</v>
      </c>
      <c r="C52" s="187" t="s">
        <v>310</v>
      </c>
      <c r="D52" s="189">
        <v>893.9</v>
      </c>
      <c r="E52" s="189">
        <v>16.0272007</v>
      </c>
      <c r="F52" s="189">
        <v>61.5</v>
      </c>
      <c r="G52" s="185" t="s">
        <v>5</v>
      </c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6"/>
      <c r="BE52" s="186"/>
      <c r="BF52" s="186"/>
    </row>
    <row r="53">
      <c r="A53" s="120" t="s">
        <v>355</v>
      </c>
      <c r="B53" s="185" t="s">
        <v>89</v>
      </c>
      <c r="C53" s="187" t="s">
        <v>307</v>
      </c>
      <c r="D53" s="177">
        <v>1143.984009</v>
      </c>
      <c r="E53" s="177">
        <v>19.5510006</v>
      </c>
      <c r="F53" s="177">
        <v>57.4367981</v>
      </c>
      <c r="G53" s="185" t="s">
        <v>141</v>
      </c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186"/>
      <c r="AP53" s="186"/>
      <c r="AQ53" s="186"/>
      <c r="AR53" s="186"/>
      <c r="AS53" s="186"/>
      <c r="AT53" s="186"/>
      <c r="AU53" s="186"/>
      <c r="AV53" s="186"/>
      <c r="AW53" s="186"/>
      <c r="AX53" s="186"/>
      <c r="AY53" s="186"/>
      <c r="AZ53" s="186"/>
      <c r="BA53" s="186"/>
      <c r="BB53" s="186"/>
      <c r="BC53" s="186"/>
      <c r="BD53" s="186"/>
      <c r="BE53" s="186"/>
      <c r="BF53" s="186"/>
    </row>
    <row r="54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186"/>
      <c r="AR54" s="186"/>
      <c r="AS54" s="186"/>
      <c r="AT54" s="186"/>
      <c r="AU54" s="186"/>
      <c r="AV54" s="186"/>
      <c r="AW54" s="186"/>
      <c r="AX54" s="186"/>
      <c r="AY54" s="186"/>
      <c r="AZ54" s="186"/>
      <c r="BA54" s="186"/>
      <c r="BB54" s="186"/>
      <c r="BC54" s="186"/>
      <c r="BD54" s="186"/>
      <c r="BE54" s="186"/>
      <c r="BF54" s="186"/>
    </row>
    <row r="55">
      <c r="A55" s="120" t="s">
        <v>356</v>
      </c>
      <c r="B55" s="185" t="s">
        <v>357</v>
      </c>
      <c r="C55" s="185" t="s">
        <v>358</v>
      </c>
      <c r="D55" s="190"/>
      <c r="E55" s="190"/>
      <c r="F55" s="190"/>
      <c r="G55" s="190"/>
      <c r="H55" s="190"/>
      <c r="I55" s="190"/>
      <c r="J55" s="190"/>
      <c r="K55" s="190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186"/>
      <c r="AK55" s="186"/>
      <c r="AL55" s="186"/>
      <c r="AM55" s="186"/>
      <c r="AN55" s="186"/>
      <c r="AO55" s="186"/>
      <c r="AP55" s="186"/>
      <c r="AQ55" s="186"/>
      <c r="AR55" s="186"/>
      <c r="AS55" s="186"/>
      <c r="AT55" s="186"/>
      <c r="AU55" s="186"/>
      <c r="AV55" s="186"/>
      <c r="AW55" s="186"/>
      <c r="AX55" s="186"/>
      <c r="AY55" s="186"/>
      <c r="AZ55" s="186"/>
      <c r="BA55" s="186"/>
      <c r="BB55" s="186"/>
      <c r="BC55" s="186"/>
      <c r="BD55" s="186"/>
      <c r="BE55" s="186"/>
      <c r="BF55" s="186"/>
    </row>
    <row r="56">
      <c r="A56" s="177">
        <v>1.0</v>
      </c>
      <c r="B56" s="190">
        <v>17.2</v>
      </c>
      <c r="C56" s="185">
        <v>91.0</v>
      </c>
      <c r="D56" s="190"/>
      <c r="E56" s="190"/>
      <c r="F56" s="190"/>
      <c r="G56" s="190"/>
      <c r="H56" s="190"/>
      <c r="I56" s="190"/>
      <c r="J56" s="190"/>
      <c r="K56" s="190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6"/>
      <c r="AO56" s="186"/>
      <c r="AP56" s="186"/>
      <c r="AQ56" s="186"/>
      <c r="AR56" s="186"/>
      <c r="AS56" s="186"/>
      <c r="AT56" s="186"/>
      <c r="AU56" s="186"/>
      <c r="AV56" s="186"/>
      <c r="AW56" s="186"/>
      <c r="AX56" s="186"/>
      <c r="AY56" s="186"/>
      <c r="AZ56" s="186"/>
      <c r="BA56" s="186"/>
      <c r="BB56" s="186"/>
      <c r="BC56" s="186"/>
      <c r="BD56" s="186"/>
      <c r="BE56" s="186"/>
      <c r="BF56" s="186"/>
    </row>
    <row r="57">
      <c r="A57" s="177">
        <v>2.0</v>
      </c>
      <c r="B57" s="190">
        <v>18.5</v>
      </c>
      <c r="C57" s="185">
        <v>99.0</v>
      </c>
      <c r="D57" s="190"/>
      <c r="E57" s="190"/>
      <c r="F57" s="190"/>
      <c r="G57" s="190"/>
      <c r="H57" s="190"/>
      <c r="I57" s="190"/>
      <c r="J57" s="190"/>
      <c r="K57" s="190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  <c r="AO57" s="186"/>
      <c r="AP57" s="186"/>
      <c r="AQ57" s="186"/>
      <c r="AR57" s="186"/>
      <c r="AS57" s="186"/>
      <c r="AT57" s="186"/>
      <c r="AU57" s="186"/>
      <c r="AV57" s="186"/>
      <c r="AW57" s="186"/>
      <c r="AX57" s="186"/>
      <c r="AY57" s="186"/>
      <c r="AZ57" s="186"/>
      <c r="BA57" s="186"/>
      <c r="BB57" s="186"/>
      <c r="BC57" s="186"/>
      <c r="BD57" s="186"/>
      <c r="BE57" s="186"/>
      <c r="BF57" s="186"/>
    </row>
    <row r="58">
      <c r="A58" s="177">
        <v>3.0</v>
      </c>
      <c r="B58" s="190">
        <v>19.9</v>
      </c>
      <c r="C58" s="185">
        <v>106.0</v>
      </c>
      <c r="D58" s="190"/>
      <c r="E58" s="190"/>
      <c r="F58" s="190"/>
      <c r="G58" s="190"/>
      <c r="H58" s="190"/>
      <c r="I58" s="190"/>
      <c r="J58" s="190"/>
      <c r="K58" s="190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6"/>
      <c r="AU58" s="186"/>
      <c r="AV58" s="186"/>
      <c r="AW58" s="186"/>
      <c r="AX58" s="186"/>
      <c r="AY58" s="186"/>
      <c r="AZ58" s="186"/>
      <c r="BA58" s="186"/>
      <c r="BB58" s="186"/>
      <c r="BC58" s="186"/>
      <c r="BD58" s="186"/>
      <c r="BE58" s="186"/>
      <c r="BF58" s="186"/>
    </row>
    <row r="59">
      <c r="A59" s="177">
        <v>4.0</v>
      </c>
      <c r="B59" s="190">
        <v>21.3</v>
      </c>
      <c r="C59" s="185">
        <v>114.0</v>
      </c>
      <c r="D59" s="190"/>
      <c r="E59" s="190"/>
      <c r="F59" s="190"/>
      <c r="G59" s="190"/>
      <c r="H59" s="190"/>
      <c r="I59" s="190"/>
      <c r="J59" s="190"/>
      <c r="K59" s="190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186"/>
      <c r="AS59" s="186"/>
      <c r="AT59" s="186"/>
      <c r="AU59" s="186"/>
      <c r="AV59" s="186"/>
      <c r="AW59" s="186"/>
      <c r="AX59" s="186"/>
      <c r="AY59" s="186"/>
      <c r="AZ59" s="186"/>
      <c r="BA59" s="186"/>
      <c r="BB59" s="186"/>
      <c r="BC59" s="186"/>
      <c r="BD59" s="186"/>
      <c r="BE59" s="186"/>
      <c r="BF59" s="186"/>
    </row>
    <row r="60">
      <c r="A60" s="177">
        <v>5.0</v>
      </c>
      <c r="B60" s="190">
        <v>22.6</v>
      </c>
      <c r="C60" s="185">
        <v>121.0</v>
      </c>
      <c r="D60" s="190"/>
      <c r="E60" s="190"/>
      <c r="F60" s="190"/>
      <c r="G60" s="190"/>
      <c r="H60" s="190"/>
      <c r="I60" s="190"/>
      <c r="J60" s="190"/>
      <c r="K60" s="190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6"/>
      <c r="AT60" s="186"/>
      <c r="AU60" s="186"/>
      <c r="AV60" s="186"/>
      <c r="AW60" s="186"/>
      <c r="AX60" s="186"/>
      <c r="AY60" s="186"/>
      <c r="AZ60" s="186"/>
      <c r="BA60" s="186"/>
      <c r="BB60" s="186"/>
      <c r="BC60" s="186"/>
      <c r="BD60" s="186"/>
      <c r="BE60" s="186"/>
      <c r="BF60" s="186"/>
    </row>
    <row r="61">
      <c r="A61" s="177">
        <v>6.0</v>
      </c>
      <c r="B61" s="190">
        <v>24.6</v>
      </c>
      <c r="C61" s="185">
        <v>129.0</v>
      </c>
      <c r="D61" s="190"/>
      <c r="E61" s="190"/>
      <c r="F61" s="190"/>
      <c r="G61" s="190"/>
      <c r="H61" s="190"/>
      <c r="I61" s="190"/>
      <c r="J61" s="190"/>
      <c r="K61" s="190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</row>
    <row r="62">
      <c r="A62" s="177">
        <v>7.0</v>
      </c>
      <c r="B62" s="190">
        <v>26.6</v>
      </c>
      <c r="C62" s="185">
        <v>136.0</v>
      </c>
      <c r="D62" s="190"/>
      <c r="E62" s="190"/>
      <c r="F62" s="190"/>
      <c r="G62" s="190"/>
      <c r="H62" s="190"/>
      <c r="I62" s="190"/>
      <c r="J62" s="190"/>
      <c r="K62" s="190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</row>
    <row r="63">
      <c r="A63" s="177">
        <v>8.0</v>
      </c>
      <c r="B63" s="190">
        <v>28.9</v>
      </c>
      <c r="C63" s="185">
        <v>144.0</v>
      </c>
      <c r="D63" s="190"/>
      <c r="E63" s="190"/>
      <c r="F63" s="190"/>
      <c r="G63" s="190"/>
      <c r="H63" s="190"/>
      <c r="I63" s="190"/>
      <c r="J63" s="190"/>
      <c r="K63" s="190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</row>
    <row r="64">
      <c r="A64" s="177">
        <v>9.0</v>
      </c>
      <c r="B64" s="190">
        <v>31.4</v>
      </c>
      <c r="C64" s="185">
        <v>151.0</v>
      </c>
      <c r="D64" s="190"/>
      <c r="E64" s="190"/>
      <c r="F64" s="190"/>
      <c r="G64" s="190"/>
      <c r="H64" s="190"/>
      <c r="I64" s="190"/>
      <c r="J64" s="190"/>
      <c r="K64" s="190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</row>
    <row r="65">
      <c r="A65" s="177">
        <v>10.0</v>
      </c>
      <c r="B65" s="190">
        <v>34.1</v>
      </c>
      <c r="C65" s="185">
        <v>159.0</v>
      </c>
      <c r="D65" s="190"/>
      <c r="E65" s="190"/>
      <c r="F65" s="190"/>
      <c r="G65" s="190"/>
      <c r="H65" s="190"/>
      <c r="I65" s="190"/>
      <c r="J65" s="190"/>
      <c r="K65" s="190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</row>
    <row r="66">
      <c r="A66" s="177">
        <v>11.0</v>
      </c>
      <c r="B66" s="190">
        <v>37.2</v>
      </c>
      <c r="C66" s="185">
        <v>170.0</v>
      </c>
      <c r="D66" s="190"/>
      <c r="E66" s="190"/>
      <c r="F66" s="190"/>
      <c r="G66" s="190"/>
      <c r="H66" s="190"/>
      <c r="I66" s="190"/>
      <c r="J66" s="190"/>
      <c r="K66" s="190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86"/>
      <c r="AT66" s="186"/>
      <c r="AU66" s="186"/>
      <c r="AV66" s="186"/>
      <c r="AW66" s="186"/>
      <c r="AX66" s="186"/>
      <c r="AY66" s="186"/>
      <c r="AZ66" s="186"/>
      <c r="BA66" s="186"/>
      <c r="BB66" s="186"/>
      <c r="BC66" s="186"/>
      <c r="BD66" s="186"/>
      <c r="BE66" s="186"/>
      <c r="BF66" s="186"/>
    </row>
    <row r="67">
      <c r="A67" s="177">
        <v>12.0</v>
      </c>
      <c r="B67" s="190">
        <v>40.7</v>
      </c>
      <c r="C67" s="185">
        <v>181.0</v>
      </c>
      <c r="D67" s="190"/>
      <c r="E67" s="190"/>
      <c r="F67" s="190"/>
      <c r="G67" s="190"/>
      <c r="H67" s="190"/>
      <c r="I67" s="190"/>
      <c r="J67" s="190"/>
      <c r="K67" s="190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</row>
    <row r="68">
      <c r="A68" s="177">
        <v>13.0</v>
      </c>
      <c r="B68" s="190">
        <v>44.4</v>
      </c>
      <c r="C68" s="185">
        <v>192.0</v>
      </c>
      <c r="D68" s="190"/>
      <c r="E68" s="190"/>
      <c r="F68" s="190"/>
      <c r="G68" s="190"/>
      <c r="H68" s="190"/>
      <c r="I68" s="190"/>
      <c r="J68" s="190"/>
      <c r="K68" s="190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</row>
    <row r="69">
      <c r="A69" s="177">
        <v>14.0</v>
      </c>
      <c r="B69" s="190">
        <v>48.6</v>
      </c>
      <c r="C69" s="185">
        <v>204.0</v>
      </c>
      <c r="D69" s="190"/>
      <c r="E69" s="190"/>
      <c r="F69" s="190"/>
      <c r="G69" s="190"/>
      <c r="H69" s="190"/>
      <c r="I69" s="190"/>
      <c r="J69" s="190"/>
      <c r="K69" s="190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186"/>
      <c r="AX69" s="186"/>
      <c r="AY69" s="186"/>
      <c r="AZ69" s="186"/>
      <c r="BA69" s="186"/>
      <c r="BB69" s="186"/>
      <c r="BC69" s="186"/>
      <c r="BD69" s="186"/>
      <c r="BE69" s="186"/>
      <c r="BF69" s="186"/>
    </row>
    <row r="70">
      <c r="A70" s="177">
        <v>15.0</v>
      </c>
      <c r="B70" s="190">
        <v>53.7</v>
      </c>
      <c r="C70" s="185">
        <v>216.0</v>
      </c>
      <c r="D70" s="190"/>
      <c r="E70" s="190"/>
      <c r="F70" s="190"/>
      <c r="G70" s="190"/>
      <c r="H70" s="190"/>
      <c r="I70" s="190"/>
      <c r="J70" s="190"/>
      <c r="K70" s="190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</row>
    <row r="71">
      <c r="A71" s="177">
        <v>16.0</v>
      </c>
      <c r="B71" s="190">
        <v>59.1</v>
      </c>
      <c r="C71" s="185">
        <v>228.0</v>
      </c>
      <c r="D71" s="190"/>
      <c r="E71" s="190"/>
      <c r="F71" s="190"/>
      <c r="G71" s="190"/>
      <c r="H71" s="190"/>
      <c r="I71" s="190"/>
      <c r="J71" s="190"/>
      <c r="K71" s="190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  <c r="BD71" s="186"/>
      <c r="BE71" s="186"/>
      <c r="BF71" s="186"/>
    </row>
    <row r="72">
      <c r="A72" s="177">
        <v>17.0</v>
      </c>
      <c r="B72" s="190">
        <v>64.4</v>
      </c>
      <c r="C72" s="185">
        <v>248.0</v>
      </c>
      <c r="D72" s="190"/>
      <c r="E72" s="190"/>
      <c r="F72" s="190"/>
      <c r="G72" s="190"/>
      <c r="H72" s="190"/>
      <c r="I72" s="190"/>
      <c r="J72" s="190"/>
      <c r="K72" s="190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</row>
    <row r="73">
      <c r="A73" s="177">
        <v>18.0</v>
      </c>
      <c r="B73" s="190">
        <v>69.7</v>
      </c>
      <c r="C73" s="185">
        <v>268.0</v>
      </c>
      <c r="D73" s="190"/>
      <c r="E73" s="190"/>
      <c r="F73" s="190"/>
      <c r="G73" s="190"/>
      <c r="H73" s="190"/>
      <c r="I73" s="190"/>
      <c r="J73" s="190"/>
      <c r="K73" s="190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</row>
    <row r="74">
      <c r="A74" s="177">
        <v>19.0</v>
      </c>
      <c r="B74" s="190">
        <v>75.1</v>
      </c>
      <c r="C74" s="185">
        <v>287.0</v>
      </c>
      <c r="D74" s="190"/>
      <c r="E74" s="190"/>
      <c r="F74" s="190"/>
      <c r="G74" s="190"/>
      <c r="H74" s="190"/>
      <c r="I74" s="190"/>
      <c r="J74" s="190"/>
      <c r="K74" s="190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</row>
    <row r="75">
      <c r="A75" s="177">
        <v>20.0</v>
      </c>
      <c r="B75" s="190">
        <v>80.6</v>
      </c>
      <c r="C75" s="185">
        <v>304.0</v>
      </c>
      <c r="D75" s="190"/>
      <c r="E75" s="190"/>
      <c r="F75" s="190"/>
      <c r="G75" s="190"/>
      <c r="H75" s="190"/>
      <c r="I75" s="190"/>
      <c r="J75" s="190"/>
      <c r="K75" s="190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</row>
    <row r="76">
      <c r="A76" s="177">
        <v>21.0</v>
      </c>
      <c r="B76" s="190">
        <v>86.1</v>
      </c>
      <c r="C76" s="185">
        <v>320.0</v>
      </c>
      <c r="D76" s="190"/>
      <c r="E76" s="190"/>
      <c r="F76" s="190"/>
      <c r="G76" s="190"/>
      <c r="H76" s="190"/>
      <c r="I76" s="190"/>
      <c r="J76" s="190"/>
      <c r="K76" s="190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6"/>
      <c r="AT76" s="186"/>
      <c r="AU76" s="186"/>
      <c r="AV76" s="186"/>
      <c r="AW76" s="186"/>
      <c r="AX76" s="186"/>
      <c r="AY76" s="186"/>
      <c r="AZ76" s="186"/>
      <c r="BA76" s="186"/>
      <c r="BB76" s="186"/>
      <c r="BC76" s="186"/>
      <c r="BD76" s="186"/>
      <c r="BE76" s="186"/>
      <c r="BF76" s="186"/>
    </row>
    <row r="77">
      <c r="A77" s="177">
        <v>22.0</v>
      </c>
      <c r="B77" s="190">
        <v>91.7</v>
      </c>
      <c r="C77" s="185">
        <v>337.0</v>
      </c>
      <c r="D77" s="190"/>
      <c r="E77" s="190"/>
      <c r="F77" s="190"/>
      <c r="G77" s="190"/>
      <c r="H77" s="190"/>
      <c r="I77" s="190"/>
      <c r="J77" s="190"/>
      <c r="K77" s="190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/>
      <c r="BB77" s="186"/>
      <c r="BC77" s="186"/>
      <c r="BD77" s="186"/>
      <c r="BE77" s="186"/>
      <c r="BF77" s="186"/>
    </row>
    <row r="78">
      <c r="A78" s="177">
        <v>23.0</v>
      </c>
      <c r="B78" s="190">
        <v>97.2</v>
      </c>
      <c r="C78" s="185">
        <v>352.0</v>
      </c>
      <c r="D78" s="190"/>
      <c r="E78" s="190"/>
      <c r="F78" s="190"/>
      <c r="G78" s="190"/>
      <c r="H78" s="190"/>
      <c r="I78" s="190"/>
      <c r="J78" s="190"/>
      <c r="K78" s="190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</row>
    <row r="79">
      <c r="A79" s="177">
        <v>24.0</v>
      </c>
      <c r="B79" s="190">
        <v>102.8</v>
      </c>
      <c r="C79" s="185">
        <v>268.0</v>
      </c>
      <c r="D79" s="190"/>
      <c r="E79" s="190"/>
      <c r="F79" s="190"/>
      <c r="G79" s="190"/>
      <c r="H79" s="190"/>
      <c r="I79" s="190"/>
      <c r="J79" s="190"/>
      <c r="K79" s="190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</row>
    <row r="80">
      <c r="A80" s="177">
        <v>25.0</v>
      </c>
      <c r="B80" s="190">
        <v>108.4</v>
      </c>
      <c r="C80" s="185">
        <v>384.0</v>
      </c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</row>
    <row r="81">
      <c r="A81" s="177">
        <v>26.0</v>
      </c>
      <c r="B81" s="190">
        <v>113.2</v>
      </c>
      <c r="C81" s="185">
        <v>394.0</v>
      </c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</row>
    <row r="82">
      <c r="A82" s="177">
        <v>27.0</v>
      </c>
      <c r="B82" s="190">
        <v>118.1</v>
      </c>
      <c r="C82" s="185">
        <v>405.0</v>
      </c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6"/>
      <c r="AT82" s="186"/>
      <c r="AU82" s="186"/>
      <c r="AV82" s="186"/>
      <c r="AW82" s="186"/>
      <c r="AX82" s="186"/>
      <c r="AY82" s="186"/>
      <c r="AZ82" s="186"/>
      <c r="BA82" s="186"/>
      <c r="BB82" s="186"/>
      <c r="BC82" s="186"/>
      <c r="BD82" s="186"/>
      <c r="BE82" s="186"/>
      <c r="BF82" s="186"/>
    </row>
    <row r="83">
      <c r="A83" s="177">
        <v>28.0</v>
      </c>
      <c r="B83" s="190">
        <v>123.0</v>
      </c>
      <c r="C83" s="185">
        <v>416.0</v>
      </c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86"/>
      <c r="AT83" s="186"/>
      <c r="AU83" s="186"/>
      <c r="AV83" s="186"/>
      <c r="AW83" s="186"/>
      <c r="AX83" s="186"/>
      <c r="AY83" s="186"/>
      <c r="AZ83" s="186"/>
      <c r="BA83" s="186"/>
      <c r="BB83" s="186"/>
      <c r="BC83" s="186"/>
      <c r="BD83" s="186"/>
      <c r="BE83" s="186"/>
      <c r="BF83" s="186"/>
    </row>
    <row r="84">
      <c r="A84" s="177">
        <v>29.0</v>
      </c>
      <c r="B84" s="190">
        <v>129.7</v>
      </c>
      <c r="C84" s="185">
        <v>427.0</v>
      </c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86"/>
      <c r="AT84" s="186"/>
      <c r="AU84" s="186"/>
      <c r="AV84" s="186"/>
      <c r="AW84" s="186"/>
      <c r="AX84" s="186"/>
      <c r="AY84" s="186"/>
      <c r="AZ84" s="186"/>
      <c r="BA84" s="186"/>
      <c r="BB84" s="186"/>
      <c r="BC84" s="186"/>
      <c r="BD84" s="186"/>
      <c r="BE84" s="186"/>
      <c r="BF84" s="186"/>
    </row>
    <row r="85">
      <c r="A85" s="177">
        <v>30.0</v>
      </c>
      <c r="B85" s="190">
        <v>136.3</v>
      </c>
      <c r="C85" s="185">
        <v>438.0</v>
      </c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86"/>
      <c r="AT85" s="186"/>
      <c r="AU85" s="186"/>
      <c r="AV85" s="186"/>
      <c r="AW85" s="186"/>
      <c r="AX85" s="186"/>
      <c r="AY85" s="186"/>
      <c r="AZ85" s="186"/>
      <c r="BA85" s="186"/>
      <c r="BB85" s="186"/>
      <c r="BC85" s="186"/>
      <c r="BD85" s="186"/>
      <c r="BE85" s="186"/>
      <c r="BF85" s="186"/>
    </row>
    <row r="86">
      <c r="A86" s="177">
        <v>31.0</v>
      </c>
      <c r="B86" s="190">
        <v>142.7</v>
      </c>
      <c r="C86" s="185">
        <v>451.0</v>
      </c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86"/>
      <c r="AT86" s="186"/>
      <c r="AU86" s="186"/>
      <c r="AV86" s="186"/>
      <c r="AW86" s="186"/>
      <c r="AX86" s="186"/>
      <c r="AY86" s="186"/>
      <c r="AZ86" s="186"/>
      <c r="BA86" s="186"/>
      <c r="BB86" s="186"/>
      <c r="BC86" s="186"/>
      <c r="BD86" s="186"/>
      <c r="BE86" s="186"/>
      <c r="BF86" s="186"/>
    </row>
    <row r="87">
      <c r="A87" s="177">
        <v>32.0</v>
      </c>
      <c r="B87" s="190">
        <v>149.0</v>
      </c>
      <c r="C87" s="185">
        <v>464.0</v>
      </c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  <c r="AX87" s="186"/>
      <c r="AY87" s="186"/>
      <c r="AZ87" s="186"/>
      <c r="BA87" s="186"/>
      <c r="BB87" s="186"/>
      <c r="BC87" s="186"/>
      <c r="BD87" s="186"/>
      <c r="BE87" s="186"/>
      <c r="BF87" s="186"/>
    </row>
    <row r="88">
      <c r="A88" s="177">
        <v>33.0</v>
      </c>
      <c r="B88" s="190">
        <v>155.4</v>
      </c>
      <c r="C88" s="185">
        <v>477.0</v>
      </c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6"/>
      <c r="AO88" s="186"/>
      <c r="AP88" s="186"/>
      <c r="AQ88" s="186"/>
      <c r="AR88" s="186"/>
      <c r="AS88" s="186"/>
      <c r="AT88" s="186"/>
      <c r="AU88" s="186"/>
      <c r="AV88" s="186"/>
      <c r="AW88" s="186"/>
      <c r="AX88" s="186"/>
      <c r="AY88" s="186"/>
      <c r="AZ88" s="186"/>
      <c r="BA88" s="186"/>
      <c r="BB88" s="186"/>
      <c r="BC88" s="186"/>
      <c r="BD88" s="186"/>
      <c r="BE88" s="186"/>
      <c r="BF88" s="186"/>
    </row>
    <row r="89">
      <c r="A89" s="177">
        <v>34.0</v>
      </c>
      <c r="B89" s="190">
        <v>161.8</v>
      </c>
      <c r="C89" s="185">
        <v>491.0</v>
      </c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6"/>
      <c r="AO89" s="186"/>
      <c r="AP89" s="186"/>
      <c r="AQ89" s="186"/>
      <c r="AR89" s="186"/>
      <c r="AS89" s="186"/>
      <c r="AT89" s="186"/>
      <c r="AU89" s="186"/>
      <c r="AV89" s="186"/>
      <c r="AW89" s="186"/>
      <c r="AX89" s="186"/>
      <c r="AY89" s="186"/>
      <c r="AZ89" s="186"/>
      <c r="BA89" s="186"/>
      <c r="BB89" s="186"/>
      <c r="BC89" s="186"/>
      <c r="BD89" s="186"/>
      <c r="BE89" s="186"/>
      <c r="BF89" s="186"/>
    </row>
    <row r="90">
      <c r="A90" s="177">
        <v>35.0</v>
      </c>
      <c r="B90" s="190">
        <v>169.1</v>
      </c>
      <c r="C90" s="185">
        <v>503.0</v>
      </c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6"/>
      <c r="AK90" s="186"/>
      <c r="AL90" s="186"/>
      <c r="AM90" s="186"/>
      <c r="AN90" s="186"/>
      <c r="AO90" s="186"/>
      <c r="AP90" s="186"/>
      <c r="AQ90" s="186"/>
      <c r="AR90" s="186"/>
      <c r="AS90" s="186"/>
      <c r="AT90" s="186"/>
      <c r="AU90" s="186"/>
      <c r="AV90" s="186"/>
      <c r="AW90" s="186"/>
      <c r="AX90" s="186"/>
      <c r="AY90" s="186"/>
      <c r="AZ90" s="186"/>
      <c r="BA90" s="186"/>
      <c r="BB90" s="186"/>
      <c r="BC90" s="186"/>
      <c r="BD90" s="186"/>
      <c r="BE90" s="186"/>
      <c r="BF90" s="186"/>
    </row>
    <row r="91">
      <c r="A91" s="177">
        <v>36.0</v>
      </c>
      <c r="B91" s="190">
        <v>176.5</v>
      </c>
      <c r="C91" s="185">
        <v>514.0</v>
      </c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6"/>
      <c r="AL91" s="186"/>
      <c r="AM91" s="186"/>
      <c r="AN91" s="186"/>
      <c r="AO91" s="186"/>
      <c r="AP91" s="186"/>
      <c r="AQ91" s="186"/>
      <c r="AR91" s="186"/>
      <c r="AS91" s="186"/>
      <c r="AT91" s="186"/>
      <c r="AU91" s="186"/>
      <c r="AV91" s="186"/>
      <c r="AW91" s="186"/>
      <c r="AX91" s="186"/>
      <c r="AY91" s="186"/>
      <c r="AZ91" s="186"/>
      <c r="BA91" s="186"/>
      <c r="BB91" s="186"/>
      <c r="BC91" s="186"/>
      <c r="BD91" s="186"/>
      <c r="BE91" s="186"/>
      <c r="BF91" s="186"/>
    </row>
    <row r="92">
      <c r="A92" s="177">
        <v>37.0</v>
      </c>
      <c r="B92" s="190">
        <v>184.1</v>
      </c>
      <c r="C92" s="185">
        <v>531.0</v>
      </c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6"/>
      <c r="AL92" s="186"/>
      <c r="AM92" s="186"/>
      <c r="AN92" s="186"/>
      <c r="AO92" s="186"/>
      <c r="AP92" s="186"/>
      <c r="AQ92" s="186"/>
      <c r="AR92" s="186"/>
      <c r="AS92" s="186"/>
      <c r="AT92" s="186"/>
      <c r="AU92" s="186"/>
      <c r="AV92" s="186"/>
      <c r="AW92" s="186"/>
      <c r="AX92" s="186"/>
      <c r="AY92" s="186"/>
      <c r="AZ92" s="186"/>
      <c r="BA92" s="186"/>
      <c r="BB92" s="186"/>
      <c r="BC92" s="186"/>
      <c r="BD92" s="186"/>
      <c r="BE92" s="186"/>
      <c r="BF92" s="186"/>
    </row>
    <row r="93">
      <c r="A93" s="177">
        <v>38.0</v>
      </c>
      <c r="B93" s="190">
        <v>191.7</v>
      </c>
      <c r="C93" s="185">
        <v>550.0</v>
      </c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6"/>
      <c r="AL93" s="186"/>
      <c r="AM93" s="186"/>
      <c r="AN93" s="186"/>
      <c r="AO93" s="186"/>
      <c r="AP93" s="186"/>
      <c r="AQ93" s="186"/>
      <c r="AR93" s="186"/>
      <c r="AS93" s="186"/>
      <c r="AT93" s="186"/>
      <c r="AU93" s="186"/>
      <c r="AV93" s="186"/>
      <c r="AW93" s="186"/>
      <c r="AX93" s="186"/>
      <c r="AY93" s="186"/>
      <c r="AZ93" s="186"/>
      <c r="BA93" s="186"/>
      <c r="BB93" s="186"/>
      <c r="BC93" s="186"/>
      <c r="BD93" s="186"/>
      <c r="BE93" s="186"/>
      <c r="BF93" s="186"/>
    </row>
    <row r="94">
      <c r="A94" s="177">
        <v>39.0</v>
      </c>
      <c r="B94" s="190">
        <v>199.6</v>
      </c>
      <c r="C94" s="185">
        <v>569.0</v>
      </c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</row>
    <row r="95">
      <c r="A95" s="177">
        <v>40.0</v>
      </c>
      <c r="B95" s="190">
        <v>207.4</v>
      </c>
      <c r="C95" s="185">
        <v>585.0</v>
      </c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6"/>
      <c r="AL95" s="186"/>
      <c r="AM95" s="186"/>
      <c r="AN95" s="186"/>
      <c r="AO95" s="186"/>
      <c r="AP95" s="186"/>
      <c r="AQ95" s="186"/>
      <c r="AR95" s="186"/>
      <c r="AS95" s="186"/>
      <c r="AT95" s="186"/>
      <c r="AU95" s="186"/>
      <c r="AV95" s="186"/>
      <c r="AW95" s="186"/>
      <c r="AX95" s="186"/>
      <c r="AY95" s="186"/>
      <c r="AZ95" s="186"/>
      <c r="BA95" s="186"/>
      <c r="BB95" s="186"/>
      <c r="BC95" s="186"/>
      <c r="BD95" s="186"/>
      <c r="BE95" s="186"/>
      <c r="BF95" s="186"/>
    </row>
    <row r="96">
      <c r="A96" s="177">
        <v>41.0</v>
      </c>
      <c r="B96" s="190">
        <v>215.4</v>
      </c>
      <c r="C96" s="185">
        <v>606.0</v>
      </c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</row>
    <row r="97">
      <c r="A97" s="177">
        <v>42.0</v>
      </c>
      <c r="B97" s="190">
        <v>224.2</v>
      </c>
      <c r="C97" s="185">
        <v>626.0</v>
      </c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6"/>
      <c r="AT97" s="186"/>
      <c r="AU97" s="186"/>
      <c r="AV97" s="186"/>
      <c r="AW97" s="186"/>
      <c r="AX97" s="186"/>
      <c r="AY97" s="186"/>
      <c r="AZ97" s="186"/>
      <c r="BA97" s="186"/>
      <c r="BB97" s="186"/>
      <c r="BC97" s="186"/>
      <c r="BD97" s="186"/>
      <c r="BE97" s="186"/>
      <c r="BF97" s="186"/>
    </row>
    <row r="98">
      <c r="A98" s="177">
        <v>43.0</v>
      </c>
      <c r="B98" s="190">
        <v>233.5</v>
      </c>
      <c r="C98" s="185">
        <v>646.0</v>
      </c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</row>
    <row r="99">
      <c r="A99" s="177">
        <v>44.0</v>
      </c>
      <c r="B99" s="190">
        <v>243.4</v>
      </c>
      <c r="C99" s="185">
        <v>666.0</v>
      </c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6"/>
      <c r="AT99" s="186"/>
      <c r="AU99" s="186"/>
      <c r="AV99" s="186"/>
      <c r="AW99" s="186"/>
      <c r="AX99" s="186"/>
      <c r="AY99" s="186"/>
      <c r="AZ99" s="186"/>
      <c r="BA99" s="186"/>
      <c r="BB99" s="186"/>
      <c r="BC99" s="186"/>
      <c r="BD99" s="186"/>
      <c r="BE99" s="186"/>
      <c r="BF99" s="186"/>
    </row>
    <row r="100">
      <c r="A100" s="177">
        <v>45.0</v>
      </c>
      <c r="B100" s="190">
        <v>256.1</v>
      </c>
      <c r="C100" s="185">
        <v>685.0</v>
      </c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  <c r="AX100" s="186"/>
      <c r="AY100" s="186"/>
      <c r="AZ100" s="186"/>
      <c r="BA100" s="186"/>
      <c r="BB100" s="186"/>
      <c r="BC100" s="186"/>
      <c r="BD100" s="186"/>
      <c r="BE100" s="186"/>
      <c r="BF100" s="186"/>
    </row>
    <row r="101">
      <c r="A101" s="177">
        <v>46.0</v>
      </c>
      <c r="B101" s="190">
        <v>268.5</v>
      </c>
      <c r="C101" s="185">
        <v>701.0</v>
      </c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6"/>
      <c r="AY101" s="186"/>
      <c r="AZ101" s="186"/>
      <c r="BA101" s="186"/>
      <c r="BB101" s="186"/>
      <c r="BC101" s="186"/>
      <c r="BD101" s="186"/>
      <c r="BE101" s="186"/>
      <c r="BF101" s="186"/>
    </row>
    <row r="102">
      <c r="A102" s="177">
        <v>47.0</v>
      </c>
      <c r="B102" s="190">
        <v>281.5</v>
      </c>
      <c r="C102" s="185">
        <v>723.0</v>
      </c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186"/>
      <c r="AP102" s="186"/>
      <c r="AQ102" s="186"/>
      <c r="AR102" s="186"/>
      <c r="AS102" s="186"/>
      <c r="AT102" s="186"/>
      <c r="AU102" s="186"/>
      <c r="AV102" s="186"/>
      <c r="AW102" s="186"/>
      <c r="AX102" s="186"/>
      <c r="AY102" s="186"/>
      <c r="AZ102" s="186"/>
      <c r="BA102" s="186"/>
      <c r="BB102" s="186"/>
      <c r="BC102" s="186"/>
      <c r="BD102" s="186"/>
      <c r="BE102" s="186"/>
      <c r="BF102" s="186"/>
    </row>
    <row r="103">
      <c r="A103" s="177">
        <v>48.0</v>
      </c>
      <c r="B103" s="190">
        <v>295.0</v>
      </c>
      <c r="C103" s="185">
        <v>746.0</v>
      </c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86"/>
      <c r="AT103" s="186"/>
      <c r="AU103" s="186"/>
      <c r="AV103" s="186"/>
      <c r="AW103" s="186"/>
      <c r="AX103" s="186"/>
      <c r="AY103" s="186"/>
      <c r="AZ103" s="186"/>
      <c r="BA103" s="186"/>
      <c r="BB103" s="186"/>
      <c r="BC103" s="186"/>
      <c r="BD103" s="186"/>
      <c r="BE103" s="186"/>
      <c r="BF103" s="186"/>
    </row>
    <row r="104">
      <c r="A104" s="177">
        <v>49.0</v>
      </c>
      <c r="B104" s="190">
        <v>309.1</v>
      </c>
      <c r="C104" s="185">
        <v>768.0</v>
      </c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86"/>
      <c r="AT104" s="186"/>
      <c r="AU104" s="186"/>
      <c r="AV104" s="186"/>
      <c r="AW104" s="186"/>
      <c r="AX104" s="186"/>
      <c r="AY104" s="186"/>
      <c r="AZ104" s="186"/>
      <c r="BA104" s="186"/>
      <c r="BB104" s="186"/>
      <c r="BC104" s="186"/>
      <c r="BD104" s="186"/>
      <c r="BE104" s="186"/>
      <c r="BF104" s="186"/>
    </row>
    <row r="105">
      <c r="A105" s="177">
        <v>50.0</v>
      </c>
      <c r="B105" s="190">
        <v>323.6</v>
      </c>
      <c r="C105" s="185">
        <v>787.0</v>
      </c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  <c r="AX105" s="186"/>
      <c r="AY105" s="186"/>
      <c r="AZ105" s="186"/>
      <c r="BA105" s="186"/>
      <c r="BB105" s="186"/>
      <c r="BC105" s="186"/>
      <c r="BD105" s="186"/>
      <c r="BE105" s="186"/>
      <c r="BF105" s="186"/>
    </row>
    <row r="106">
      <c r="A106" s="177">
        <v>51.0</v>
      </c>
      <c r="B106" s="190">
        <v>336.8</v>
      </c>
      <c r="C106" s="185">
        <v>810.0</v>
      </c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186"/>
      <c r="AT106" s="186"/>
      <c r="AU106" s="186"/>
      <c r="AV106" s="186"/>
      <c r="AW106" s="186"/>
      <c r="AX106" s="186"/>
      <c r="AY106" s="186"/>
      <c r="AZ106" s="186"/>
      <c r="BA106" s="186"/>
      <c r="BB106" s="186"/>
      <c r="BC106" s="186"/>
      <c r="BD106" s="186"/>
      <c r="BE106" s="186"/>
      <c r="BF106" s="186"/>
    </row>
    <row r="107">
      <c r="A107" s="177">
        <v>52.0</v>
      </c>
      <c r="B107" s="190">
        <v>350.5</v>
      </c>
      <c r="C107" s="185">
        <v>832.0</v>
      </c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186"/>
      <c r="AT107" s="186"/>
      <c r="AU107" s="186"/>
      <c r="AV107" s="186"/>
      <c r="AW107" s="186"/>
      <c r="AX107" s="186"/>
      <c r="AY107" s="186"/>
      <c r="AZ107" s="186"/>
      <c r="BA107" s="186"/>
      <c r="BB107" s="186"/>
      <c r="BC107" s="186"/>
      <c r="BD107" s="186"/>
      <c r="BE107" s="186"/>
      <c r="BF107" s="186"/>
    </row>
    <row r="108">
      <c r="A108" s="177">
        <v>53.0</v>
      </c>
      <c r="B108" s="190">
        <v>364.5</v>
      </c>
      <c r="C108" s="185">
        <v>855.0</v>
      </c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186"/>
      <c r="AT108" s="186"/>
      <c r="AU108" s="186"/>
      <c r="AV108" s="186"/>
      <c r="AW108" s="186"/>
      <c r="AX108" s="186"/>
      <c r="AY108" s="186"/>
      <c r="AZ108" s="186"/>
      <c r="BA108" s="186"/>
      <c r="BB108" s="186"/>
      <c r="BC108" s="186"/>
      <c r="BD108" s="186"/>
      <c r="BE108" s="186"/>
      <c r="BF108" s="186"/>
    </row>
    <row r="109">
      <c r="A109" s="177">
        <v>54.0</v>
      </c>
      <c r="B109" s="190">
        <v>378.6</v>
      </c>
      <c r="C109" s="185">
        <v>878.0</v>
      </c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  <c r="AG109" s="186"/>
      <c r="AH109" s="186"/>
      <c r="AI109" s="186"/>
      <c r="AJ109" s="186"/>
      <c r="AK109" s="186"/>
      <c r="AL109" s="186"/>
      <c r="AM109" s="186"/>
      <c r="AN109" s="186"/>
      <c r="AO109" s="186"/>
      <c r="AP109" s="186"/>
      <c r="AQ109" s="186"/>
      <c r="AR109" s="186"/>
      <c r="AS109" s="186"/>
      <c r="AT109" s="186"/>
      <c r="AU109" s="186"/>
      <c r="AV109" s="186"/>
      <c r="AW109" s="186"/>
      <c r="AX109" s="186"/>
      <c r="AY109" s="186"/>
      <c r="AZ109" s="186"/>
      <c r="BA109" s="186"/>
      <c r="BB109" s="186"/>
      <c r="BC109" s="186"/>
      <c r="BD109" s="186"/>
      <c r="BE109" s="186"/>
      <c r="BF109" s="186"/>
    </row>
    <row r="110">
      <c r="A110" s="177">
        <v>55.0</v>
      </c>
      <c r="B110" s="190">
        <v>398.6</v>
      </c>
      <c r="C110" s="185">
        <v>899.0</v>
      </c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  <c r="AV110" s="186"/>
      <c r="AW110" s="186"/>
      <c r="AX110" s="186"/>
      <c r="AY110" s="186"/>
      <c r="AZ110" s="186"/>
      <c r="BA110" s="186"/>
      <c r="BB110" s="186"/>
      <c r="BC110" s="186"/>
      <c r="BD110" s="186"/>
      <c r="BE110" s="186"/>
      <c r="BF110" s="186"/>
    </row>
    <row r="111">
      <c r="A111" s="177">
        <v>56.0</v>
      </c>
      <c r="B111" s="190">
        <v>416.4</v>
      </c>
      <c r="C111" s="185">
        <v>919.0</v>
      </c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86"/>
      <c r="AO111" s="186"/>
      <c r="AP111" s="186"/>
      <c r="AQ111" s="186"/>
      <c r="AR111" s="186"/>
      <c r="AS111" s="186"/>
      <c r="AT111" s="186"/>
      <c r="AU111" s="186"/>
      <c r="AV111" s="186"/>
      <c r="AW111" s="186"/>
      <c r="AX111" s="186"/>
      <c r="AY111" s="186"/>
      <c r="AZ111" s="186"/>
      <c r="BA111" s="186"/>
      <c r="BB111" s="186"/>
      <c r="BC111" s="186"/>
      <c r="BD111" s="186"/>
      <c r="BE111" s="186"/>
      <c r="BF111" s="186"/>
    </row>
    <row r="112">
      <c r="A112" s="177">
        <v>57.0</v>
      </c>
      <c r="B112" s="190">
        <v>434.4</v>
      </c>
      <c r="C112" s="185">
        <v>946.0</v>
      </c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6"/>
      <c r="AT112" s="186"/>
      <c r="AU112" s="186"/>
      <c r="AV112" s="186"/>
      <c r="AW112" s="186"/>
      <c r="AX112" s="186"/>
      <c r="AY112" s="186"/>
      <c r="AZ112" s="186"/>
      <c r="BA112" s="186"/>
      <c r="BB112" s="186"/>
      <c r="BC112" s="186"/>
      <c r="BD112" s="186"/>
      <c r="BE112" s="186"/>
      <c r="BF112" s="186"/>
    </row>
    <row r="113">
      <c r="A113" s="177">
        <v>58.0</v>
      </c>
      <c r="B113" s="190">
        <v>453.0</v>
      </c>
      <c r="C113" s="185">
        <v>975.0</v>
      </c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6"/>
      <c r="AO113" s="186"/>
      <c r="AP113" s="186"/>
      <c r="AQ113" s="186"/>
      <c r="AR113" s="186"/>
      <c r="AS113" s="186"/>
      <c r="AT113" s="186"/>
      <c r="AU113" s="186"/>
      <c r="AV113" s="186"/>
      <c r="AW113" s="186"/>
      <c r="AX113" s="186"/>
      <c r="AY113" s="186"/>
      <c r="AZ113" s="186"/>
      <c r="BA113" s="186"/>
      <c r="BB113" s="186"/>
      <c r="BC113" s="186"/>
      <c r="BD113" s="186"/>
      <c r="BE113" s="186"/>
      <c r="BF113" s="186"/>
    </row>
    <row r="114">
      <c r="A114" s="177">
        <v>59.0</v>
      </c>
      <c r="B114" s="190">
        <v>472.6</v>
      </c>
      <c r="C114" s="185">
        <v>1004.0</v>
      </c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6"/>
      <c r="AT114" s="186"/>
      <c r="AU114" s="186"/>
      <c r="AV114" s="186"/>
      <c r="AW114" s="186"/>
      <c r="AX114" s="186"/>
      <c r="AY114" s="186"/>
      <c r="AZ114" s="186"/>
      <c r="BA114" s="186"/>
      <c r="BB114" s="186"/>
      <c r="BC114" s="186"/>
      <c r="BD114" s="186"/>
      <c r="BE114" s="186"/>
      <c r="BF114" s="186"/>
    </row>
    <row r="115">
      <c r="A115" s="177">
        <v>60.0</v>
      </c>
      <c r="B115" s="190">
        <v>492.9</v>
      </c>
      <c r="C115" s="185">
        <v>1030.0</v>
      </c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6"/>
      <c r="AT115" s="186"/>
      <c r="AU115" s="186"/>
      <c r="AV115" s="186"/>
      <c r="AW115" s="186"/>
      <c r="AX115" s="186"/>
      <c r="AY115" s="186"/>
      <c r="AZ115" s="186"/>
      <c r="BA115" s="186"/>
      <c r="BB115" s="186"/>
      <c r="BC115" s="186"/>
      <c r="BD115" s="186"/>
      <c r="BE115" s="186"/>
      <c r="BF115" s="186"/>
    </row>
    <row r="116">
      <c r="A116" s="177">
        <v>61.0</v>
      </c>
      <c r="B116" s="190">
        <v>513.6</v>
      </c>
      <c r="C116" s="185">
        <v>1057.0</v>
      </c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6"/>
      <c r="AT116" s="186"/>
      <c r="AU116" s="186"/>
      <c r="AV116" s="186"/>
      <c r="AW116" s="186"/>
      <c r="AX116" s="186"/>
      <c r="AY116" s="186"/>
      <c r="AZ116" s="186"/>
      <c r="BA116" s="186"/>
      <c r="BB116" s="186"/>
      <c r="BC116" s="186"/>
      <c r="BD116" s="186"/>
      <c r="BE116" s="186"/>
      <c r="BF116" s="186"/>
    </row>
    <row r="117">
      <c r="A117" s="177">
        <v>62.0</v>
      </c>
      <c r="B117" s="190">
        <v>539.1</v>
      </c>
      <c r="C117" s="185">
        <v>1085.0</v>
      </c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6"/>
      <c r="AT117" s="186"/>
      <c r="AU117" s="186"/>
      <c r="AV117" s="186"/>
      <c r="AW117" s="186"/>
      <c r="AX117" s="186"/>
      <c r="AY117" s="186"/>
      <c r="AZ117" s="186"/>
      <c r="BA117" s="186"/>
      <c r="BB117" s="186"/>
      <c r="BC117" s="186"/>
      <c r="BD117" s="186"/>
      <c r="BE117" s="186"/>
      <c r="BF117" s="186"/>
    </row>
    <row r="118">
      <c r="A118" s="177">
        <v>63.0</v>
      </c>
      <c r="B118" s="190">
        <v>565.5</v>
      </c>
      <c r="C118" s="185">
        <v>1114.0</v>
      </c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6"/>
      <c r="AT118" s="186"/>
      <c r="AU118" s="186"/>
      <c r="AV118" s="186"/>
      <c r="AW118" s="186"/>
      <c r="AX118" s="186"/>
      <c r="AY118" s="186"/>
      <c r="AZ118" s="186"/>
      <c r="BA118" s="186"/>
      <c r="BB118" s="186"/>
      <c r="BC118" s="186"/>
      <c r="BD118" s="186"/>
      <c r="BE118" s="186"/>
      <c r="BF118" s="186"/>
    </row>
    <row r="119">
      <c r="A119" s="177">
        <v>64.0</v>
      </c>
      <c r="B119" s="190">
        <v>592.5</v>
      </c>
      <c r="C119" s="185">
        <v>1149.0</v>
      </c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86"/>
      <c r="AT119" s="186"/>
      <c r="AU119" s="186"/>
      <c r="AV119" s="186"/>
      <c r="AW119" s="186"/>
      <c r="AX119" s="186"/>
      <c r="AY119" s="186"/>
      <c r="AZ119" s="186"/>
      <c r="BA119" s="186"/>
      <c r="BB119" s="186"/>
      <c r="BC119" s="186"/>
      <c r="BD119" s="186"/>
      <c r="BE119" s="186"/>
      <c r="BF119" s="186"/>
    </row>
    <row r="120">
      <c r="A120" s="177">
        <v>65.0</v>
      </c>
      <c r="B120" s="190">
        <v>624.4</v>
      </c>
      <c r="C120" s="185">
        <v>1178.0</v>
      </c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186"/>
      <c r="AT120" s="186"/>
      <c r="AU120" s="186"/>
      <c r="AV120" s="186"/>
      <c r="AW120" s="186"/>
      <c r="AX120" s="186"/>
      <c r="AY120" s="186"/>
      <c r="AZ120" s="186"/>
      <c r="BA120" s="186"/>
      <c r="BB120" s="186"/>
      <c r="BC120" s="186"/>
      <c r="BD120" s="186"/>
      <c r="BE120" s="186"/>
      <c r="BF120" s="186"/>
    </row>
    <row r="121">
      <c r="A121" s="177">
        <v>66.0</v>
      </c>
      <c r="B121" s="190">
        <v>651.5</v>
      </c>
      <c r="C121" s="185">
        <v>1200.0</v>
      </c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86"/>
      <c r="AT121" s="186"/>
      <c r="AU121" s="186"/>
      <c r="AV121" s="186"/>
      <c r="AW121" s="186"/>
      <c r="AX121" s="186"/>
      <c r="AY121" s="186"/>
      <c r="AZ121" s="186"/>
      <c r="BA121" s="186"/>
      <c r="BB121" s="186"/>
      <c r="BC121" s="186"/>
      <c r="BD121" s="186"/>
      <c r="BE121" s="186"/>
      <c r="BF121" s="186"/>
    </row>
    <row r="122">
      <c r="A122" s="177">
        <v>67.0</v>
      </c>
      <c r="B122" s="190">
        <v>679.5</v>
      </c>
      <c r="C122" s="185">
        <v>1228.0</v>
      </c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86"/>
      <c r="AT122" s="186"/>
      <c r="AU122" s="186"/>
      <c r="AV122" s="186"/>
      <c r="AW122" s="186"/>
      <c r="AX122" s="186"/>
      <c r="AY122" s="186"/>
      <c r="AZ122" s="186"/>
      <c r="BA122" s="186"/>
      <c r="BB122" s="186"/>
      <c r="BC122" s="186"/>
      <c r="BD122" s="186"/>
      <c r="BE122" s="186"/>
      <c r="BF122" s="186"/>
    </row>
    <row r="123">
      <c r="A123" s="177">
        <v>68.0</v>
      </c>
      <c r="B123" s="190">
        <v>707.8</v>
      </c>
      <c r="C123" s="185">
        <v>1257.0</v>
      </c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  <c r="AA123" s="186"/>
      <c r="AB123" s="186"/>
      <c r="AC123" s="186"/>
      <c r="AD123" s="186"/>
      <c r="AE123" s="186"/>
      <c r="AF123" s="186"/>
      <c r="AG123" s="186"/>
      <c r="AH123" s="186"/>
      <c r="AI123" s="186"/>
      <c r="AJ123" s="186"/>
      <c r="AK123" s="186"/>
      <c r="AL123" s="186"/>
      <c r="AM123" s="186"/>
      <c r="AN123" s="186"/>
      <c r="AO123" s="186"/>
      <c r="AP123" s="186"/>
      <c r="AQ123" s="186"/>
      <c r="AR123" s="186"/>
      <c r="AS123" s="186"/>
      <c r="AT123" s="186"/>
      <c r="AU123" s="186"/>
      <c r="AV123" s="186"/>
      <c r="AW123" s="186"/>
      <c r="AX123" s="186"/>
      <c r="AY123" s="186"/>
      <c r="AZ123" s="186"/>
      <c r="BA123" s="186"/>
      <c r="BB123" s="186"/>
      <c r="BC123" s="186"/>
      <c r="BD123" s="186"/>
      <c r="BE123" s="186"/>
      <c r="BF123" s="186"/>
    </row>
    <row r="124">
      <c r="A124" s="177">
        <v>69.0</v>
      </c>
      <c r="B124" s="190">
        <v>736.7</v>
      </c>
      <c r="C124" s="185">
        <v>1285.0</v>
      </c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  <c r="AG124" s="186"/>
      <c r="AH124" s="186"/>
      <c r="AI124" s="186"/>
      <c r="AJ124" s="186"/>
      <c r="AK124" s="186"/>
      <c r="AL124" s="186"/>
      <c r="AM124" s="186"/>
      <c r="AN124" s="186"/>
      <c r="AO124" s="186"/>
      <c r="AP124" s="186"/>
      <c r="AQ124" s="186"/>
      <c r="AR124" s="186"/>
      <c r="AS124" s="186"/>
      <c r="AT124" s="186"/>
      <c r="AU124" s="186"/>
      <c r="AV124" s="186"/>
      <c r="AW124" s="186"/>
      <c r="AX124" s="186"/>
      <c r="AY124" s="186"/>
      <c r="AZ124" s="186"/>
      <c r="BA124" s="186"/>
      <c r="BB124" s="186"/>
      <c r="BC124" s="186"/>
      <c r="BD124" s="186"/>
      <c r="BE124" s="186"/>
      <c r="BF124" s="186"/>
    </row>
    <row r="125">
      <c r="A125" s="177">
        <v>70.0</v>
      </c>
      <c r="B125" s="190">
        <v>765.6</v>
      </c>
      <c r="C125" s="185">
        <v>1315.0</v>
      </c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  <c r="AA125" s="186"/>
      <c r="AB125" s="186"/>
      <c r="AC125" s="186"/>
      <c r="AD125" s="186"/>
      <c r="AE125" s="186"/>
      <c r="AF125" s="186"/>
      <c r="AG125" s="186"/>
      <c r="AH125" s="186"/>
      <c r="AI125" s="186"/>
      <c r="AJ125" s="186"/>
      <c r="AK125" s="186"/>
      <c r="AL125" s="186"/>
      <c r="AM125" s="186"/>
      <c r="AN125" s="186"/>
      <c r="AO125" s="186"/>
      <c r="AP125" s="186"/>
      <c r="AQ125" s="186"/>
      <c r="AR125" s="186"/>
      <c r="AS125" s="186"/>
      <c r="AT125" s="186"/>
      <c r="AU125" s="186"/>
      <c r="AV125" s="186"/>
      <c r="AW125" s="186"/>
      <c r="AX125" s="186"/>
      <c r="AY125" s="186"/>
      <c r="AZ125" s="186"/>
      <c r="BA125" s="186"/>
      <c r="BB125" s="186"/>
      <c r="BC125" s="186"/>
      <c r="BD125" s="186"/>
      <c r="BE125" s="186"/>
      <c r="BF125" s="186"/>
    </row>
    <row r="126">
      <c r="A126" s="177">
        <v>71.0</v>
      </c>
      <c r="B126" s="190">
        <v>794.8</v>
      </c>
      <c r="C126" s="185">
        <v>1343.0</v>
      </c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  <c r="AA126" s="186"/>
      <c r="AB126" s="186"/>
      <c r="AC126" s="186"/>
      <c r="AD126" s="186"/>
      <c r="AE126" s="186"/>
      <c r="AF126" s="186"/>
      <c r="AG126" s="186"/>
      <c r="AH126" s="186"/>
      <c r="AI126" s="186"/>
      <c r="AJ126" s="186"/>
      <c r="AK126" s="186"/>
      <c r="AL126" s="186"/>
      <c r="AM126" s="186"/>
      <c r="AN126" s="186"/>
      <c r="AO126" s="186"/>
      <c r="AP126" s="186"/>
      <c r="AQ126" s="186"/>
      <c r="AR126" s="186"/>
      <c r="AS126" s="186"/>
      <c r="AT126" s="186"/>
      <c r="AU126" s="186"/>
      <c r="AV126" s="186"/>
      <c r="AW126" s="186"/>
      <c r="AX126" s="186"/>
      <c r="AY126" s="186"/>
      <c r="AZ126" s="186"/>
      <c r="BA126" s="186"/>
      <c r="BB126" s="186"/>
      <c r="BC126" s="186"/>
      <c r="BD126" s="186"/>
      <c r="BE126" s="186"/>
      <c r="BF126" s="186"/>
    </row>
    <row r="127">
      <c r="A127" s="177">
        <v>72.0</v>
      </c>
      <c r="B127" s="190">
        <v>824.7</v>
      </c>
      <c r="C127" s="185">
        <v>1373.0</v>
      </c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6"/>
      <c r="AH127" s="186"/>
      <c r="AI127" s="186"/>
      <c r="AJ127" s="186"/>
      <c r="AK127" s="186"/>
      <c r="AL127" s="186"/>
      <c r="AM127" s="186"/>
      <c r="AN127" s="186"/>
      <c r="AO127" s="186"/>
      <c r="AP127" s="186"/>
      <c r="AQ127" s="186"/>
      <c r="AR127" s="186"/>
      <c r="AS127" s="186"/>
      <c r="AT127" s="186"/>
      <c r="AU127" s="186"/>
      <c r="AV127" s="186"/>
      <c r="AW127" s="186"/>
      <c r="AX127" s="186"/>
      <c r="AY127" s="186"/>
      <c r="AZ127" s="186"/>
      <c r="BA127" s="186"/>
      <c r="BB127" s="186"/>
      <c r="BC127" s="186"/>
      <c r="BD127" s="186"/>
      <c r="BE127" s="186"/>
      <c r="BF127" s="186"/>
    </row>
    <row r="128">
      <c r="A128" s="177">
        <v>73.0</v>
      </c>
      <c r="B128" s="190">
        <v>851.2</v>
      </c>
      <c r="C128" s="185">
        <v>1396.0</v>
      </c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  <c r="AA128" s="186"/>
      <c r="AB128" s="186"/>
      <c r="AC128" s="186"/>
      <c r="AD128" s="186"/>
      <c r="AE128" s="186"/>
      <c r="AF128" s="186"/>
      <c r="AG128" s="186"/>
      <c r="AH128" s="186"/>
      <c r="AI128" s="186"/>
      <c r="AJ128" s="186"/>
      <c r="AK128" s="186"/>
      <c r="AL128" s="186"/>
      <c r="AM128" s="186"/>
      <c r="AN128" s="186"/>
      <c r="AO128" s="186"/>
      <c r="AP128" s="186"/>
      <c r="AQ128" s="186"/>
      <c r="AR128" s="186"/>
      <c r="AS128" s="186"/>
      <c r="AT128" s="186"/>
      <c r="AU128" s="186"/>
      <c r="AV128" s="186"/>
      <c r="AW128" s="186"/>
      <c r="AX128" s="186"/>
      <c r="AY128" s="186"/>
      <c r="AZ128" s="186"/>
      <c r="BA128" s="186"/>
      <c r="BB128" s="186"/>
      <c r="BC128" s="186"/>
      <c r="BD128" s="186"/>
      <c r="BE128" s="186"/>
      <c r="BF128" s="186"/>
    </row>
    <row r="129">
      <c r="A129" s="177">
        <v>74.0</v>
      </c>
      <c r="B129" s="190">
        <v>877.7</v>
      </c>
      <c r="C129" s="185">
        <v>1427.0</v>
      </c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6"/>
      <c r="AD129" s="186"/>
      <c r="AE129" s="186"/>
      <c r="AF129" s="186"/>
      <c r="AG129" s="186"/>
      <c r="AH129" s="186"/>
      <c r="AI129" s="186"/>
      <c r="AJ129" s="186"/>
      <c r="AK129" s="186"/>
      <c r="AL129" s="186"/>
      <c r="AM129" s="186"/>
      <c r="AN129" s="186"/>
      <c r="AO129" s="186"/>
      <c r="AP129" s="186"/>
      <c r="AQ129" s="186"/>
      <c r="AR129" s="186"/>
      <c r="AS129" s="186"/>
      <c r="AT129" s="186"/>
      <c r="AU129" s="186"/>
      <c r="AV129" s="186"/>
      <c r="AW129" s="186"/>
      <c r="AX129" s="186"/>
      <c r="AY129" s="186"/>
      <c r="AZ129" s="186"/>
      <c r="BA129" s="186"/>
      <c r="BB129" s="186"/>
      <c r="BC129" s="186"/>
      <c r="BD129" s="186"/>
      <c r="BE129" s="186"/>
      <c r="BF129" s="186"/>
    </row>
    <row r="130">
      <c r="A130" s="177">
        <v>75.0</v>
      </c>
      <c r="B130" s="190">
        <v>914.2</v>
      </c>
      <c r="C130" s="185">
        <v>1458.0</v>
      </c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  <c r="AA130" s="186"/>
      <c r="AB130" s="186"/>
      <c r="AC130" s="186"/>
      <c r="AD130" s="186"/>
      <c r="AE130" s="186"/>
      <c r="AF130" s="186"/>
      <c r="AG130" s="186"/>
      <c r="AH130" s="186"/>
      <c r="AI130" s="186"/>
      <c r="AJ130" s="186"/>
      <c r="AK130" s="186"/>
      <c r="AL130" s="186"/>
      <c r="AM130" s="186"/>
      <c r="AN130" s="186"/>
      <c r="AO130" s="186"/>
      <c r="AP130" s="186"/>
      <c r="AQ130" s="186"/>
      <c r="AR130" s="186"/>
      <c r="AS130" s="186"/>
      <c r="AT130" s="186"/>
      <c r="AU130" s="186"/>
      <c r="AV130" s="186"/>
      <c r="AW130" s="186"/>
      <c r="AX130" s="186"/>
      <c r="AY130" s="186"/>
      <c r="AZ130" s="186"/>
      <c r="BA130" s="186"/>
      <c r="BB130" s="186"/>
      <c r="BC130" s="186"/>
      <c r="BD130" s="186"/>
      <c r="BE130" s="186"/>
      <c r="BF130" s="186"/>
    </row>
    <row r="131">
      <c r="A131" s="177">
        <v>76.0</v>
      </c>
      <c r="B131" s="190">
        <v>946.7</v>
      </c>
      <c r="C131" s="185">
        <v>1482.0</v>
      </c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  <c r="AA131" s="186"/>
      <c r="AB131" s="186"/>
      <c r="AC131" s="186"/>
      <c r="AD131" s="186"/>
      <c r="AE131" s="186"/>
      <c r="AF131" s="186"/>
      <c r="AG131" s="186"/>
      <c r="AH131" s="186"/>
      <c r="AI131" s="186"/>
      <c r="AJ131" s="186"/>
      <c r="AK131" s="186"/>
      <c r="AL131" s="186"/>
      <c r="AM131" s="186"/>
      <c r="AN131" s="186"/>
      <c r="AO131" s="186"/>
      <c r="AP131" s="186"/>
      <c r="AQ131" s="186"/>
      <c r="AR131" s="186"/>
      <c r="AS131" s="186"/>
      <c r="AT131" s="186"/>
      <c r="AU131" s="186"/>
      <c r="AV131" s="186"/>
      <c r="AW131" s="186"/>
      <c r="AX131" s="186"/>
      <c r="AY131" s="186"/>
      <c r="AZ131" s="186"/>
      <c r="BA131" s="186"/>
      <c r="BB131" s="186"/>
      <c r="BC131" s="186"/>
      <c r="BD131" s="186"/>
      <c r="BE131" s="186"/>
      <c r="BF131" s="186"/>
    </row>
    <row r="132">
      <c r="A132" s="177">
        <v>77.0</v>
      </c>
      <c r="B132" s="190">
        <v>979.4</v>
      </c>
      <c r="C132" s="185">
        <v>1512.0</v>
      </c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6"/>
      <c r="AT132" s="186"/>
      <c r="AU132" s="186"/>
      <c r="AV132" s="186"/>
      <c r="AW132" s="186"/>
      <c r="AX132" s="186"/>
      <c r="AY132" s="186"/>
      <c r="AZ132" s="186"/>
      <c r="BA132" s="186"/>
      <c r="BB132" s="186"/>
      <c r="BC132" s="186"/>
      <c r="BD132" s="186"/>
      <c r="BE132" s="186"/>
      <c r="BF132" s="186"/>
    </row>
    <row r="133">
      <c r="A133" s="177">
        <v>78.0</v>
      </c>
      <c r="B133" s="190">
        <v>1011.2</v>
      </c>
      <c r="C133" s="185">
        <v>1542.0</v>
      </c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/>
      <c r="AX133" s="186"/>
      <c r="AY133" s="186"/>
      <c r="AZ133" s="186"/>
      <c r="BA133" s="186"/>
      <c r="BB133" s="186"/>
      <c r="BC133" s="186"/>
      <c r="BD133" s="186"/>
      <c r="BE133" s="186"/>
      <c r="BF133" s="186"/>
    </row>
    <row r="134">
      <c r="A134" s="177">
        <v>79.0</v>
      </c>
      <c r="B134" s="190">
        <v>1044.8</v>
      </c>
      <c r="C134" s="185">
        <v>1569.0</v>
      </c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6"/>
      <c r="AT134" s="186"/>
      <c r="AU134" s="186"/>
      <c r="AV134" s="186"/>
      <c r="AW134" s="186"/>
      <c r="AX134" s="186"/>
      <c r="AY134" s="186"/>
      <c r="AZ134" s="186"/>
      <c r="BA134" s="186"/>
      <c r="BB134" s="186"/>
      <c r="BC134" s="186"/>
      <c r="BD134" s="186"/>
      <c r="BE134" s="186"/>
      <c r="BF134" s="186"/>
    </row>
    <row r="135">
      <c r="A135" s="177">
        <v>80.0</v>
      </c>
      <c r="B135" s="190">
        <v>1077.4</v>
      </c>
      <c r="C135" s="185">
        <v>1597.0</v>
      </c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6"/>
      <c r="AT135" s="186"/>
      <c r="AU135" s="186"/>
      <c r="AV135" s="186"/>
      <c r="AW135" s="186"/>
      <c r="AX135" s="186"/>
      <c r="AY135" s="186"/>
      <c r="AZ135" s="186"/>
      <c r="BA135" s="186"/>
      <c r="BB135" s="186"/>
      <c r="BC135" s="186"/>
      <c r="BD135" s="186"/>
      <c r="BE135" s="186"/>
      <c r="BF135" s="186"/>
    </row>
    <row r="136">
      <c r="A136" s="177">
        <v>81.0</v>
      </c>
      <c r="B136" s="190">
        <v>1110.0</v>
      </c>
      <c r="C136" s="185">
        <v>1622.0</v>
      </c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6"/>
      <c r="AX136" s="186"/>
      <c r="AY136" s="186"/>
      <c r="AZ136" s="186"/>
      <c r="BA136" s="186"/>
      <c r="BB136" s="186"/>
      <c r="BC136" s="186"/>
      <c r="BD136" s="186"/>
      <c r="BE136" s="186"/>
      <c r="BF136" s="186"/>
    </row>
    <row r="137">
      <c r="A137" s="177">
        <v>82.0</v>
      </c>
      <c r="B137" s="190">
        <v>1143.0</v>
      </c>
      <c r="C137" s="185">
        <v>1648.0</v>
      </c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  <c r="AX137" s="186"/>
      <c r="AY137" s="186"/>
      <c r="AZ137" s="186"/>
      <c r="BA137" s="186"/>
      <c r="BB137" s="186"/>
      <c r="BC137" s="186"/>
      <c r="BD137" s="186"/>
      <c r="BE137" s="186"/>
      <c r="BF137" s="186"/>
    </row>
    <row r="138">
      <c r="A138" s="177">
        <v>83.0</v>
      </c>
      <c r="B138" s="190">
        <v>1176.4</v>
      </c>
      <c r="C138" s="185">
        <v>1666.0</v>
      </c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  <c r="AA138" s="186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186"/>
      <c r="AT138" s="186"/>
      <c r="AU138" s="186"/>
      <c r="AV138" s="186"/>
      <c r="AW138" s="186"/>
      <c r="AX138" s="186"/>
      <c r="AY138" s="186"/>
      <c r="AZ138" s="186"/>
      <c r="BA138" s="186"/>
      <c r="BB138" s="186"/>
      <c r="BC138" s="186"/>
      <c r="BD138" s="186"/>
      <c r="BE138" s="186"/>
      <c r="BF138" s="186"/>
    </row>
    <row r="139">
      <c r="A139" s="177">
        <v>84.0</v>
      </c>
      <c r="B139" s="190">
        <v>1210.2</v>
      </c>
      <c r="C139" s="185">
        <v>1685.0</v>
      </c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  <c r="AX139" s="186"/>
      <c r="AY139" s="186"/>
      <c r="AZ139" s="186"/>
      <c r="BA139" s="186"/>
      <c r="BB139" s="186"/>
      <c r="BC139" s="186"/>
      <c r="BD139" s="186"/>
      <c r="BE139" s="186"/>
      <c r="BF139" s="186"/>
    </row>
    <row r="140">
      <c r="A140" s="177">
        <v>85.0</v>
      </c>
      <c r="B140" s="190">
        <v>1253.8</v>
      </c>
      <c r="C140" s="185">
        <v>1703.0</v>
      </c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6"/>
      <c r="AX140" s="186"/>
      <c r="AY140" s="186"/>
      <c r="AZ140" s="186"/>
      <c r="BA140" s="186"/>
      <c r="BB140" s="186"/>
      <c r="BC140" s="186"/>
      <c r="BD140" s="186"/>
      <c r="BE140" s="186"/>
      <c r="BF140" s="186"/>
    </row>
    <row r="141">
      <c r="A141" s="177">
        <v>86.0</v>
      </c>
      <c r="B141" s="190">
        <v>1289.0</v>
      </c>
      <c r="C141" s="185">
        <v>1726.0</v>
      </c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  <c r="AX141" s="186"/>
      <c r="AY141" s="186"/>
      <c r="AZ141" s="186"/>
      <c r="BA141" s="186"/>
      <c r="BB141" s="186"/>
      <c r="BC141" s="186"/>
      <c r="BD141" s="186"/>
      <c r="BE141" s="186"/>
      <c r="BF141" s="186"/>
    </row>
    <row r="142">
      <c r="A142" s="177">
        <v>87.0</v>
      </c>
      <c r="B142" s="190">
        <v>1325.5</v>
      </c>
      <c r="C142" s="185">
        <v>1755.0</v>
      </c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  <c r="AA142" s="186"/>
      <c r="AB142" s="186"/>
      <c r="AC142" s="186"/>
      <c r="AD142" s="186"/>
      <c r="AE142" s="186"/>
      <c r="AF142" s="186"/>
      <c r="AG142" s="186"/>
      <c r="AH142" s="186"/>
      <c r="AI142" s="186"/>
      <c r="AJ142" s="186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/>
      <c r="AV142" s="186"/>
      <c r="AW142" s="186"/>
      <c r="AX142" s="186"/>
      <c r="AY142" s="186"/>
      <c r="AZ142" s="186"/>
      <c r="BA142" s="186"/>
      <c r="BB142" s="186"/>
      <c r="BC142" s="186"/>
      <c r="BD142" s="186"/>
      <c r="BE142" s="186"/>
      <c r="BF142" s="186"/>
    </row>
    <row r="143">
      <c r="A143" s="177">
        <v>88.0</v>
      </c>
      <c r="B143" s="190">
        <v>1363.5</v>
      </c>
      <c r="C143" s="185">
        <v>1786.0</v>
      </c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  <c r="AA143" s="186"/>
      <c r="AB143" s="186"/>
      <c r="AC143" s="186"/>
      <c r="AD143" s="186"/>
      <c r="AE143" s="186"/>
      <c r="AF143" s="186"/>
      <c r="AG143" s="186"/>
      <c r="AH143" s="186"/>
      <c r="AI143" s="186"/>
      <c r="AJ143" s="186"/>
      <c r="AK143" s="186"/>
      <c r="AL143" s="186"/>
      <c r="AM143" s="186"/>
      <c r="AN143" s="186"/>
      <c r="AO143" s="186"/>
      <c r="AP143" s="186"/>
      <c r="AQ143" s="186"/>
      <c r="AR143" s="186"/>
      <c r="AS143" s="186"/>
      <c r="AT143" s="186"/>
      <c r="AU143" s="186"/>
      <c r="AV143" s="186"/>
      <c r="AW143" s="186"/>
      <c r="AX143" s="186"/>
      <c r="AY143" s="186"/>
      <c r="AZ143" s="186"/>
      <c r="BA143" s="186"/>
      <c r="BB143" s="186"/>
      <c r="BC143" s="186"/>
      <c r="BD143" s="186"/>
      <c r="BE143" s="186"/>
      <c r="BF143" s="186"/>
    </row>
    <row r="144">
      <c r="A144" s="177">
        <v>89.0</v>
      </c>
      <c r="B144" s="190">
        <v>1405.1</v>
      </c>
      <c r="C144" s="185">
        <v>1817.0</v>
      </c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  <c r="AA144" s="186"/>
      <c r="AB144" s="186"/>
      <c r="AC144" s="186"/>
      <c r="AD144" s="186"/>
      <c r="AE144" s="186"/>
      <c r="AF144" s="186"/>
      <c r="AG144" s="186"/>
      <c r="AH144" s="186"/>
      <c r="AI144" s="186"/>
      <c r="AJ144" s="186"/>
      <c r="AK144" s="186"/>
      <c r="AL144" s="186"/>
      <c r="AM144" s="186"/>
      <c r="AN144" s="186"/>
      <c r="AO144" s="186"/>
      <c r="AP144" s="186"/>
      <c r="AQ144" s="186"/>
      <c r="AR144" s="186"/>
      <c r="AS144" s="186"/>
      <c r="AT144" s="186"/>
      <c r="AU144" s="186"/>
      <c r="AV144" s="186"/>
      <c r="AW144" s="186"/>
      <c r="AX144" s="186"/>
      <c r="AY144" s="186"/>
      <c r="AZ144" s="186"/>
      <c r="BA144" s="186"/>
      <c r="BB144" s="186"/>
      <c r="BC144" s="186"/>
      <c r="BD144" s="186"/>
      <c r="BE144" s="186"/>
      <c r="BF144" s="186"/>
    </row>
    <row r="145">
      <c r="A145" s="177">
        <v>90.0</v>
      </c>
      <c r="B145" s="190">
        <v>1446.9</v>
      </c>
      <c r="C145" s="185">
        <v>1851.0</v>
      </c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6"/>
      <c r="AX145" s="186"/>
      <c r="AY145" s="186"/>
      <c r="AZ145" s="186"/>
      <c r="BA145" s="186"/>
      <c r="BB145" s="186"/>
      <c r="BC145" s="186"/>
      <c r="BD145" s="186"/>
      <c r="BE145" s="186"/>
      <c r="BF145" s="186"/>
    </row>
    <row r="146">
      <c r="A146" s="186"/>
      <c r="B146" s="186"/>
      <c r="C146" s="186"/>
      <c r="D146" s="190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  <c r="AU146" s="186"/>
      <c r="AV146" s="186"/>
      <c r="AW146" s="186"/>
      <c r="AX146" s="186"/>
      <c r="AY146" s="186"/>
      <c r="AZ146" s="186"/>
      <c r="BA146" s="186"/>
      <c r="BB146" s="186"/>
      <c r="BC146" s="186"/>
      <c r="BD146" s="186"/>
      <c r="BE146" s="186"/>
      <c r="BF146" s="186"/>
    </row>
    <row r="147">
      <c r="A147" s="185" t="s">
        <v>359</v>
      </c>
      <c r="B147" s="185" t="s">
        <v>360</v>
      </c>
      <c r="C147" s="185" t="s">
        <v>361</v>
      </c>
      <c r="D147" s="185" t="s">
        <v>362</v>
      </c>
      <c r="E147" s="185" t="s">
        <v>363</v>
      </c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  <c r="AU147" s="186"/>
      <c r="AV147" s="186"/>
      <c r="AW147" s="186"/>
      <c r="AX147" s="186"/>
      <c r="AY147" s="186"/>
      <c r="AZ147" s="186"/>
      <c r="BA147" s="186"/>
      <c r="BB147" s="186"/>
      <c r="BC147" s="186"/>
      <c r="BD147" s="186"/>
      <c r="BE147" s="186"/>
      <c r="BF147" s="186"/>
    </row>
    <row r="148">
      <c r="A148" s="185" t="s">
        <v>364</v>
      </c>
      <c r="B148" s="185" t="s">
        <v>58</v>
      </c>
      <c r="C148" s="191">
        <v>0.18</v>
      </c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  <c r="AX148" s="186"/>
      <c r="AY148" s="186"/>
      <c r="AZ148" s="186"/>
      <c r="BA148" s="186"/>
      <c r="BB148" s="186"/>
      <c r="BC148" s="186"/>
      <c r="BD148" s="186"/>
      <c r="BE148" s="186"/>
      <c r="BF148" s="186"/>
    </row>
    <row r="149">
      <c r="A149" s="185" t="s">
        <v>365</v>
      </c>
      <c r="B149" s="185" t="s">
        <v>147</v>
      </c>
      <c r="C149" s="191">
        <v>0.35</v>
      </c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  <c r="AV149" s="186"/>
      <c r="AW149" s="186"/>
      <c r="AX149" s="186"/>
      <c r="AY149" s="186"/>
      <c r="AZ149" s="186"/>
      <c r="BA149" s="186"/>
      <c r="BB149" s="186"/>
      <c r="BC149" s="186"/>
      <c r="BD149" s="186"/>
      <c r="BE149" s="186"/>
      <c r="BF149" s="186"/>
    </row>
    <row r="150">
      <c r="A150" s="185" t="s">
        <v>130</v>
      </c>
      <c r="B150" s="185" t="s">
        <v>4</v>
      </c>
      <c r="C150" s="185">
        <v>80.0</v>
      </c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  <c r="AU150" s="186"/>
      <c r="AV150" s="186"/>
      <c r="AW150" s="186"/>
      <c r="AX150" s="186"/>
      <c r="AY150" s="186"/>
      <c r="AZ150" s="186"/>
      <c r="BA150" s="186"/>
      <c r="BB150" s="186"/>
      <c r="BC150" s="186"/>
      <c r="BD150" s="186"/>
      <c r="BE150" s="186"/>
      <c r="BF150" s="186"/>
    </row>
    <row r="151">
      <c r="A151" s="185" t="s">
        <v>366</v>
      </c>
      <c r="B151" s="185" t="s">
        <v>152</v>
      </c>
      <c r="C151" s="191">
        <v>0.35</v>
      </c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6"/>
      <c r="AT151" s="186"/>
      <c r="AU151" s="186"/>
      <c r="AV151" s="186"/>
      <c r="AW151" s="186"/>
      <c r="AX151" s="186"/>
      <c r="AY151" s="186"/>
      <c r="AZ151" s="186"/>
      <c r="BA151" s="186"/>
      <c r="BB151" s="186"/>
      <c r="BC151" s="186"/>
      <c r="BD151" s="186"/>
      <c r="BE151" s="186"/>
      <c r="BF151" s="186"/>
    </row>
    <row r="152">
      <c r="A152" s="185" t="s">
        <v>367</v>
      </c>
      <c r="B152" s="185" t="s">
        <v>168</v>
      </c>
      <c r="C152" s="191">
        <v>0.35</v>
      </c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6"/>
      <c r="AT152" s="186"/>
      <c r="AU152" s="186"/>
      <c r="AV152" s="186"/>
      <c r="AW152" s="186"/>
      <c r="AX152" s="186"/>
      <c r="AY152" s="186"/>
      <c r="AZ152" s="186"/>
      <c r="BA152" s="186"/>
      <c r="BB152" s="186"/>
      <c r="BC152" s="186"/>
      <c r="BD152" s="186"/>
      <c r="BE152" s="186"/>
      <c r="BF152" s="186"/>
    </row>
    <row r="153">
      <c r="A153" s="185" t="s">
        <v>368</v>
      </c>
      <c r="B153" s="185" t="s">
        <v>125</v>
      </c>
      <c r="C153" s="191">
        <v>0.15</v>
      </c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6"/>
      <c r="AT153" s="186"/>
      <c r="AU153" s="186"/>
      <c r="AV153" s="186"/>
      <c r="AW153" s="186"/>
      <c r="AX153" s="186"/>
      <c r="AY153" s="186"/>
      <c r="AZ153" s="186"/>
      <c r="BA153" s="186"/>
      <c r="BB153" s="186"/>
      <c r="BC153" s="186"/>
      <c r="BD153" s="186"/>
      <c r="BE153" s="186"/>
      <c r="BF153" s="186"/>
    </row>
    <row r="154">
      <c r="A154" s="185" t="s">
        <v>369</v>
      </c>
      <c r="B154" s="185" t="s">
        <v>370</v>
      </c>
      <c r="C154" s="185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6"/>
      <c r="AT154" s="186"/>
      <c r="AU154" s="186"/>
      <c r="AV154" s="186"/>
      <c r="AW154" s="186"/>
      <c r="AX154" s="186"/>
      <c r="AY154" s="186"/>
      <c r="AZ154" s="186"/>
      <c r="BA154" s="186"/>
      <c r="BB154" s="186"/>
      <c r="BC154" s="186"/>
      <c r="BD154" s="186"/>
      <c r="BE154" s="186"/>
      <c r="BF154" s="186"/>
    </row>
    <row r="155">
      <c r="A155" s="185" t="s">
        <v>371</v>
      </c>
      <c r="B155" s="185" t="s">
        <v>163</v>
      </c>
      <c r="C155" s="191">
        <v>0.15</v>
      </c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86"/>
      <c r="AT155" s="186"/>
      <c r="AU155" s="186"/>
      <c r="AV155" s="186"/>
      <c r="AW155" s="186"/>
      <c r="AX155" s="186"/>
      <c r="AY155" s="186"/>
      <c r="AZ155" s="186"/>
      <c r="BA155" s="186"/>
      <c r="BB155" s="186"/>
      <c r="BC155" s="186"/>
      <c r="BD155" s="186"/>
      <c r="BE155" s="186"/>
      <c r="BF155" s="186"/>
    </row>
    <row r="156">
      <c r="A156" s="185" t="s">
        <v>267</v>
      </c>
      <c r="B156" s="185" t="s">
        <v>136</v>
      </c>
      <c r="C156" s="191">
        <v>0.15</v>
      </c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86"/>
      <c r="AT156" s="186"/>
      <c r="AU156" s="186"/>
      <c r="AV156" s="186"/>
      <c r="AW156" s="186"/>
      <c r="AX156" s="186"/>
      <c r="AY156" s="186"/>
      <c r="AZ156" s="186"/>
      <c r="BA156" s="186"/>
      <c r="BB156" s="186"/>
      <c r="BC156" s="186"/>
      <c r="BD156" s="186"/>
      <c r="BE156" s="186"/>
      <c r="BF156" s="186"/>
    </row>
    <row r="157">
      <c r="A157" s="185" t="s">
        <v>94</v>
      </c>
      <c r="B157" s="185" t="s">
        <v>370</v>
      </c>
      <c r="C157" s="185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86"/>
      <c r="AT157" s="186"/>
      <c r="AU157" s="186"/>
      <c r="AV157" s="186"/>
      <c r="AW157" s="186"/>
      <c r="AX157" s="186"/>
      <c r="AY157" s="186"/>
      <c r="AZ157" s="186"/>
      <c r="BA157" s="186"/>
      <c r="BB157" s="186"/>
      <c r="BC157" s="186"/>
      <c r="BD157" s="186"/>
      <c r="BE157" s="186"/>
      <c r="BF157" s="186"/>
    </row>
    <row r="158">
      <c r="A158" s="185" t="s">
        <v>372</v>
      </c>
      <c r="B158" s="185" t="s">
        <v>116</v>
      </c>
      <c r="C158" s="191">
        <v>0.15</v>
      </c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  <c r="AA158" s="186"/>
      <c r="AB158" s="186"/>
      <c r="AC158" s="186"/>
      <c r="AD158" s="186"/>
      <c r="AE158" s="186"/>
      <c r="AF158" s="186"/>
      <c r="AG158" s="186"/>
      <c r="AH158" s="186"/>
      <c r="AI158" s="186"/>
      <c r="AJ158" s="186"/>
      <c r="AK158" s="186"/>
      <c r="AL158" s="186"/>
      <c r="AM158" s="186"/>
      <c r="AN158" s="186"/>
      <c r="AO158" s="186"/>
      <c r="AP158" s="186"/>
      <c r="AQ158" s="186"/>
      <c r="AR158" s="186"/>
      <c r="AS158" s="186"/>
      <c r="AT158" s="186"/>
      <c r="AU158" s="186"/>
      <c r="AV158" s="186"/>
      <c r="AW158" s="186"/>
      <c r="AX158" s="186"/>
      <c r="AY158" s="186"/>
      <c r="AZ158" s="186"/>
      <c r="BA158" s="186"/>
      <c r="BB158" s="186"/>
      <c r="BC158" s="186"/>
      <c r="BD158" s="186"/>
      <c r="BE158" s="186"/>
      <c r="BF158" s="186"/>
    </row>
    <row r="159">
      <c r="A159" s="185" t="s">
        <v>373</v>
      </c>
      <c r="B159" s="185" t="s">
        <v>370</v>
      </c>
      <c r="C159" s="186"/>
      <c r="D159" s="185" t="s">
        <v>116</v>
      </c>
      <c r="E159" s="192">
        <v>0.075</v>
      </c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  <c r="AA159" s="186"/>
      <c r="AB159" s="186"/>
      <c r="AC159" s="186"/>
      <c r="AD159" s="186"/>
      <c r="AE159" s="186"/>
      <c r="AF159" s="186"/>
      <c r="AG159" s="186"/>
      <c r="AH159" s="186"/>
      <c r="AI159" s="186"/>
      <c r="AJ159" s="186"/>
      <c r="AK159" s="186"/>
      <c r="AL159" s="186"/>
      <c r="AM159" s="186"/>
      <c r="AN159" s="186"/>
      <c r="AO159" s="186"/>
      <c r="AP159" s="186"/>
      <c r="AQ159" s="186"/>
      <c r="AR159" s="186"/>
      <c r="AS159" s="186"/>
      <c r="AT159" s="186"/>
      <c r="AU159" s="186"/>
      <c r="AV159" s="186"/>
      <c r="AW159" s="186"/>
      <c r="AX159" s="186"/>
      <c r="AY159" s="186"/>
      <c r="AZ159" s="186"/>
      <c r="BA159" s="186"/>
      <c r="BB159" s="186"/>
      <c r="BC159" s="186"/>
      <c r="BD159" s="186"/>
      <c r="BE159" s="186"/>
      <c r="BF159" s="186"/>
    </row>
    <row r="160">
      <c r="A160" s="185" t="s">
        <v>374</v>
      </c>
      <c r="B160" s="185" t="s">
        <v>168</v>
      </c>
      <c r="C160" s="191">
        <v>0.35</v>
      </c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  <c r="AA160" s="186"/>
      <c r="AB160" s="186"/>
      <c r="AC160" s="186"/>
      <c r="AD160" s="186"/>
      <c r="AE160" s="186"/>
      <c r="AF160" s="186"/>
      <c r="AG160" s="186"/>
      <c r="AH160" s="186"/>
      <c r="AI160" s="186"/>
      <c r="AJ160" s="186"/>
      <c r="AK160" s="186"/>
      <c r="AL160" s="186"/>
      <c r="AM160" s="186"/>
      <c r="AN160" s="186"/>
      <c r="AO160" s="186"/>
      <c r="AP160" s="186"/>
      <c r="AQ160" s="186"/>
      <c r="AR160" s="186"/>
      <c r="AS160" s="186"/>
      <c r="AT160" s="186"/>
      <c r="AU160" s="186"/>
      <c r="AV160" s="186"/>
      <c r="AW160" s="186"/>
      <c r="AX160" s="186"/>
      <c r="AY160" s="186"/>
      <c r="AZ160" s="186"/>
      <c r="BA160" s="186"/>
      <c r="BB160" s="186"/>
      <c r="BC160" s="186"/>
      <c r="BD160" s="186"/>
      <c r="BE160" s="186"/>
      <c r="BF160" s="186"/>
    </row>
    <row r="161">
      <c r="A161" s="185" t="s">
        <v>287</v>
      </c>
      <c r="B161" s="185" t="s">
        <v>164</v>
      </c>
      <c r="C161" s="191">
        <v>0.2</v>
      </c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  <c r="AA161" s="186"/>
      <c r="AB161" s="186"/>
      <c r="AC161" s="186"/>
      <c r="AD161" s="186"/>
      <c r="AE161" s="186"/>
      <c r="AF161" s="186"/>
      <c r="AG161" s="186"/>
      <c r="AH161" s="186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6"/>
      <c r="AT161" s="186"/>
      <c r="AU161" s="186"/>
      <c r="AV161" s="186"/>
      <c r="AW161" s="186"/>
      <c r="AX161" s="186"/>
      <c r="AY161" s="186"/>
      <c r="AZ161" s="186"/>
      <c r="BA161" s="186"/>
      <c r="BB161" s="186"/>
      <c r="BC161" s="186"/>
      <c r="BD161" s="186"/>
      <c r="BE161" s="186"/>
      <c r="BF161" s="186"/>
    </row>
    <row r="162">
      <c r="A162" s="185" t="s">
        <v>92</v>
      </c>
      <c r="B162" s="185" t="s">
        <v>375</v>
      </c>
      <c r="C162" s="191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  <c r="AA162" s="186"/>
      <c r="AB162" s="186"/>
      <c r="AC162" s="186"/>
      <c r="AD162" s="186"/>
      <c r="AE162" s="186"/>
      <c r="AF162" s="186"/>
      <c r="AG162" s="186"/>
      <c r="AH162" s="186"/>
      <c r="AI162" s="186"/>
      <c r="AJ162" s="186"/>
      <c r="AK162" s="186"/>
      <c r="AL162" s="186"/>
      <c r="AM162" s="186"/>
      <c r="AN162" s="186"/>
      <c r="AO162" s="186"/>
      <c r="AP162" s="186"/>
      <c r="AQ162" s="186"/>
      <c r="AR162" s="186"/>
      <c r="AS162" s="186"/>
      <c r="AT162" s="186"/>
      <c r="AU162" s="186"/>
      <c r="AV162" s="186"/>
      <c r="AW162" s="186"/>
      <c r="AX162" s="186"/>
      <c r="AY162" s="186"/>
      <c r="AZ162" s="186"/>
      <c r="BA162" s="186"/>
      <c r="BB162" s="186"/>
      <c r="BC162" s="186"/>
      <c r="BD162" s="186"/>
      <c r="BE162" s="186"/>
      <c r="BF162" s="186"/>
    </row>
    <row r="163">
      <c r="A163" s="185" t="s">
        <v>376</v>
      </c>
      <c r="B163" s="185" t="s">
        <v>110</v>
      </c>
      <c r="C163" s="191">
        <v>0.25</v>
      </c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  <c r="AA163" s="186"/>
      <c r="AB163" s="186"/>
      <c r="AC163" s="186"/>
      <c r="AD163" s="186"/>
      <c r="AE163" s="186"/>
      <c r="AF163" s="186"/>
      <c r="AG163" s="186"/>
      <c r="AH163" s="186"/>
      <c r="AI163" s="186"/>
      <c r="AJ163" s="186"/>
      <c r="AK163" s="186"/>
      <c r="AL163" s="186"/>
      <c r="AM163" s="186"/>
      <c r="AN163" s="186"/>
      <c r="AO163" s="186"/>
      <c r="AP163" s="186"/>
      <c r="AQ163" s="186"/>
      <c r="AR163" s="186"/>
      <c r="AS163" s="186"/>
      <c r="AT163" s="186"/>
      <c r="AU163" s="186"/>
      <c r="AV163" s="186"/>
      <c r="AW163" s="186"/>
      <c r="AX163" s="186"/>
      <c r="AY163" s="186"/>
      <c r="AZ163" s="186"/>
      <c r="BA163" s="186"/>
      <c r="BB163" s="186"/>
      <c r="BC163" s="186"/>
      <c r="BD163" s="186"/>
      <c r="BE163" s="186"/>
      <c r="BF163" s="186"/>
    </row>
    <row r="164">
      <c r="A164" s="185" t="s">
        <v>377</v>
      </c>
      <c r="B164" s="185" t="s">
        <v>152</v>
      </c>
      <c r="C164" s="191">
        <v>0.5</v>
      </c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  <c r="AB164" s="186"/>
      <c r="AC164" s="186"/>
      <c r="AD164" s="186"/>
      <c r="AE164" s="186"/>
      <c r="AF164" s="186"/>
      <c r="AG164" s="186"/>
      <c r="AH164" s="186"/>
      <c r="AI164" s="186"/>
      <c r="AJ164" s="186"/>
      <c r="AK164" s="186"/>
      <c r="AL164" s="186"/>
      <c r="AM164" s="186"/>
      <c r="AN164" s="186"/>
      <c r="AO164" s="186"/>
      <c r="AP164" s="186"/>
      <c r="AQ164" s="186"/>
      <c r="AR164" s="186"/>
      <c r="AS164" s="186"/>
      <c r="AT164" s="186"/>
      <c r="AU164" s="186"/>
      <c r="AV164" s="186"/>
      <c r="AW164" s="186"/>
      <c r="AX164" s="186"/>
      <c r="AY164" s="186"/>
      <c r="AZ164" s="186"/>
      <c r="BA164" s="186"/>
      <c r="BB164" s="186"/>
      <c r="BC164" s="186"/>
      <c r="BD164" s="186"/>
      <c r="BE164" s="186"/>
      <c r="BF164" s="186"/>
    </row>
    <row r="165">
      <c r="A165" s="185" t="s">
        <v>378</v>
      </c>
      <c r="B165" s="185" t="s">
        <v>141</v>
      </c>
      <c r="C165" s="191">
        <v>0.15</v>
      </c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  <c r="AA165" s="186"/>
      <c r="AB165" s="186"/>
      <c r="AC165" s="186"/>
      <c r="AD165" s="186"/>
      <c r="AE165" s="186"/>
      <c r="AF165" s="186"/>
      <c r="AG165" s="186"/>
      <c r="AH165" s="186"/>
      <c r="AI165" s="186"/>
      <c r="AJ165" s="186"/>
      <c r="AK165" s="186"/>
      <c r="AL165" s="186"/>
      <c r="AM165" s="186"/>
      <c r="AN165" s="186"/>
      <c r="AO165" s="186"/>
      <c r="AP165" s="186"/>
      <c r="AQ165" s="186"/>
      <c r="AR165" s="186"/>
      <c r="AS165" s="186"/>
      <c r="AT165" s="186"/>
      <c r="AU165" s="186"/>
      <c r="AV165" s="186"/>
      <c r="AW165" s="186"/>
      <c r="AX165" s="186"/>
      <c r="AY165" s="186"/>
      <c r="AZ165" s="186"/>
      <c r="BA165" s="186"/>
      <c r="BB165" s="186"/>
      <c r="BC165" s="186"/>
      <c r="BD165" s="186"/>
      <c r="BE165" s="186"/>
      <c r="BF165" s="186"/>
    </row>
    <row r="166">
      <c r="A166" s="185" t="s">
        <v>379</v>
      </c>
      <c r="B166" s="185" t="s">
        <v>375</v>
      </c>
      <c r="C166" s="191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  <c r="AA166" s="186"/>
      <c r="AB166" s="186"/>
      <c r="AC166" s="186"/>
      <c r="AD166" s="186"/>
      <c r="AE166" s="186"/>
      <c r="AF166" s="186"/>
      <c r="AG166" s="186"/>
      <c r="AH166" s="186"/>
      <c r="AI166" s="186"/>
      <c r="AJ166" s="186"/>
      <c r="AK166" s="186"/>
      <c r="AL166" s="186"/>
      <c r="AM166" s="186"/>
      <c r="AN166" s="186"/>
      <c r="AO166" s="186"/>
      <c r="AP166" s="186"/>
      <c r="AQ166" s="186"/>
      <c r="AR166" s="186"/>
      <c r="AS166" s="186"/>
      <c r="AT166" s="186"/>
      <c r="AU166" s="186"/>
      <c r="AV166" s="186"/>
      <c r="AW166" s="186"/>
      <c r="AX166" s="186"/>
      <c r="AY166" s="186"/>
      <c r="AZ166" s="186"/>
      <c r="BA166" s="186"/>
      <c r="BB166" s="186"/>
      <c r="BC166" s="186"/>
      <c r="BD166" s="186"/>
      <c r="BE166" s="186"/>
      <c r="BF166" s="186"/>
    </row>
    <row r="167">
      <c r="A167" s="185" t="s">
        <v>380</v>
      </c>
      <c r="B167" s="185" t="s">
        <v>381</v>
      </c>
      <c r="C167" s="191">
        <v>0.4</v>
      </c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  <c r="AA167" s="186"/>
      <c r="AB167" s="186"/>
      <c r="AC167" s="186"/>
      <c r="AD167" s="186"/>
      <c r="AE167" s="186"/>
      <c r="AF167" s="186"/>
      <c r="AG167" s="186"/>
      <c r="AH167" s="186"/>
      <c r="AI167" s="186"/>
      <c r="AJ167" s="186"/>
      <c r="AK167" s="186"/>
      <c r="AL167" s="186"/>
      <c r="AM167" s="186"/>
      <c r="AN167" s="186"/>
      <c r="AO167" s="186"/>
      <c r="AP167" s="186"/>
      <c r="AQ167" s="186"/>
      <c r="AR167" s="186"/>
      <c r="AS167" s="186"/>
      <c r="AT167" s="186"/>
      <c r="AU167" s="186"/>
      <c r="AV167" s="186"/>
      <c r="AW167" s="186"/>
      <c r="AX167" s="186"/>
      <c r="AY167" s="186"/>
      <c r="AZ167" s="186"/>
      <c r="BA167" s="186"/>
      <c r="BB167" s="186"/>
      <c r="BC167" s="186"/>
      <c r="BD167" s="186"/>
      <c r="BE167" s="186"/>
      <c r="BF167" s="186"/>
    </row>
    <row r="168">
      <c r="A168" s="185" t="s">
        <v>382</v>
      </c>
      <c r="B168" s="185" t="s">
        <v>131</v>
      </c>
      <c r="C168" s="191">
        <v>0.15</v>
      </c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  <c r="AA168" s="186"/>
      <c r="AB168" s="186"/>
      <c r="AC168" s="186"/>
      <c r="AD168" s="186"/>
      <c r="AE168" s="186"/>
      <c r="AF168" s="186"/>
      <c r="AG168" s="186"/>
      <c r="AH168" s="186"/>
      <c r="AI168" s="186"/>
      <c r="AJ168" s="186"/>
      <c r="AK168" s="186"/>
      <c r="AL168" s="186"/>
      <c r="AM168" s="186"/>
      <c r="AN168" s="186"/>
      <c r="AO168" s="186"/>
      <c r="AP168" s="186"/>
      <c r="AQ168" s="186"/>
      <c r="AR168" s="186"/>
      <c r="AS168" s="186"/>
      <c r="AT168" s="186"/>
      <c r="AU168" s="186"/>
      <c r="AV168" s="186"/>
      <c r="AW168" s="186"/>
      <c r="AX168" s="186"/>
      <c r="AY168" s="186"/>
      <c r="AZ168" s="186"/>
      <c r="BA168" s="186"/>
      <c r="BB168" s="186"/>
      <c r="BC168" s="186"/>
      <c r="BD168" s="186"/>
      <c r="BE168" s="186"/>
      <c r="BF168" s="186"/>
    </row>
    <row r="169">
      <c r="A169" s="185" t="s">
        <v>383</v>
      </c>
      <c r="B169" s="185" t="s">
        <v>2</v>
      </c>
      <c r="C169" s="191">
        <v>0.2</v>
      </c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  <c r="AA169" s="186"/>
      <c r="AB169" s="186"/>
      <c r="AC169" s="186"/>
      <c r="AD169" s="186"/>
      <c r="AE169" s="186"/>
      <c r="AF169" s="186"/>
      <c r="AG169" s="186"/>
      <c r="AH169" s="186"/>
      <c r="AI169" s="186"/>
      <c r="AJ169" s="186"/>
      <c r="AK169" s="186"/>
      <c r="AL169" s="186"/>
      <c r="AM169" s="186"/>
      <c r="AN169" s="186"/>
      <c r="AO169" s="186"/>
      <c r="AP169" s="186"/>
      <c r="AQ169" s="186"/>
      <c r="AR169" s="186"/>
      <c r="AS169" s="186"/>
      <c r="AT169" s="186"/>
      <c r="AU169" s="186"/>
      <c r="AV169" s="186"/>
      <c r="AW169" s="186"/>
      <c r="AX169" s="186"/>
      <c r="AY169" s="186"/>
      <c r="AZ169" s="186"/>
      <c r="BA169" s="186"/>
      <c r="BB169" s="186"/>
      <c r="BC169" s="186"/>
      <c r="BD169" s="186"/>
      <c r="BE169" s="186"/>
      <c r="BF169" s="186"/>
    </row>
    <row r="170">
      <c r="A170" s="185" t="s">
        <v>384</v>
      </c>
      <c r="B170" s="185" t="s">
        <v>2</v>
      </c>
      <c r="C170" s="191">
        <v>0.4</v>
      </c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  <c r="AA170" s="186"/>
      <c r="AB170" s="186"/>
      <c r="AC170" s="186"/>
      <c r="AD170" s="186"/>
      <c r="AE170" s="186"/>
      <c r="AF170" s="186"/>
      <c r="AG170" s="186"/>
      <c r="AH170" s="186"/>
      <c r="AI170" s="186"/>
      <c r="AJ170" s="186"/>
      <c r="AK170" s="186"/>
      <c r="AL170" s="186"/>
      <c r="AM170" s="186"/>
      <c r="AN170" s="186"/>
      <c r="AO170" s="186"/>
      <c r="AP170" s="186"/>
      <c r="AQ170" s="186"/>
      <c r="AR170" s="186"/>
      <c r="AS170" s="186"/>
      <c r="AT170" s="186"/>
      <c r="AU170" s="186"/>
      <c r="AV170" s="186"/>
      <c r="AW170" s="186"/>
      <c r="AX170" s="186"/>
      <c r="AY170" s="186"/>
      <c r="AZ170" s="186"/>
      <c r="BA170" s="186"/>
      <c r="BB170" s="186"/>
      <c r="BC170" s="186"/>
      <c r="BD170" s="186"/>
      <c r="BE170" s="186"/>
      <c r="BF170" s="186"/>
    </row>
    <row r="171">
      <c r="A171" s="185" t="s">
        <v>385</v>
      </c>
      <c r="B171" s="185" t="s">
        <v>121</v>
      </c>
      <c r="C171" s="191">
        <v>0.15</v>
      </c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86"/>
      <c r="AG171" s="186"/>
      <c r="AH171" s="186"/>
      <c r="AI171" s="186"/>
      <c r="AJ171" s="186"/>
      <c r="AK171" s="186"/>
      <c r="AL171" s="186"/>
      <c r="AM171" s="186"/>
      <c r="AN171" s="186"/>
      <c r="AO171" s="186"/>
      <c r="AP171" s="186"/>
      <c r="AQ171" s="186"/>
      <c r="AR171" s="186"/>
      <c r="AS171" s="186"/>
      <c r="AT171" s="186"/>
      <c r="AU171" s="186"/>
      <c r="AV171" s="186"/>
      <c r="AW171" s="186"/>
      <c r="AX171" s="186"/>
      <c r="AY171" s="186"/>
      <c r="AZ171" s="186"/>
      <c r="BA171" s="186"/>
      <c r="BB171" s="186"/>
      <c r="BC171" s="186"/>
      <c r="BD171" s="186"/>
      <c r="BE171" s="186"/>
      <c r="BF171" s="186"/>
    </row>
    <row r="172">
      <c r="A172" s="185" t="s">
        <v>386</v>
      </c>
      <c r="B172" s="185" t="s">
        <v>381</v>
      </c>
      <c r="C172" s="191">
        <v>0.3</v>
      </c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86"/>
      <c r="AT172" s="186"/>
      <c r="AU172" s="186"/>
      <c r="AV172" s="186"/>
      <c r="AW172" s="186"/>
      <c r="AX172" s="186"/>
      <c r="AY172" s="186"/>
      <c r="AZ172" s="186"/>
      <c r="BA172" s="186"/>
      <c r="BB172" s="186"/>
      <c r="BC172" s="186"/>
      <c r="BD172" s="186"/>
      <c r="BE172" s="186"/>
      <c r="BF172" s="186"/>
    </row>
    <row r="173">
      <c r="A173" s="185" t="s">
        <v>387</v>
      </c>
      <c r="B173" s="185" t="s">
        <v>6</v>
      </c>
      <c r="C173" s="191">
        <v>0.2</v>
      </c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86"/>
      <c r="AT173" s="186"/>
      <c r="AU173" s="186"/>
      <c r="AV173" s="186"/>
      <c r="AW173" s="186"/>
      <c r="AX173" s="186"/>
      <c r="AY173" s="186"/>
      <c r="AZ173" s="186"/>
      <c r="BA173" s="186"/>
      <c r="BB173" s="186"/>
      <c r="BC173" s="186"/>
      <c r="BD173" s="186"/>
      <c r="BE173" s="186"/>
      <c r="BF173" s="186"/>
    </row>
    <row r="174">
      <c r="A174" s="185" t="s">
        <v>93</v>
      </c>
      <c r="B174" s="185" t="s">
        <v>375</v>
      </c>
      <c r="C174" s="191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86"/>
      <c r="AT174" s="186"/>
      <c r="AU174" s="186"/>
      <c r="AV174" s="186"/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</row>
    <row r="175">
      <c r="A175" s="185" t="s">
        <v>388</v>
      </c>
      <c r="B175" s="185" t="s">
        <v>110</v>
      </c>
      <c r="C175" s="191">
        <v>0.25</v>
      </c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86"/>
      <c r="AT175" s="186"/>
      <c r="AU175" s="186"/>
      <c r="AV175" s="186"/>
      <c r="AW175" s="186"/>
      <c r="AX175" s="186"/>
      <c r="AY175" s="186"/>
      <c r="AZ175" s="186"/>
      <c r="BA175" s="186"/>
      <c r="BB175" s="186"/>
      <c r="BC175" s="186"/>
      <c r="BD175" s="186"/>
      <c r="BE175" s="186"/>
      <c r="BF175" s="186"/>
    </row>
    <row r="176">
      <c r="A176" s="185" t="s">
        <v>389</v>
      </c>
      <c r="B176" s="185" t="s">
        <v>58</v>
      </c>
      <c r="C176" s="191">
        <v>0.09</v>
      </c>
      <c r="D176" s="185" t="s">
        <v>110</v>
      </c>
      <c r="E176" s="192">
        <v>0.125</v>
      </c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86"/>
      <c r="AT176" s="186"/>
      <c r="AU176" s="186"/>
      <c r="AV176" s="186"/>
      <c r="AW176" s="186"/>
      <c r="AX176" s="186"/>
      <c r="AY176" s="186"/>
      <c r="AZ176" s="186"/>
      <c r="BA176" s="186"/>
      <c r="BB176" s="186"/>
      <c r="BC176" s="186"/>
      <c r="BD176" s="186"/>
      <c r="BE176" s="186"/>
      <c r="BF176" s="186"/>
    </row>
    <row r="177">
      <c r="A177" s="185" t="s">
        <v>115</v>
      </c>
      <c r="B177" s="185" t="s">
        <v>5</v>
      </c>
      <c r="C177" s="191">
        <v>0.2</v>
      </c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  <c r="AA177" s="186"/>
      <c r="AB177" s="186"/>
      <c r="AC177" s="186"/>
      <c r="AD177" s="186"/>
      <c r="AE177" s="186"/>
      <c r="AF177" s="186"/>
      <c r="AG177" s="186"/>
      <c r="AH177" s="186"/>
      <c r="AI177" s="186"/>
      <c r="AJ177" s="186"/>
      <c r="AK177" s="186"/>
      <c r="AL177" s="186"/>
      <c r="AM177" s="186"/>
      <c r="AN177" s="186"/>
      <c r="AO177" s="186"/>
      <c r="AP177" s="186"/>
      <c r="AQ177" s="186"/>
      <c r="AR177" s="186"/>
      <c r="AS177" s="186"/>
      <c r="AT177" s="186"/>
      <c r="AU177" s="186"/>
      <c r="AV177" s="186"/>
      <c r="AW177" s="186"/>
      <c r="AX177" s="186"/>
      <c r="AY177" s="186"/>
      <c r="AZ177" s="186"/>
      <c r="BA177" s="186"/>
      <c r="BB177" s="186"/>
      <c r="BC177" s="186"/>
      <c r="BD177" s="186"/>
      <c r="BE177" s="186"/>
      <c r="BF177" s="186"/>
    </row>
    <row r="178">
      <c r="A178" s="185" t="s">
        <v>243</v>
      </c>
      <c r="B178" s="185" t="s">
        <v>390</v>
      </c>
      <c r="C178" s="191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  <c r="AA178" s="186"/>
      <c r="AB178" s="186"/>
      <c r="AC178" s="186"/>
      <c r="AD178" s="186"/>
      <c r="AE178" s="186"/>
      <c r="AF178" s="186"/>
      <c r="AG178" s="186"/>
      <c r="AH178" s="186"/>
      <c r="AI178" s="186"/>
      <c r="AJ178" s="186"/>
      <c r="AK178" s="186"/>
      <c r="AL178" s="186"/>
      <c r="AM178" s="186"/>
      <c r="AN178" s="186"/>
      <c r="AO178" s="186"/>
      <c r="AP178" s="186"/>
      <c r="AQ178" s="186"/>
      <c r="AR178" s="186"/>
      <c r="AS178" s="186"/>
      <c r="AT178" s="186"/>
      <c r="AU178" s="186"/>
      <c r="AV178" s="186"/>
      <c r="AW178" s="186"/>
      <c r="AX178" s="186"/>
      <c r="AY178" s="186"/>
      <c r="AZ178" s="186"/>
      <c r="BA178" s="186"/>
      <c r="BB178" s="186"/>
      <c r="BC178" s="186"/>
      <c r="BD178" s="186"/>
      <c r="BE178" s="186"/>
      <c r="BF178" s="186"/>
    </row>
    <row r="179">
      <c r="A179" s="185" t="s">
        <v>391</v>
      </c>
      <c r="B179" s="185" t="s">
        <v>58</v>
      </c>
      <c r="C179" s="191">
        <v>0.18</v>
      </c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  <c r="AA179" s="186"/>
      <c r="AB179" s="186"/>
      <c r="AC179" s="186"/>
      <c r="AD179" s="186"/>
      <c r="AE179" s="186"/>
      <c r="AF179" s="186"/>
      <c r="AG179" s="186"/>
      <c r="AH179" s="186"/>
      <c r="AI179" s="186"/>
      <c r="AJ179" s="186"/>
      <c r="AK179" s="186"/>
      <c r="AL179" s="186"/>
      <c r="AM179" s="186"/>
      <c r="AN179" s="186"/>
      <c r="AO179" s="186"/>
      <c r="AP179" s="186"/>
      <c r="AQ179" s="186"/>
      <c r="AR179" s="186"/>
      <c r="AS179" s="186"/>
      <c r="AT179" s="186"/>
      <c r="AU179" s="186"/>
      <c r="AV179" s="186"/>
      <c r="AW179" s="186"/>
      <c r="AX179" s="186"/>
      <c r="AY179" s="186"/>
      <c r="AZ179" s="186"/>
      <c r="BA179" s="186"/>
      <c r="BB179" s="186"/>
      <c r="BC179" s="186"/>
      <c r="BD179" s="186"/>
      <c r="BE179" s="186"/>
      <c r="BF179" s="186"/>
    </row>
    <row r="180">
      <c r="A180" s="185" t="s">
        <v>392</v>
      </c>
      <c r="B180" s="185" t="s">
        <v>393</v>
      </c>
      <c r="C180" s="191">
        <v>0.5</v>
      </c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  <c r="AA180" s="186"/>
      <c r="AB180" s="186"/>
      <c r="AC180" s="186"/>
      <c r="AD180" s="186"/>
      <c r="AE180" s="186"/>
      <c r="AF180" s="186"/>
      <c r="AG180" s="186"/>
      <c r="AH180" s="186"/>
      <c r="AI180" s="186"/>
      <c r="AJ180" s="186"/>
      <c r="AK180" s="186"/>
      <c r="AL180" s="186"/>
      <c r="AM180" s="186"/>
      <c r="AN180" s="186"/>
      <c r="AO180" s="186"/>
      <c r="AP180" s="186"/>
      <c r="AQ180" s="186"/>
      <c r="AR180" s="186"/>
      <c r="AS180" s="186"/>
      <c r="AT180" s="186"/>
      <c r="AU180" s="186"/>
      <c r="AV180" s="186"/>
      <c r="AW180" s="186"/>
      <c r="AX180" s="186"/>
      <c r="AY180" s="186"/>
      <c r="AZ180" s="186"/>
      <c r="BA180" s="186"/>
      <c r="BB180" s="186"/>
      <c r="BC180" s="186"/>
      <c r="BD180" s="186"/>
      <c r="BE180" s="186"/>
      <c r="BF180" s="186"/>
    </row>
    <row r="181">
      <c r="A181" s="185" t="s">
        <v>394</v>
      </c>
      <c r="B181" s="185" t="s">
        <v>163</v>
      </c>
      <c r="C181" s="191">
        <v>0.15</v>
      </c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  <c r="AA181" s="186"/>
      <c r="AB181" s="186"/>
      <c r="AC181" s="186"/>
      <c r="AD181" s="186"/>
      <c r="AE181" s="186"/>
      <c r="AF181" s="186"/>
      <c r="AG181" s="186"/>
      <c r="AH181" s="186"/>
      <c r="AI181" s="186"/>
      <c r="AJ181" s="186"/>
      <c r="AK181" s="186"/>
      <c r="AL181" s="186"/>
      <c r="AM181" s="186"/>
      <c r="AN181" s="186"/>
      <c r="AO181" s="186"/>
      <c r="AP181" s="186"/>
      <c r="AQ181" s="186"/>
      <c r="AR181" s="186"/>
      <c r="AS181" s="186"/>
      <c r="AT181" s="186"/>
      <c r="AU181" s="186"/>
      <c r="AV181" s="186"/>
      <c r="AW181" s="186"/>
      <c r="AX181" s="186"/>
      <c r="AY181" s="186"/>
      <c r="AZ181" s="186"/>
      <c r="BA181" s="186"/>
      <c r="BB181" s="186"/>
      <c r="BC181" s="186"/>
      <c r="BD181" s="186"/>
      <c r="BE181" s="186"/>
      <c r="BF181" s="186"/>
    </row>
    <row r="182">
      <c r="A182" s="185" t="s">
        <v>395</v>
      </c>
      <c r="B182" s="185" t="s">
        <v>396</v>
      </c>
      <c r="C182" s="191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  <c r="AA182" s="186"/>
      <c r="AB182" s="186"/>
      <c r="AC182" s="186"/>
      <c r="AD182" s="186"/>
      <c r="AE182" s="186"/>
      <c r="AF182" s="186"/>
      <c r="AG182" s="186"/>
      <c r="AH182" s="186"/>
      <c r="AI182" s="186"/>
      <c r="AJ182" s="186"/>
      <c r="AK182" s="186"/>
      <c r="AL182" s="186"/>
      <c r="AM182" s="186"/>
      <c r="AN182" s="186"/>
      <c r="AO182" s="186"/>
      <c r="AP182" s="186"/>
      <c r="AQ182" s="186"/>
      <c r="AR182" s="186"/>
      <c r="AS182" s="186"/>
      <c r="AT182" s="186"/>
      <c r="AU182" s="186"/>
      <c r="AV182" s="186"/>
      <c r="AW182" s="186"/>
      <c r="AX182" s="186"/>
      <c r="AY182" s="186"/>
      <c r="AZ182" s="186"/>
      <c r="BA182" s="186"/>
      <c r="BB182" s="186"/>
      <c r="BC182" s="186"/>
      <c r="BD182" s="186"/>
      <c r="BE182" s="186"/>
      <c r="BF182" s="186"/>
    </row>
    <row r="183">
      <c r="A183" s="185" t="s">
        <v>397</v>
      </c>
      <c r="B183" s="185" t="s">
        <v>60</v>
      </c>
      <c r="C183" s="191">
        <v>0.3</v>
      </c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  <c r="AA183" s="186"/>
      <c r="AB183" s="186"/>
      <c r="AC183" s="186"/>
      <c r="AD183" s="186"/>
      <c r="AE183" s="186"/>
      <c r="AF183" s="186"/>
      <c r="AG183" s="186"/>
      <c r="AH183" s="186"/>
      <c r="AI183" s="186"/>
      <c r="AJ183" s="186"/>
      <c r="AK183" s="186"/>
      <c r="AL183" s="186"/>
      <c r="AM183" s="186"/>
      <c r="AN183" s="186"/>
      <c r="AO183" s="186"/>
      <c r="AP183" s="186"/>
      <c r="AQ183" s="186"/>
      <c r="AR183" s="186"/>
      <c r="AS183" s="186"/>
      <c r="AT183" s="186"/>
      <c r="AU183" s="186"/>
      <c r="AV183" s="186"/>
      <c r="AW183" s="186"/>
      <c r="AX183" s="186"/>
      <c r="AY183" s="186"/>
      <c r="AZ183" s="186"/>
      <c r="BA183" s="186"/>
      <c r="BB183" s="186"/>
      <c r="BC183" s="186"/>
      <c r="BD183" s="186"/>
      <c r="BE183" s="186"/>
      <c r="BF183" s="186"/>
    </row>
    <row r="184">
      <c r="A184" s="185" t="s">
        <v>398</v>
      </c>
      <c r="B184" s="185" t="s">
        <v>60</v>
      </c>
      <c r="C184" s="191">
        <v>0.06</v>
      </c>
      <c r="D184" s="185" t="s">
        <v>141</v>
      </c>
      <c r="E184" s="191">
        <v>0.06</v>
      </c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  <c r="AA184" s="186"/>
      <c r="AB184" s="186"/>
      <c r="AC184" s="186"/>
      <c r="AD184" s="186"/>
      <c r="AE184" s="186"/>
      <c r="AF184" s="186"/>
      <c r="AG184" s="186"/>
      <c r="AH184" s="186"/>
      <c r="AI184" s="186"/>
      <c r="AJ184" s="186"/>
      <c r="AK184" s="186"/>
      <c r="AL184" s="186"/>
      <c r="AM184" s="186"/>
      <c r="AN184" s="186"/>
      <c r="AO184" s="186"/>
      <c r="AP184" s="186"/>
      <c r="AQ184" s="186"/>
      <c r="AR184" s="186"/>
      <c r="AS184" s="186"/>
      <c r="AT184" s="186"/>
      <c r="AU184" s="186"/>
      <c r="AV184" s="186"/>
      <c r="AW184" s="186"/>
      <c r="AX184" s="186"/>
      <c r="AY184" s="186"/>
      <c r="AZ184" s="186"/>
      <c r="BA184" s="186"/>
      <c r="BB184" s="186"/>
      <c r="BC184" s="186"/>
      <c r="BD184" s="186"/>
      <c r="BE184" s="186"/>
      <c r="BF184" s="186"/>
    </row>
    <row r="185">
      <c r="A185" s="185" t="s">
        <v>399</v>
      </c>
      <c r="B185" s="185" t="s">
        <v>58</v>
      </c>
      <c r="C185" s="191">
        <v>0.18</v>
      </c>
      <c r="D185" s="185"/>
      <c r="E185" s="191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  <c r="AA185" s="186"/>
      <c r="AB185" s="186"/>
      <c r="AC185" s="186"/>
      <c r="AD185" s="186"/>
      <c r="AE185" s="186"/>
      <c r="AF185" s="186"/>
      <c r="AG185" s="186"/>
      <c r="AH185" s="186"/>
      <c r="AI185" s="186"/>
      <c r="AJ185" s="186"/>
      <c r="AK185" s="186"/>
      <c r="AL185" s="186"/>
      <c r="AM185" s="186"/>
      <c r="AN185" s="186"/>
      <c r="AO185" s="186"/>
      <c r="AP185" s="186"/>
      <c r="AQ185" s="186"/>
      <c r="AR185" s="186"/>
      <c r="AS185" s="186"/>
      <c r="AT185" s="186"/>
      <c r="AU185" s="186"/>
      <c r="AV185" s="186"/>
      <c r="AW185" s="186"/>
      <c r="AX185" s="186"/>
      <c r="AY185" s="186"/>
      <c r="AZ185" s="186"/>
      <c r="BA185" s="186"/>
      <c r="BB185" s="186"/>
      <c r="BC185" s="186"/>
      <c r="BD185" s="186"/>
      <c r="BE185" s="186"/>
      <c r="BF185" s="186"/>
    </row>
    <row r="186">
      <c r="A186" s="185" t="s">
        <v>400</v>
      </c>
      <c r="B186" s="185" t="s">
        <v>396</v>
      </c>
      <c r="C186" s="191"/>
      <c r="D186" s="185"/>
      <c r="E186" s="191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  <c r="AA186" s="186"/>
      <c r="AB186" s="186"/>
      <c r="AC186" s="186"/>
      <c r="AD186" s="186"/>
      <c r="AE186" s="186"/>
      <c r="AF186" s="186"/>
      <c r="AG186" s="186"/>
      <c r="AH186" s="186"/>
      <c r="AI186" s="186"/>
      <c r="AJ186" s="186"/>
      <c r="AK186" s="186"/>
      <c r="AL186" s="186"/>
      <c r="AM186" s="186"/>
      <c r="AN186" s="186"/>
      <c r="AO186" s="186"/>
      <c r="AP186" s="186"/>
      <c r="AQ186" s="186"/>
      <c r="AR186" s="186"/>
      <c r="AS186" s="186"/>
      <c r="AT186" s="186"/>
      <c r="AU186" s="186"/>
      <c r="AV186" s="186"/>
      <c r="AW186" s="186"/>
      <c r="AX186" s="186"/>
      <c r="AY186" s="186"/>
      <c r="AZ186" s="186"/>
      <c r="BA186" s="186"/>
      <c r="BB186" s="186"/>
      <c r="BC186" s="186"/>
      <c r="BD186" s="186"/>
      <c r="BE186" s="186"/>
      <c r="BF186" s="186"/>
    </row>
    <row r="187">
      <c r="A187" s="185" t="s">
        <v>401</v>
      </c>
      <c r="B187" s="185" t="s">
        <v>58</v>
      </c>
      <c r="C187" s="191">
        <v>0.18</v>
      </c>
      <c r="D187" s="185"/>
      <c r="E187" s="191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/>
      <c r="AK187" s="186"/>
      <c r="AL187" s="186"/>
      <c r="AM187" s="186"/>
      <c r="AN187" s="186"/>
      <c r="AO187" s="186"/>
      <c r="AP187" s="186"/>
      <c r="AQ187" s="186"/>
      <c r="AR187" s="186"/>
      <c r="AS187" s="186"/>
      <c r="AT187" s="186"/>
      <c r="AU187" s="186"/>
      <c r="AV187" s="186"/>
      <c r="AW187" s="186"/>
      <c r="AX187" s="186"/>
      <c r="AY187" s="186"/>
      <c r="AZ187" s="186"/>
      <c r="BA187" s="186"/>
      <c r="BB187" s="186"/>
      <c r="BC187" s="186"/>
      <c r="BD187" s="186"/>
      <c r="BE187" s="186"/>
      <c r="BF187" s="186"/>
    </row>
    <row r="188">
      <c r="A188" s="185" t="s">
        <v>402</v>
      </c>
      <c r="B188" s="185" t="s">
        <v>58</v>
      </c>
      <c r="C188" s="191">
        <v>0.08</v>
      </c>
      <c r="D188" s="185" t="s">
        <v>58</v>
      </c>
      <c r="E188" s="191">
        <v>0.1</v>
      </c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  <c r="AA188" s="186"/>
      <c r="AB188" s="186"/>
      <c r="AC188" s="186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6"/>
      <c r="AT188" s="186"/>
      <c r="AU188" s="186"/>
      <c r="AV188" s="186"/>
      <c r="AW188" s="186"/>
      <c r="AX188" s="186"/>
      <c r="AY188" s="186"/>
      <c r="AZ188" s="186"/>
      <c r="BA188" s="186"/>
      <c r="BB188" s="186"/>
      <c r="BC188" s="186"/>
      <c r="BD188" s="186"/>
      <c r="BE188" s="186"/>
      <c r="BF188" s="186"/>
    </row>
    <row r="189">
      <c r="A189" s="185" t="s">
        <v>390</v>
      </c>
      <c r="B189" s="185" t="s">
        <v>390</v>
      </c>
      <c r="C189" s="191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6"/>
      <c r="AT189" s="186"/>
      <c r="AU189" s="186"/>
      <c r="AV189" s="186"/>
      <c r="AW189" s="186"/>
      <c r="AX189" s="186"/>
      <c r="AY189" s="186"/>
      <c r="AZ189" s="186"/>
      <c r="BA189" s="186"/>
      <c r="BB189" s="186"/>
      <c r="BC189" s="186"/>
      <c r="BD189" s="186"/>
      <c r="BE189" s="186"/>
      <c r="BF189" s="186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6"/>
      <c r="AT190" s="186"/>
      <c r="AU190" s="186"/>
      <c r="AV190" s="186"/>
      <c r="AW190" s="186"/>
      <c r="AX190" s="186"/>
      <c r="AY190" s="186"/>
      <c r="AZ190" s="186"/>
      <c r="BA190" s="186"/>
      <c r="BB190" s="186"/>
      <c r="BC190" s="186"/>
      <c r="BD190" s="186"/>
      <c r="BE190" s="186"/>
      <c r="BF190" s="186"/>
    </row>
    <row r="191">
      <c r="A191" s="185" t="s">
        <v>403</v>
      </c>
      <c r="B191" s="185" t="s">
        <v>404</v>
      </c>
      <c r="C191" s="185" t="s">
        <v>405</v>
      </c>
      <c r="D191" s="185" t="s">
        <v>406</v>
      </c>
      <c r="E191" s="185" t="s">
        <v>360</v>
      </c>
      <c r="F191" s="185" t="s">
        <v>361</v>
      </c>
      <c r="G191" s="185" t="s">
        <v>407</v>
      </c>
      <c r="H191" s="185" t="s">
        <v>362</v>
      </c>
      <c r="I191" s="185" t="s">
        <v>363</v>
      </c>
      <c r="J191" s="185" t="s">
        <v>408</v>
      </c>
      <c r="K191" s="185" t="s">
        <v>409</v>
      </c>
      <c r="L191" s="185" t="s">
        <v>410</v>
      </c>
      <c r="M191" s="185" t="s">
        <v>411</v>
      </c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6"/>
      <c r="AT191" s="186"/>
      <c r="AU191" s="186"/>
      <c r="AV191" s="186"/>
      <c r="AW191" s="186"/>
      <c r="AX191" s="186"/>
      <c r="AY191" s="186"/>
      <c r="AZ191" s="186"/>
      <c r="BA191" s="186"/>
      <c r="BB191" s="186"/>
      <c r="BC191" s="186"/>
      <c r="BD191" s="186"/>
      <c r="BE191" s="186"/>
      <c r="BF191" s="186"/>
    </row>
    <row r="192">
      <c r="A192" s="185" t="s">
        <v>412</v>
      </c>
      <c r="B192" s="185">
        <v>354.0</v>
      </c>
      <c r="C192" s="185" t="s">
        <v>6</v>
      </c>
      <c r="D192" s="185">
        <v>0.469</v>
      </c>
      <c r="E192" s="185" t="s">
        <v>168</v>
      </c>
      <c r="F192" s="185">
        <v>0.4</v>
      </c>
      <c r="G192" s="185">
        <v>0.1</v>
      </c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6"/>
      <c r="AT192" s="186"/>
      <c r="AU192" s="186"/>
      <c r="AV192" s="186"/>
      <c r="AW192" s="186"/>
      <c r="AX192" s="186"/>
      <c r="AY192" s="186"/>
      <c r="AZ192" s="186"/>
      <c r="BA192" s="186"/>
      <c r="BB192" s="186"/>
      <c r="BC192" s="186"/>
      <c r="BD192" s="186"/>
      <c r="BE192" s="186"/>
      <c r="BF192" s="186"/>
    </row>
    <row r="193">
      <c r="A193" s="185" t="s">
        <v>413</v>
      </c>
      <c r="B193" s="185">
        <v>401.0</v>
      </c>
      <c r="C193" s="185" t="s">
        <v>2</v>
      </c>
      <c r="D193" s="185">
        <v>0.234</v>
      </c>
      <c r="E193" s="185" t="s">
        <v>147</v>
      </c>
      <c r="F193" s="185">
        <v>0.24</v>
      </c>
      <c r="G193" s="185">
        <v>0.06</v>
      </c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6"/>
      <c r="AT193" s="186"/>
      <c r="AU193" s="186"/>
      <c r="AV193" s="186"/>
      <c r="AW193" s="186"/>
      <c r="AX193" s="186"/>
      <c r="AY193" s="186"/>
      <c r="AZ193" s="186"/>
      <c r="BA193" s="186"/>
      <c r="BB193" s="186"/>
      <c r="BC193" s="186"/>
      <c r="BD193" s="186"/>
      <c r="BE193" s="186"/>
      <c r="BF193" s="186"/>
    </row>
    <row r="194">
      <c r="A194" s="185" t="s">
        <v>414</v>
      </c>
      <c r="B194" s="185">
        <v>620.0</v>
      </c>
      <c r="C194" s="185" t="s">
        <v>58</v>
      </c>
      <c r="D194" s="185">
        <v>0.138</v>
      </c>
      <c r="E194" s="185" t="s">
        <v>164</v>
      </c>
      <c r="F194" s="185">
        <v>0.0012</v>
      </c>
      <c r="G194" s="185">
        <v>3.0E-4</v>
      </c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86"/>
      <c r="AT194" s="186"/>
      <c r="AU194" s="186"/>
      <c r="AV194" s="186"/>
      <c r="AW194" s="186"/>
      <c r="AX194" s="186"/>
      <c r="AY194" s="186"/>
      <c r="AZ194" s="186"/>
      <c r="BA194" s="186"/>
      <c r="BB194" s="186"/>
      <c r="BC194" s="186"/>
      <c r="BD194" s="186"/>
      <c r="BE194" s="186"/>
      <c r="BF194" s="186"/>
    </row>
    <row r="195">
      <c r="A195" s="185" t="s">
        <v>415</v>
      </c>
      <c r="B195" s="185">
        <v>510.0</v>
      </c>
      <c r="C195" s="185" t="s">
        <v>3</v>
      </c>
      <c r="D195" s="185">
        <v>0.551</v>
      </c>
      <c r="E195" s="185" t="s">
        <v>58</v>
      </c>
      <c r="F195" s="185">
        <v>0.12</v>
      </c>
      <c r="G195" s="185">
        <v>0.03</v>
      </c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  <c r="AA195" s="186"/>
      <c r="AB195" s="186"/>
      <c r="AC195" s="186"/>
      <c r="AD195" s="186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86"/>
      <c r="AT195" s="186"/>
      <c r="AU195" s="186"/>
      <c r="AV195" s="186"/>
      <c r="AW195" s="186"/>
      <c r="AX195" s="186"/>
      <c r="AY195" s="186"/>
      <c r="AZ195" s="186"/>
      <c r="BA195" s="186"/>
      <c r="BB195" s="186"/>
      <c r="BC195" s="186"/>
      <c r="BD195" s="186"/>
      <c r="BE195" s="186"/>
      <c r="BF195" s="186"/>
    </row>
    <row r="196">
      <c r="A196" s="185" t="s">
        <v>416</v>
      </c>
      <c r="B196" s="185">
        <v>565.0</v>
      </c>
      <c r="C196" s="185" t="s">
        <v>110</v>
      </c>
      <c r="D196" s="185">
        <v>0.345</v>
      </c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  <c r="AA196" s="186"/>
      <c r="AB196" s="186"/>
      <c r="AC196" s="186"/>
      <c r="AD196" s="186"/>
      <c r="AE196" s="186"/>
      <c r="AF196" s="186"/>
      <c r="AG196" s="186"/>
      <c r="AH196" s="186"/>
      <c r="AI196" s="186"/>
      <c r="AJ196" s="186"/>
      <c r="AK196" s="186"/>
      <c r="AL196" s="186"/>
      <c r="AM196" s="186"/>
      <c r="AN196" s="186"/>
      <c r="AO196" s="186"/>
      <c r="AP196" s="186"/>
      <c r="AQ196" s="186"/>
      <c r="AR196" s="186"/>
      <c r="AS196" s="186"/>
      <c r="AT196" s="186"/>
      <c r="AU196" s="186"/>
      <c r="AV196" s="186"/>
      <c r="AW196" s="186"/>
      <c r="AX196" s="186"/>
      <c r="AY196" s="186"/>
      <c r="AZ196" s="186"/>
      <c r="BA196" s="186"/>
      <c r="BB196" s="186"/>
      <c r="BC196" s="186"/>
      <c r="BD196" s="186"/>
      <c r="BE196" s="186"/>
      <c r="BF196" s="186"/>
    </row>
    <row r="197">
      <c r="A197" s="185" t="s">
        <v>417</v>
      </c>
      <c r="B197" s="185">
        <v>454.0</v>
      </c>
      <c r="C197" s="185" t="s">
        <v>2</v>
      </c>
      <c r="D197" s="185">
        <v>0.368</v>
      </c>
      <c r="E197" s="185" t="s">
        <v>58</v>
      </c>
      <c r="F197" s="185">
        <v>0.16</v>
      </c>
      <c r="G197" s="185">
        <v>0.04</v>
      </c>
      <c r="H197" s="185" t="s">
        <v>60</v>
      </c>
      <c r="I197" s="185">
        <v>0.16</v>
      </c>
      <c r="J197" s="185">
        <v>0.04</v>
      </c>
      <c r="K197" s="185" t="s">
        <v>58</v>
      </c>
      <c r="L197" s="185">
        <v>0.24</v>
      </c>
      <c r="M197" s="185">
        <v>0.06</v>
      </c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  <c r="AA197" s="186"/>
      <c r="AB197" s="186"/>
      <c r="AC197" s="186"/>
      <c r="AD197" s="186"/>
      <c r="AE197" s="186"/>
      <c r="AF197" s="186"/>
      <c r="AG197" s="186"/>
      <c r="AH197" s="186"/>
      <c r="AI197" s="186"/>
      <c r="AJ197" s="186"/>
      <c r="AK197" s="186"/>
      <c r="AL197" s="186"/>
      <c r="AM197" s="186"/>
      <c r="AN197" s="186"/>
      <c r="AO197" s="186"/>
      <c r="AP197" s="186"/>
      <c r="AQ197" s="186"/>
      <c r="AR197" s="186"/>
      <c r="AS197" s="186"/>
      <c r="AT197" s="186"/>
      <c r="AU197" s="186"/>
      <c r="AV197" s="186"/>
      <c r="AW197" s="186"/>
      <c r="AX197" s="186"/>
      <c r="AY197" s="186"/>
      <c r="AZ197" s="186"/>
      <c r="BA197" s="186"/>
      <c r="BB197" s="186"/>
      <c r="BC197" s="186"/>
      <c r="BD197" s="186"/>
      <c r="BE197" s="186"/>
      <c r="BF197" s="186"/>
    </row>
    <row r="198">
      <c r="A198" s="185" t="s">
        <v>418</v>
      </c>
      <c r="B198" s="185">
        <v>454.0</v>
      </c>
      <c r="C198" s="185" t="s">
        <v>4</v>
      </c>
      <c r="D198" s="185">
        <v>221.0</v>
      </c>
      <c r="E198" s="185" t="s">
        <v>168</v>
      </c>
      <c r="F198" s="185">
        <v>0.2</v>
      </c>
      <c r="G198" s="185">
        <v>0.04</v>
      </c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  <c r="AA198" s="186"/>
      <c r="AB198" s="186"/>
      <c r="AC198" s="186"/>
      <c r="AD198" s="186"/>
      <c r="AE198" s="186"/>
      <c r="AF198" s="186"/>
      <c r="AG198" s="186"/>
      <c r="AH198" s="186"/>
      <c r="AI198" s="186"/>
      <c r="AJ198" s="186"/>
      <c r="AK198" s="186"/>
      <c r="AL198" s="186"/>
      <c r="AM198" s="186"/>
      <c r="AN198" s="186"/>
      <c r="AO198" s="186"/>
      <c r="AP198" s="186"/>
      <c r="AQ198" s="186"/>
      <c r="AR198" s="186"/>
      <c r="AS198" s="186"/>
      <c r="AT198" s="186"/>
      <c r="AU198" s="186"/>
      <c r="AV198" s="186"/>
      <c r="AW198" s="186"/>
      <c r="AX198" s="186"/>
      <c r="AY198" s="186"/>
      <c r="AZ198" s="186"/>
      <c r="BA198" s="186"/>
      <c r="BB198" s="186"/>
      <c r="BC198" s="186"/>
      <c r="BD198" s="186"/>
      <c r="BE198" s="186"/>
      <c r="BF198" s="186"/>
    </row>
    <row r="199">
      <c r="A199" s="185" t="s">
        <v>419</v>
      </c>
      <c r="B199" s="185">
        <v>565.0</v>
      </c>
      <c r="C199" s="185" t="s">
        <v>58</v>
      </c>
      <c r="D199" s="185">
        <v>0.276</v>
      </c>
      <c r="E199" s="185" t="s">
        <v>58</v>
      </c>
      <c r="F199" s="185">
        <v>0.07</v>
      </c>
      <c r="G199" s="185">
        <v>0.01</v>
      </c>
      <c r="H199" s="185" t="s">
        <v>2</v>
      </c>
      <c r="I199" s="185">
        <v>0.03</v>
      </c>
      <c r="J199" s="185">
        <v>0.01</v>
      </c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  <c r="AA199" s="186"/>
      <c r="AB199" s="186"/>
      <c r="AC199" s="186"/>
      <c r="AD199" s="186"/>
      <c r="AE199" s="186"/>
      <c r="AF199" s="186"/>
      <c r="AG199" s="186"/>
      <c r="AH199" s="186"/>
      <c r="AI199" s="186"/>
      <c r="AJ199" s="186"/>
      <c r="AK199" s="186"/>
      <c r="AL199" s="186"/>
      <c r="AM199" s="186"/>
      <c r="AN199" s="186"/>
      <c r="AO199" s="186"/>
      <c r="AP199" s="186"/>
      <c r="AQ199" s="186"/>
      <c r="AR199" s="186"/>
      <c r="AS199" s="186"/>
      <c r="AT199" s="186"/>
      <c r="AU199" s="186"/>
      <c r="AV199" s="186"/>
      <c r="AW199" s="186"/>
      <c r="AX199" s="186"/>
      <c r="AY199" s="186"/>
      <c r="AZ199" s="186"/>
      <c r="BA199" s="186"/>
      <c r="BB199" s="186"/>
      <c r="BC199" s="186"/>
      <c r="BD199" s="186"/>
      <c r="BE199" s="186"/>
      <c r="BF199" s="186"/>
    </row>
    <row r="200">
      <c r="A200" s="185" t="s">
        <v>420</v>
      </c>
      <c r="B200" s="185">
        <v>510.0</v>
      </c>
      <c r="C200" s="185" t="s">
        <v>5</v>
      </c>
      <c r="D200" s="185">
        <v>0.459</v>
      </c>
      <c r="E200" s="185" t="s">
        <v>381</v>
      </c>
      <c r="F200" s="185">
        <v>0.08</v>
      </c>
      <c r="G200" s="185">
        <v>0.02</v>
      </c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  <c r="AA200" s="186"/>
      <c r="AB200" s="186"/>
      <c r="AC200" s="186"/>
      <c r="AD200" s="186"/>
      <c r="AE200" s="186"/>
      <c r="AF200" s="186"/>
      <c r="AG200" s="186"/>
      <c r="AH200" s="186"/>
      <c r="AI200" s="186"/>
      <c r="AJ200" s="186"/>
      <c r="AK200" s="186"/>
      <c r="AL200" s="186"/>
      <c r="AM200" s="186"/>
      <c r="AN200" s="186"/>
      <c r="AO200" s="186"/>
      <c r="AP200" s="186"/>
      <c r="AQ200" s="186"/>
      <c r="AR200" s="186"/>
      <c r="AS200" s="186"/>
      <c r="AT200" s="186"/>
      <c r="AU200" s="186"/>
      <c r="AV200" s="186"/>
      <c r="AW200" s="186"/>
      <c r="AX200" s="186"/>
      <c r="AY200" s="186"/>
      <c r="AZ200" s="186"/>
      <c r="BA200" s="186"/>
      <c r="BB200" s="186"/>
      <c r="BC200" s="186"/>
      <c r="BD200" s="186"/>
      <c r="BE200" s="186"/>
      <c r="BF200" s="186"/>
    </row>
    <row r="201">
      <c r="A201" s="185" t="s">
        <v>421</v>
      </c>
      <c r="B201" s="185">
        <v>565.0</v>
      </c>
      <c r="C201" s="185" t="s">
        <v>5</v>
      </c>
      <c r="D201" s="185">
        <v>0.306</v>
      </c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  <c r="AA201" s="186"/>
      <c r="AB201" s="186"/>
      <c r="AC201" s="186"/>
      <c r="AD201" s="186"/>
      <c r="AE201" s="186"/>
      <c r="AF201" s="186"/>
      <c r="AG201" s="186"/>
      <c r="AH201" s="186"/>
      <c r="AI201" s="186"/>
      <c r="AJ201" s="186"/>
      <c r="AK201" s="186"/>
      <c r="AL201" s="186"/>
      <c r="AM201" s="186"/>
      <c r="AN201" s="186"/>
      <c r="AO201" s="186"/>
      <c r="AP201" s="186"/>
      <c r="AQ201" s="186"/>
      <c r="AR201" s="186"/>
      <c r="AS201" s="186"/>
      <c r="AT201" s="186"/>
      <c r="AU201" s="186"/>
      <c r="AV201" s="186"/>
      <c r="AW201" s="186"/>
      <c r="AX201" s="186"/>
      <c r="AY201" s="186"/>
      <c r="AZ201" s="186"/>
      <c r="BA201" s="186"/>
      <c r="BB201" s="186"/>
      <c r="BC201" s="186"/>
      <c r="BD201" s="186"/>
      <c r="BE201" s="186"/>
      <c r="BF201" s="186"/>
    </row>
    <row r="202">
      <c r="A202" s="185" t="s">
        <v>422</v>
      </c>
      <c r="B202" s="185">
        <v>565.0</v>
      </c>
      <c r="C202" s="185" t="s">
        <v>58</v>
      </c>
      <c r="D202" s="185">
        <v>0.276</v>
      </c>
      <c r="E202" s="185" t="s">
        <v>2</v>
      </c>
      <c r="F202" s="185">
        <v>0.08</v>
      </c>
      <c r="G202" s="185">
        <v>0.02</v>
      </c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6"/>
      <c r="AT202" s="186"/>
      <c r="AU202" s="186"/>
      <c r="AV202" s="186"/>
      <c r="AW202" s="186"/>
      <c r="AX202" s="186"/>
      <c r="AY202" s="186"/>
      <c r="AZ202" s="186"/>
      <c r="BA202" s="186"/>
      <c r="BB202" s="186"/>
      <c r="BC202" s="186"/>
      <c r="BD202" s="186"/>
      <c r="BE202" s="186"/>
      <c r="BF202" s="186"/>
    </row>
    <row r="203">
      <c r="A203" s="185" t="s">
        <v>423</v>
      </c>
      <c r="B203" s="185">
        <v>454.0</v>
      </c>
      <c r="C203" s="185" t="s">
        <v>110</v>
      </c>
      <c r="D203" s="185">
        <v>0.69</v>
      </c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6"/>
      <c r="AT203" s="186"/>
      <c r="AU203" s="186"/>
      <c r="AV203" s="186"/>
      <c r="AW203" s="186"/>
      <c r="AX203" s="186"/>
      <c r="AY203" s="186"/>
      <c r="AZ203" s="186"/>
      <c r="BA203" s="186"/>
      <c r="BB203" s="186"/>
      <c r="BC203" s="186"/>
      <c r="BD203" s="186"/>
      <c r="BE203" s="186"/>
      <c r="BF203" s="186"/>
    </row>
    <row r="204">
      <c r="A204" s="185" t="s">
        <v>424</v>
      </c>
      <c r="B204" s="185">
        <v>565.0</v>
      </c>
      <c r="C204" s="185" t="s">
        <v>4</v>
      </c>
      <c r="D204" s="185">
        <v>110.0</v>
      </c>
      <c r="E204" s="185" t="s">
        <v>160</v>
      </c>
      <c r="F204" s="185">
        <v>0.06</v>
      </c>
      <c r="G204" s="185">
        <v>0.015</v>
      </c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6"/>
      <c r="AT204" s="186"/>
      <c r="AU204" s="186"/>
      <c r="AV204" s="186"/>
      <c r="AW204" s="186"/>
      <c r="AX204" s="186"/>
      <c r="AY204" s="186"/>
      <c r="AZ204" s="186"/>
      <c r="BA204" s="186"/>
      <c r="BB204" s="186"/>
      <c r="BC204" s="186"/>
      <c r="BD204" s="186"/>
      <c r="BE204" s="186"/>
      <c r="BF204" s="186"/>
    </row>
    <row r="205">
      <c r="A205" s="185" t="s">
        <v>242</v>
      </c>
      <c r="B205" s="185">
        <v>510.0</v>
      </c>
      <c r="C205" s="185" t="s">
        <v>5</v>
      </c>
      <c r="D205" s="185">
        <v>0.459</v>
      </c>
      <c r="E205" s="185" t="s">
        <v>164</v>
      </c>
      <c r="F205" s="185">
        <v>0.16</v>
      </c>
      <c r="G205" s="185">
        <v>0.04</v>
      </c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6"/>
      <c r="AT205" s="186"/>
      <c r="AU205" s="186"/>
      <c r="AV205" s="186"/>
      <c r="AW205" s="186"/>
      <c r="AX205" s="186"/>
      <c r="AY205" s="186"/>
      <c r="AZ205" s="186"/>
      <c r="BA205" s="186"/>
      <c r="BB205" s="186"/>
      <c r="BC205" s="186"/>
      <c r="BD205" s="186"/>
      <c r="BE205" s="186"/>
      <c r="BF205" s="186"/>
    </row>
    <row r="206">
      <c r="A206" s="185" t="s">
        <v>425</v>
      </c>
      <c r="B206" s="185">
        <v>608.0</v>
      </c>
      <c r="C206" s="185" t="s">
        <v>58</v>
      </c>
      <c r="D206" s="185">
        <v>0.496</v>
      </c>
      <c r="E206" s="185" t="s">
        <v>58</v>
      </c>
      <c r="F206" s="185">
        <v>0.04</v>
      </c>
      <c r="G206" s="185">
        <v>0.01</v>
      </c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6"/>
      <c r="AT206" s="186"/>
      <c r="AU206" s="186"/>
      <c r="AV206" s="186"/>
      <c r="AW206" s="186"/>
      <c r="AX206" s="186"/>
      <c r="AY206" s="186"/>
      <c r="AZ206" s="186"/>
      <c r="BA206" s="186"/>
      <c r="BB206" s="186"/>
      <c r="BC206" s="186"/>
      <c r="BD206" s="186"/>
      <c r="BE206" s="186"/>
      <c r="BF206" s="186"/>
    </row>
    <row r="207">
      <c r="A207" s="185" t="s">
        <v>426</v>
      </c>
      <c r="B207" s="185">
        <v>674.0</v>
      </c>
      <c r="C207" s="185" t="s">
        <v>2</v>
      </c>
      <c r="D207" s="185">
        <v>0.221</v>
      </c>
      <c r="E207" s="185" t="s">
        <v>58</v>
      </c>
      <c r="F207" s="185">
        <v>0.032</v>
      </c>
      <c r="G207" s="185">
        <v>0.007</v>
      </c>
      <c r="H207" s="185" t="s">
        <v>168</v>
      </c>
      <c r="I207" s="185">
        <v>0.12</v>
      </c>
      <c r="J207" s="185">
        <v>0.03</v>
      </c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86"/>
      <c r="AT207" s="186"/>
      <c r="AU207" s="186"/>
      <c r="AV207" s="186"/>
      <c r="AW207" s="186"/>
      <c r="AX207" s="186"/>
      <c r="AY207" s="186"/>
      <c r="AZ207" s="186"/>
      <c r="BA207" s="186"/>
      <c r="BB207" s="186"/>
      <c r="BC207" s="186"/>
      <c r="BD207" s="186"/>
      <c r="BE207" s="186"/>
      <c r="BF207" s="186"/>
    </row>
    <row r="208">
      <c r="A208" s="185" t="s">
        <v>427</v>
      </c>
      <c r="B208" s="185">
        <v>674.0</v>
      </c>
      <c r="C208" s="185" t="s">
        <v>5</v>
      </c>
      <c r="D208" s="185">
        <v>0.368</v>
      </c>
      <c r="E208" s="185" t="s">
        <v>2</v>
      </c>
      <c r="F208" s="185">
        <v>0.08</v>
      </c>
      <c r="G208" s="185">
        <v>0.02</v>
      </c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6"/>
      <c r="AT208" s="186"/>
      <c r="AU208" s="186"/>
      <c r="AV208" s="186"/>
      <c r="AW208" s="186"/>
      <c r="AX208" s="186"/>
      <c r="AY208" s="186"/>
      <c r="AZ208" s="186"/>
      <c r="BA208" s="186"/>
      <c r="BB208" s="186"/>
      <c r="BC208" s="186"/>
      <c r="BD208" s="186"/>
      <c r="BE208" s="186"/>
      <c r="BF208" s="186"/>
    </row>
    <row r="209">
      <c r="A209" s="185" t="s">
        <v>428</v>
      </c>
      <c r="B209" s="185">
        <v>608.0</v>
      </c>
      <c r="C209" s="185" t="s">
        <v>3</v>
      </c>
      <c r="D209" s="185">
        <v>0.662</v>
      </c>
      <c r="E209" s="185" t="s">
        <v>6</v>
      </c>
      <c r="F209" s="185">
        <v>0.2</v>
      </c>
      <c r="G209" s="185">
        <v>0.05</v>
      </c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6"/>
      <c r="AT209" s="186"/>
      <c r="AU209" s="186"/>
      <c r="AV209" s="186"/>
      <c r="AW209" s="186"/>
      <c r="AX209" s="186"/>
      <c r="AY209" s="186"/>
      <c r="AZ209" s="186"/>
      <c r="BA209" s="186"/>
      <c r="BB209" s="186"/>
      <c r="BC209" s="186"/>
      <c r="BD209" s="186"/>
      <c r="BE209" s="186"/>
      <c r="BF209" s="186"/>
    </row>
    <row r="210">
      <c r="A210" s="185" t="s">
        <v>429</v>
      </c>
      <c r="B210" s="185">
        <v>608.0</v>
      </c>
      <c r="C210" s="185" t="s">
        <v>5</v>
      </c>
      <c r="D210" s="185">
        <v>0.551</v>
      </c>
      <c r="E210" s="185" t="s">
        <v>5</v>
      </c>
      <c r="F210" s="185">
        <v>0.3</v>
      </c>
      <c r="G210" s="185">
        <v>0.05</v>
      </c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6"/>
      <c r="AT210" s="186"/>
      <c r="AU210" s="186"/>
      <c r="AV210" s="186"/>
      <c r="AW210" s="186"/>
      <c r="AX210" s="186"/>
      <c r="AY210" s="186"/>
      <c r="AZ210" s="186"/>
      <c r="BA210" s="186"/>
      <c r="BB210" s="186"/>
      <c r="BC210" s="186"/>
      <c r="BD210" s="186"/>
      <c r="BE210" s="186"/>
      <c r="BF210" s="186"/>
    </row>
    <row r="211">
      <c r="A211" s="185" t="s">
        <v>430</v>
      </c>
      <c r="B211" s="185">
        <v>741.0</v>
      </c>
      <c r="C211" s="185" t="s">
        <v>58</v>
      </c>
      <c r="D211" s="185">
        <v>0.165</v>
      </c>
      <c r="E211" s="185" t="s">
        <v>146</v>
      </c>
      <c r="F211" s="185">
        <v>0.12</v>
      </c>
      <c r="G211" s="185">
        <v>0.03</v>
      </c>
      <c r="H211" s="185" t="s">
        <v>58</v>
      </c>
      <c r="I211" s="185">
        <v>0.032</v>
      </c>
      <c r="J211" s="185">
        <v>0.008</v>
      </c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86"/>
      <c r="AT211" s="186"/>
      <c r="AU211" s="186"/>
      <c r="AV211" s="186"/>
      <c r="AW211" s="186"/>
      <c r="AX211" s="186"/>
      <c r="AY211" s="186"/>
      <c r="AZ211" s="186"/>
      <c r="BA211" s="186"/>
      <c r="BB211" s="186"/>
      <c r="BC211" s="186"/>
      <c r="BD211" s="186"/>
      <c r="BE211" s="186"/>
      <c r="BF211" s="186"/>
    </row>
    <row r="212">
      <c r="A212" s="185" t="s">
        <v>431</v>
      </c>
      <c r="B212" s="185">
        <v>354.0</v>
      </c>
      <c r="C212" s="185" t="s">
        <v>6</v>
      </c>
      <c r="D212" s="185">
        <v>0.469</v>
      </c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  <c r="AA212" s="186"/>
      <c r="AB212" s="186"/>
      <c r="AC212" s="186"/>
      <c r="AD212" s="186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86"/>
      <c r="AT212" s="186"/>
      <c r="AU212" s="186"/>
      <c r="AV212" s="186"/>
      <c r="AW212" s="186"/>
      <c r="AX212" s="186"/>
      <c r="AY212" s="186"/>
      <c r="AZ212" s="186"/>
      <c r="BA212" s="186"/>
      <c r="BB212" s="186"/>
      <c r="BC212" s="186"/>
      <c r="BD212" s="186"/>
      <c r="BE212" s="186"/>
      <c r="BF212" s="186"/>
    </row>
    <row r="213">
      <c r="A213" s="185" t="s">
        <v>432</v>
      </c>
      <c r="B213" s="185">
        <v>448.0</v>
      </c>
      <c r="C213" s="185" t="s">
        <v>4</v>
      </c>
      <c r="D213" s="185">
        <v>94.0</v>
      </c>
      <c r="E213" s="185" t="s">
        <v>168</v>
      </c>
      <c r="F213" s="185">
        <v>0.12</v>
      </c>
      <c r="G213" s="185">
        <v>0.03</v>
      </c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  <c r="AA213" s="186"/>
      <c r="AB213" s="186"/>
      <c r="AC213" s="186"/>
      <c r="AD213" s="186"/>
      <c r="AE213" s="186"/>
      <c r="AF213" s="186"/>
      <c r="AG213" s="186"/>
      <c r="AH213" s="186"/>
      <c r="AI213" s="186"/>
      <c r="AJ213" s="186"/>
      <c r="AK213" s="186"/>
      <c r="AL213" s="186"/>
      <c r="AM213" s="186"/>
      <c r="AN213" s="186"/>
      <c r="AO213" s="186"/>
      <c r="AP213" s="186"/>
      <c r="AQ213" s="186"/>
      <c r="AR213" s="186"/>
      <c r="AS213" s="186"/>
      <c r="AT213" s="186"/>
      <c r="AU213" s="186"/>
      <c r="AV213" s="186"/>
      <c r="AW213" s="186"/>
      <c r="AX213" s="186"/>
      <c r="AY213" s="186"/>
      <c r="AZ213" s="186"/>
      <c r="BA213" s="186"/>
      <c r="BB213" s="186"/>
      <c r="BC213" s="186"/>
      <c r="BD213" s="186"/>
      <c r="BE213" s="186"/>
      <c r="BF213" s="186"/>
    </row>
    <row r="214">
      <c r="A214" s="185" t="s">
        <v>433</v>
      </c>
      <c r="B214" s="185">
        <v>401.0</v>
      </c>
      <c r="C214" s="185" t="s">
        <v>3</v>
      </c>
      <c r="D214" s="185">
        <v>0.469</v>
      </c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  <c r="AA214" s="186"/>
      <c r="AB214" s="186"/>
      <c r="AC214" s="186"/>
      <c r="AD214" s="186"/>
      <c r="AE214" s="186"/>
      <c r="AF214" s="186"/>
      <c r="AG214" s="186"/>
      <c r="AH214" s="186"/>
      <c r="AI214" s="186"/>
      <c r="AJ214" s="186"/>
      <c r="AK214" s="186"/>
      <c r="AL214" s="186"/>
      <c r="AM214" s="186"/>
      <c r="AN214" s="186"/>
      <c r="AO214" s="186"/>
      <c r="AP214" s="186"/>
      <c r="AQ214" s="186"/>
      <c r="AR214" s="186"/>
      <c r="AS214" s="186"/>
      <c r="AT214" s="186"/>
      <c r="AU214" s="186"/>
      <c r="AV214" s="186"/>
      <c r="AW214" s="186"/>
      <c r="AX214" s="186"/>
      <c r="AY214" s="186"/>
      <c r="AZ214" s="186"/>
      <c r="BA214" s="186"/>
      <c r="BB214" s="186"/>
      <c r="BC214" s="186"/>
      <c r="BD214" s="186"/>
      <c r="BE214" s="186"/>
      <c r="BF214" s="186"/>
    </row>
    <row r="215">
      <c r="A215" s="185" t="s">
        <v>434</v>
      </c>
      <c r="B215" s="185">
        <v>354.0</v>
      </c>
      <c r="C215" s="185" t="s">
        <v>2</v>
      </c>
      <c r="D215" s="185">
        <v>0.312</v>
      </c>
      <c r="E215" s="185" t="s">
        <v>381</v>
      </c>
      <c r="F215" s="185">
        <v>0.36</v>
      </c>
      <c r="G215" s="185">
        <v>0.06</v>
      </c>
      <c r="H215" s="185" t="s">
        <v>381</v>
      </c>
      <c r="I215" s="185">
        <v>-0.1</v>
      </c>
      <c r="J215" s="185">
        <v>0.0</v>
      </c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  <c r="AA215" s="186"/>
      <c r="AB215" s="186"/>
      <c r="AC215" s="186"/>
      <c r="AD215" s="186"/>
      <c r="AE215" s="186"/>
      <c r="AF215" s="186"/>
      <c r="AG215" s="186"/>
      <c r="AH215" s="186"/>
      <c r="AI215" s="186"/>
      <c r="AJ215" s="186"/>
      <c r="AK215" s="186"/>
      <c r="AL215" s="186"/>
      <c r="AM215" s="186"/>
      <c r="AN215" s="186"/>
      <c r="AO215" s="186"/>
      <c r="AP215" s="186"/>
      <c r="AQ215" s="186"/>
      <c r="AR215" s="186"/>
      <c r="AS215" s="186"/>
      <c r="AT215" s="186"/>
      <c r="AU215" s="186"/>
      <c r="AV215" s="186"/>
      <c r="AW215" s="186"/>
      <c r="AX215" s="186"/>
      <c r="AY215" s="186"/>
      <c r="AZ215" s="186"/>
      <c r="BA215" s="186"/>
      <c r="BB215" s="186"/>
      <c r="BC215" s="186"/>
      <c r="BD215" s="186"/>
      <c r="BE215" s="186"/>
      <c r="BF215" s="186"/>
    </row>
    <row r="216">
      <c r="A216" s="185" t="s">
        <v>435</v>
      </c>
      <c r="B216" s="185">
        <v>565.0</v>
      </c>
      <c r="C216" s="185" t="s">
        <v>58</v>
      </c>
      <c r="D216" s="185">
        <v>0.276</v>
      </c>
      <c r="E216" s="185" t="s">
        <v>164</v>
      </c>
      <c r="F216" s="185">
        <v>0.0012</v>
      </c>
      <c r="G216" s="185">
        <v>3.0E-4</v>
      </c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  <c r="AA216" s="186"/>
      <c r="AB216" s="186"/>
      <c r="AC216" s="186"/>
      <c r="AD216" s="186"/>
      <c r="AE216" s="186"/>
      <c r="AF216" s="186"/>
      <c r="AG216" s="186"/>
      <c r="AH216" s="186"/>
      <c r="AI216" s="186"/>
      <c r="AJ216" s="186"/>
      <c r="AK216" s="186"/>
      <c r="AL216" s="186"/>
      <c r="AM216" s="186"/>
      <c r="AN216" s="186"/>
      <c r="AO216" s="186"/>
      <c r="AP216" s="186"/>
      <c r="AQ216" s="186"/>
      <c r="AR216" s="186"/>
      <c r="AS216" s="186"/>
      <c r="AT216" s="186"/>
      <c r="AU216" s="186"/>
      <c r="AV216" s="186"/>
      <c r="AW216" s="186"/>
      <c r="AX216" s="186"/>
      <c r="AY216" s="186"/>
      <c r="AZ216" s="186"/>
      <c r="BA216" s="186"/>
      <c r="BB216" s="186"/>
      <c r="BC216" s="186"/>
      <c r="BD216" s="186"/>
      <c r="BE216" s="186"/>
      <c r="BF216" s="186"/>
    </row>
    <row r="217">
      <c r="A217" s="185" t="s">
        <v>436</v>
      </c>
      <c r="B217" s="185">
        <v>510.0</v>
      </c>
      <c r="C217" s="185" t="s">
        <v>58</v>
      </c>
      <c r="D217" s="185">
        <v>0.413</v>
      </c>
      <c r="E217" s="185" t="s">
        <v>2</v>
      </c>
      <c r="F217" s="185">
        <v>0.08</v>
      </c>
      <c r="G217" s="185">
        <v>0.02</v>
      </c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  <c r="AA217" s="186"/>
      <c r="AB217" s="186"/>
      <c r="AC217" s="186"/>
      <c r="AD217" s="186"/>
      <c r="AE217" s="186"/>
      <c r="AF217" s="186"/>
      <c r="AG217" s="186"/>
      <c r="AH217" s="186"/>
      <c r="AI217" s="186"/>
      <c r="AJ217" s="186"/>
      <c r="AK217" s="186"/>
      <c r="AL217" s="186"/>
      <c r="AM217" s="186"/>
      <c r="AN217" s="186"/>
      <c r="AO217" s="186"/>
      <c r="AP217" s="186"/>
      <c r="AQ217" s="186"/>
      <c r="AR217" s="186"/>
      <c r="AS217" s="186"/>
      <c r="AT217" s="186"/>
      <c r="AU217" s="186"/>
      <c r="AV217" s="186"/>
      <c r="AW217" s="186"/>
      <c r="AX217" s="186"/>
      <c r="AY217" s="186"/>
      <c r="AZ217" s="186"/>
      <c r="BA217" s="186"/>
      <c r="BB217" s="186"/>
      <c r="BC217" s="186"/>
      <c r="BD217" s="186"/>
      <c r="BE217" s="186"/>
      <c r="BF217" s="186"/>
    </row>
    <row r="218">
      <c r="A218" s="185" t="s">
        <v>437</v>
      </c>
      <c r="B218" s="185">
        <v>510.0</v>
      </c>
      <c r="C218" s="185" t="s">
        <v>58</v>
      </c>
      <c r="D218" s="185">
        <v>0.413</v>
      </c>
      <c r="E218" s="185" t="s">
        <v>147</v>
      </c>
      <c r="F218" s="185">
        <v>0.4</v>
      </c>
      <c r="G218" s="185">
        <v>0.1</v>
      </c>
      <c r="H218" s="185" t="s">
        <v>152</v>
      </c>
      <c r="I218" s="185">
        <v>-0.1</v>
      </c>
      <c r="J218" s="185">
        <v>0.0</v>
      </c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  <c r="AA218" s="186"/>
      <c r="AB218" s="186"/>
      <c r="AC218" s="186"/>
      <c r="AD218" s="186"/>
      <c r="AE218" s="186"/>
      <c r="AF218" s="186"/>
      <c r="AG218" s="186"/>
      <c r="AH218" s="186"/>
      <c r="AI218" s="186"/>
      <c r="AJ218" s="186"/>
      <c r="AK218" s="186"/>
      <c r="AL218" s="186"/>
      <c r="AM218" s="186"/>
      <c r="AN218" s="186"/>
      <c r="AO218" s="186"/>
      <c r="AP218" s="186"/>
      <c r="AQ218" s="186"/>
      <c r="AR218" s="186"/>
      <c r="AS218" s="186"/>
      <c r="AT218" s="186"/>
      <c r="AU218" s="186"/>
      <c r="AV218" s="186"/>
      <c r="AW218" s="186"/>
      <c r="AX218" s="186"/>
      <c r="AY218" s="186"/>
      <c r="AZ218" s="186"/>
      <c r="BA218" s="186"/>
      <c r="BB218" s="186"/>
      <c r="BC218" s="186"/>
      <c r="BD218" s="186"/>
      <c r="BE218" s="186"/>
      <c r="BF218" s="186"/>
    </row>
    <row r="219">
      <c r="A219" s="185" t="s">
        <v>438</v>
      </c>
      <c r="B219" s="185">
        <v>510.0</v>
      </c>
      <c r="C219" s="185" t="s">
        <v>4</v>
      </c>
      <c r="D219" s="185">
        <v>165.0</v>
      </c>
      <c r="E219" s="185" t="s">
        <v>439</v>
      </c>
      <c r="F219" s="185">
        <v>0.24</v>
      </c>
      <c r="G219" s="185">
        <v>0.06</v>
      </c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  <c r="AA219" s="186"/>
      <c r="AB219" s="186"/>
      <c r="AC219" s="186"/>
      <c r="AD219" s="186"/>
      <c r="AE219" s="186"/>
      <c r="AF219" s="186"/>
      <c r="AG219" s="186"/>
      <c r="AH219" s="186"/>
      <c r="AI219" s="186"/>
      <c r="AJ219" s="186"/>
      <c r="AK219" s="186"/>
      <c r="AL219" s="186"/>
      <c r="AM219" s="186"/>
      <c r="AN219" s="186"/>
      <c r="AO219" s="186"/>
      <c r="AP219" s="186"/>
      <c r="AQ219" s="186"/>
      <c r="AR219" s="186"/>
      <c r="AS219" s="186"/>
      <c r="AT219" s="186"/>
      <c r="AU219" s="186"/>
      <c r="AV219" s="186"/>
      <c r="AW219" s="186"/>
      <c r="AX219" s="186"/>
      <c r="AY219" s="186"/>
      <c r="AZ219" s="186"/>
      <c r="BA219" s="186"/>
      <c r="BB219" s="186"/>
      <c r="BC219" s="186"/>
      <c r="BD219" s="186"/>
      <c r="BE219" s="186"/>
      <c r="BF219" s="186"/>
    </row>
    <row r="220">
      <c r="A220" s="185" t="s">
        <v>440</v>
      </c>
      <c r="B220" s="185">
        <v>565.0</v>
      </c>
      <c r="C220" s="185" t="s">
        <v>5</v>
      </c>
      <c r="D220" s="185">
        <v>0.306</v>
      </c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6"/>
      <c r="AJ220" s="186"/>
      <c r="AK220" s="186"/>
      <c r="AL220" s="186"/>
      <c r="AM220" s="186"/>
      <c r="AN220" s="186"/>
      <c r="AO220" s="186"/>
      <c r="AP220" s="186"/>
      <c r="AQ220" s="186"/>
      <c r="AR220" s="186"/>
      <c r="AS220" s="186"/>
      <c r="AT220" s="186"/>
      <c r="AU220" s="186"/>
      <c r="AV220" s="186"/>
      <c r="AW220" s="186"/>
      <c r="AX220" s="186"/>
      <c r="AY220" s="186"/>
      <c r="AZ220" s="186"/>
      <c r="BA220" s="186"/>
      <c r="BB220" s="186"/>
      <c r="BC220" s="186"/>
      <c r="BD220" s="186"/>
      <c r="BE220" s="186"/>
      <c r="BF220" s="186"/>
    </row>
    <row r="221">
      <c r="A221" s="185" t="s">
        <v>441</v>
      </c>
      <c r="B221" s="185">
        <v>454.0</v>
      </c>
      <c r="C221" s="185" t="s">
        <v>5</v>
      </c>
      <c r="D221" s="185">
        <v>0.613</v>
      </c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  <c r="AA221" s="186"/>
      <c r="AB221" s="186"/>
      <c r="AC221" s="186"/>
      <c r="AD221" s="186"/>
      <c r="AE221" s="186"/>
      <c r="AF221" s="186"/>
      <c r="AG221" s="186"/>
      <c r="AH221" s="186"/>
      <c r="AI221" s="186"/>
      <c r="AJ221" s="186"/>
      <c r="AK221" s="186"/>
      <c r="AL221" s="186"/>
      <c r="AM221" s="186"/>
      <c r="AN221" s="186"/>
      <c r="AO221" s="186"/>
      <c r="AP221" s="186"/>
      <c r="AQ221" s="186"/>
      <c r="AR221" s="186"/>
      <c r="AS221" s="186"/>
      <c r="AT221" s="186"/>
      <c r="AU221" s="186"/>
      <c r="AV221" s="186"/>
      <c r="AW221" s="186"/>
      <c r="AX221" s="186"/>
      <c r="AY221" s="186"/>
      <c r="AZ221" s="186"/>
      <c r="BA221" s="186"/>
      <c r="BB221" s="186"/>
      <c r="BC221" s="186"/>
      <c r="BD221" s="186"/>
      <c r="BE221" s="186"/>
      <c r="BF221" s="186"/>
    </row>
    <row r="222">
      <c r="A222" s="185" t="s">
        <v>442</v>
      </c>
      <c r="B222" s="185">
        <v>565.0</v>
      </c>
      <c r="C222" s="185" t="s">
        <v>3</v>
      </c>
      <c r="D222" s="185">
        <v>0.368</v>
      </c>
      <c r="E222" s="185" t="s">
        <v>58</v>
      </c>
      <c r="F222" s="185">
        <v>0.12</v>
      </c>
      <c r="G222" s="185">
        <v>0.03</v>
      </c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  <c r="AA222" s="186"/>
      <c r="AB222" s="186"/>
      <c r="AC222" s="186"/>
      <c r="AD222" s="186"/>
      <c r="AE222" s="186"/>
      <c r="AF222" s="186"/>
      <c r="AG222" s="186"/>
      <c r="AH222" s="186"/>
      <c r="AI222" s="186"/>
      <c r="AJ222" s="186"/>
      <c r="AK222" s="186"/>
      <c r="AL222" s="186"/>
      <c r="AM222" s="186"/>
      <c r="AN222" s="186"/>
      <c r="AO222" s="186"/>
      <c r="AP222" s="186"/>
      <c r="AQ222" s="186"/>
      <c r="AR222" s="186"/>
      <c r="AS222" s="186"/>
      <c r="AT222" s="186"/>
      <c r="AU222" s="186"/>
      <c r="AV222" s="186"/>
      <c r="AW222" s="186"/>
      <c r="AX222" s="186"/>
      <c r="AY222" s="186"/>
      <c r="AZ222" s="186"/>
      <c r="BA222" s="186"/>
      <c r="BB222" s="186"/>
      <c r="BC222" s="186"/>
      <c r="BD222" s="186"/>
      <c r="BE222" s="186"/>
      <c r="BF222" s="186"/>
    </row>
    <row r="223">
      <c r="A223" s="185" t="s">
        <v>443</v>
      </c>
      <c r="B223" s="185">
        <v>565.0</v>
      </c>
      <c r="C223" s="185" t="s">
        <v>58</v>
      </c>
      <c r="D223" s="185">
        <v>0.276</v>
      </c>
      <c r="E223" s="185" t="s">
        <v>168</v>
      </c>
      <c r="F223" s="185">
        <v>0.2</v>
      </c>
      <c r="G223" s="185">
        <v>0.05</v>
      </c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6"/>
      <c r="AJ223" s="186"/>
      <c r="AK223" s="186"/>
      <c r="AL223" s="186"/>
      <c r="AM223" s="186"/>
      <c r="AN223" s="186"/>
      <c r="AO223" s="186"/>
      <c r="AP223" s="186"/>
      <c r="AQ223" s="186"/>
      <c r="AR223" s="186"/>
      <c r="AS223" s="186"/>
      <c r="AT223" s="186"/>
      <c r="AU223" s="186"/>
      <c r="AV223" s="186"/>
      <c r="AW223" s="186"/>
      <c r="AX223" s="186"/>
      <c r="AY223" s="186"/>
      <c r="AZ223" s="186"/>
      <c r="BA223" s="186"/>
      <c r="BB223" s="186"/>
      <c r="BC223" s="186"/>
      <c r="BD223" s="186"/>
      <c r="BE223" s="186"/>
      <c r="BF223" s="186"/>
    </row>
    <row r="224">
      <c r="A224" s="185" t="s">
        <v>444</v>
      </c>
      <c r="B224" s="185">
        <v>510.0</v>
      </c>
      <c r="C224" s="185" t="s">
        <v>4</v>
      </c>
      <c r="D224" s="185">
        <v>165.0</v>
      </c>
      <c r="E224" s="185" t="s">
        <v>58</v>
      </c>
      <c r="F224" s="185">
        <v>0.16</v>
      </c>
      <c r="G224" s="185">
        <v>0.04</v>
      </c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  <c r="AA224" s="186"/>
      <c r="AB224" s="186"/>
      <c r="AC224" s="186"/>
      <c r="AD224" s="186"/>
      <c r="AE224" s="186"/>
      <c r="AF224" s="186"/>
      <c r="AG224" s="186"/>
      <c r="AH224" s="186"/>
      <c r="AI224" s="186"/>
      <c r="AJ224" s="186"/>
      <c r="AK224" s="186"/>
      <c r="AL224" s="186"/>
      <c r="AM224" s="186"/>
      <c r="AN224" s="186"/>
      <c r="AO224" s="186"/>
      <c r="AP224" s="186"/>
      <c r="AQ224" s="186"/>
      <c r="AR224" s="186"/>
      <c r="AS224" s="186"/>
      <c r="AT224" s="186"/>
      <c r="AU224" s="186"/>
      <c r="AV224" s="186"/>
      <c r="AW224" s="186"/>
      <c r="AX224" s="186"/>
      <c r="AY224" s="186"/>
      <c r="AZ224" s="186"/>
      <c r="BA224" s="186"/>
      <c r="BB224" s="186"/>
      <c r="BC224" s="186"/>
      <c r="BD224" s="186"/>
      <c r="BE224" s="186"/>
      <c r="BF224" s="186"/>
    </row>
    <row r="225">
      <c r="A225" s="185" t="s">
        <v>445</v>
      </c>
      <c r="B225" s="185">
        <v>510.0</v>
      </c>
      <c r="C225" s="185" t="s">
        <v>110</v>
      </c>
      <c r="D225" s="185">
        <v>0.517</v>
      </c>
      <c r="E225" s="185" t="s">
        <v>160</v>
      </c>
      <c r="F225" s="185">
        <v>0.2</v>
      </c>
      <c r="G225" s="185">
        <v>0.05</v>
      </c>
      <c r="H225" s="185" t="s">
        <v>147</v>
      </c>
      <c r="I225" s="185">
        <v>0.2</v>
      </c>
      <c r="J225" s="185">
        <v>0.05</v>
      </c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  <c r="AA225" s="186"/>
      <c r="AB225" s="186"/>
      <c r="AC225" s="186"/>
      <c r="AD225" s="186"/>
      <c r="AE225" s="186"/>
      <c r="AF225" s="186"/>
      <c r="AG225" s="186"/>
      <c r="AH225" s="186"/>
      <c r="AI225" s="186"/>
      <c r="AJ225" s="186"/>
      <c r="AK225" s="186"/>
      <c r="AL225" s="186"/>
      <c r="AM225" s="186"/>
      <c r="AN225" s="186"/>
      <c r="AO225" s="186"/>
      <c r="AP225" s="186"/>
      <c r="AQ225" s="186"/>
      <c r="AR225" s="186"/>
      <c r="AS225" s="186"/>
      <c r="AT225" s="186"/>
      <c r="AU225" s="186"/>
      <c r="AV225" s="186"/>
      <c r="AW225" s="186"/>
      <c r="AX225" s="186"/>
      <c r="AY225" s="186"/>
      <c r="AZ225" s="186"/>
      <c r="BA225" s="186"/>
      <c r="BB225" s="186"/>
      <c r="BC225" s="186"/>
      <c r="BD225" s="186"/>
      <c r="BE225" s="186"/>
      <c r="BF225" s="186"/>
    </row>
    <row r="226">
      <c r="A226" s="185" t="s">
        <v>446</v>
      </c>
      <c r="B226" s="185">
        <v>454.0</v>
      </c>
      <c r="C226" s="185" t="s">
        <v>58</v>
      </c>
      <c r="D226" s="185">
        <v>0.551</v>
      </c>
      <c r="E226" s="185" t="s">
        <v>147</v>
      </c>
      <c r="F226" s="185">
        <v>0.16</v>
      </c>
      <c r="G226" s="185">
        <v>0.04</v>
      </c>
      <c r="H226" s="185" t="s">
        <v>152</v>
      </c>
      <c r="I226" s="185">
        <v>0.12</v>
      </c>
      <c r="J226" s="185">
        <v>0.03</v>
      </c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6"/>
      <c r="AJ226" s="186"/>
      <c r="AK226" s="186"/>
      <c r="AL226" s="186"/>
      <c r="AM226" s="186"/>
      <c r="AN226" s="186"/>
      <c r="AO226" s="186"/>
      <c r="AP226" s="186"/>
      <c r="AQ226" s="186"/>
      <c r="AR226" s="186"/>
      <c r="AS226" s="186"/>
      <c r="AT226" s="186"/>
      <c r="AU226" s="186"/>
      <c r="AV226" s="186"/>
      <c r="AW226" s="186"/>
      <c r="AX226" s="186"/>
      <c r="AY226" s="186"/>
      <c r="AZ226" s="186"/>
      <c r="BA226" s="186"/>
      <c r="BB226" s="186"/>
      <c r="BC226" s="186"/>
      <c r="BD226" s="186"/>
      <c r="BE226" s="186"/>
      <c r="BF226" s="186"/>
    </row>
    <row r="227">
      <c r="A227" s="185" t="s">
        <v>447</v>
      </c>
      <c r="B227" s="185">
        <v>510.0</v>
      </c>
      <c r="C227" s="185" t="s">
        <v>58</v>
      </c>
      <c r="D227" s="185">
        <v>0.413</v>
      </c>
      <c r="E227" s="185" t="s">
        <v>58</v>
      </c>
      <c r="F227" s="185">
        <v>0.36</v>
      </c>
      <c r="G227" s="185">
        <v>0.09</v>
      </c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  <c r="AA227" s="186"/>
      <c r="AB227" s="186"/>
      <c r="AC227" s="186"/>
      <c r="AD227" s="186"/>
      <c r="AE227" s="186"/>
      <c r="AF227" s="186"/>
      <c r="AG227" s="186"/>
      <c r="AH227" s="186"/>
      <c r="AI227" s="186"/>
      <c r="AJ227" s="186"/>
      <c r="AK227" s="186"/>
      <c r="AL227" s="186"/>
      <c r="AM227" s="186"/>
      <c r="AN227" s="186"/>
      <c r="AO227" s="186"/>
      <c r="AP227" s="186"/>
      <c r="AQ227" s="186"/>
      <c r="AR227" s="186"/>
      <c r="AS227" s="186"/>
      <c r="AT227" s="186"/>
      <c r="AU227" s="186"/>
      <c r="AV227" s="186"/>
      <c r="AW227" s="186"/>
      <c r="AX227" s="186"/>
      <c r="AY227" s="186"/>
      <c r="AZ227" s="186"/>
      <c r="BA227" s="186"/>
      <c r="BB227" s="186"/>
      <c r="BC227" s="186"/>
      <c r="BD227" s="186"/>
      <c r="BE227" s="186"/>
      <c r="BF227" s="186"/>
    </row>
    <row r="228">
      <c r="A228" s="185" t="s">
        <v>448</v>
      </c>
      <c r="B228" s="185">
        <v>510.0</v>
      </c>
      <c r="C228" s="185" t="s">
        <v>58</v>
      </c>
      <c r="D228" s="185">
        <v>0.413</v>
      </c>
      <c r="E228" s="185" t="s">
        <v>381</v>
      </c>
      <c r="F228" s="185">
        <v>0.1</v>
      </c>
      <c r="G228" s="185">
        <v>0.0</v>
      </c>
      <c r="H228" s="185" t="s">
        <v>59</v>
      </c>
      <c r="I228" s="185">
        <v>66.0</v>
      </c>
      <c r="J228" s="185">
        <v>0.0</v>
      </c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  <c r="AA228" s="186"/>
      <c r="AB228" s="186"/>
      <c r="AC228" s="186"/>
      <c r="AD228" s="186"/>
      <c r="AE228" s="186"/>
      <c r="AF228" s="186"/>
      <c r="AG228" s="186"/>
      <c r="AH228" s="186"/>
      <c r="AI228" s="186"/>
      <c r="AJ228" s="186"/>
      <c r="AK228" s="186"/>
      <c r="AL228" s="186"/>
      <c r="AM228" s="186"/>
      <c r="AN228" s="186"/>
      <c r="AO228" s="186"/>
      <c r="AP228" s="186"/>
      <c r="AQ228" s="186"/>
      <c r="AR228" s="186"/>
      <c r="AS228" s="186"/>
      <c r="AT228" s="186"/>
      <c r="AU228" s="186"/>
      <c r="AV228" s="186"/>
      <c r="AW228" s="186"/>
      <c r="AX228" s="186"/>
      <c r="AY228" s="186"/>
      <c r="AZ228" s="186"/>
      <c r="BA228" s="186"/>
      <c r="BB228" s="186"/>
      <c r="BC228" s="186"/>
      <c r="BD228" s="186"/>
      <c r="BE228" s="186"/>
      <c r="BF228" s="186"/>
    </row>
    <row r="229">
      <c r="A229" s="185" t="s">
        <v>449</v>
      </c>
      <c r="B229" s="185">
        <v>510.0</v>
      </c>
      <c r="C229" s="185" t="s">
        <v>2</v>
      </c>
      <c r="D229" s="185">
        <v>0.276</v>
      </c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  <c r="AA229" s="186"/>
      <c r="AB229" s="186"/>
      <c r="AC229" s="186"/>
      <c r="AD229" s="186"/>
      <c r="AE229" s="186"/>
      <c r="AF229" s="186"/>
      <c r="AG229" s="186"/>
      <c r="AH229" s="186"/>
      <c r="AI229" s="186"/>
      <c r="AJ229" s="186"/>
      <c r="AK229" s="186"/>
      <c r="AL229" s="186"/>
      <c r="AM229" s="186"/>
      <c r="AN229" s="186"/>
      <c r="AO229" s="186"/>
      <c r="AP229" s="186"/>
      <c r="AQ229" s="186"/>
      <c r="AR229" s="186"/>
      <c r="AS229" s="186"/>
      <c r="AT229" s="186"/>
      <c r="AU229" s="186"/>
      <c r="AV229" s="186"/>
      <c r="AW229" s="186"/>
      <c r="AX229" s="186"/>
      <c r="AY229" s="186"/>
      <c r="AZ229" s="186"/>
      <c r="BA229" s="186"/>
      <c r="BB229" s="186"/>
      <c r="BC229" s="186"/>
      <c r="BD229" s="186"/>
      <c r="BE229" s="186"/>
      <c r="BF229" s="186"/>
    </row>
    <row r="230">
      <c r="A230" s="185" t="s">
        <v>450</v>
      </c>
      <c r="B230" s="185">
        <v>454.0</v>
      </c>
      <c r="C230" s="185" t="s">
        <v>110</v>
      </c>
      <c r="D230" s="185">
        <v>0.69</v>
      </c>
      <c r="E230" s="185" t="s">
        <v>58</v>
      </c>
      <c r="F230" s="185">
        <v>0.04</v>
      </c>
      <c r="G230" s="185">
        <v>0.01</v>
      </c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  <c r="AA230" s="186"/>
      <c r="AB230" s="186"/>
      <c r="AC230" s="186"/>
      <c r="AD230" s="186"/>
      <c r="AE230" s="186"/>
      <c r="AF230" s="186"/>
      <c r="AG230" s="186"/>
      <c r="AH230" s="186"/>
      <c r="AI230" s="186"/>
      <c r="AJ230" s="186"/>
      <c r="AK230" s="186"/>
      <c r="AL230" s="186"/>
      <c r="AM230" s="186"/>
      <c r="AN230" s="186"/>
      <c r="AO230" s="186"/>
      <c r="AP230" s="186"/>
      <c r="AQ230" s="186"/>
      <c r="AR230" s="186"/>
      <c r="AS230" s="186"/>
      <c r="AT230" s="186"/>
      <c r="AU230" s="186"/>
      <c r="AV230" s="186"/>
      <c r="AW230" s="186"/>
      <c r="AX230" s="186"/>
      <c r="AY230" s="186"/>
      <c r="AZ230" s="186"/>
      <c r="BA230" s="186"/>
      <c r="BB230" s="186"/>
      <c r="BC230" s="186"/>
      <c r="BD230" s="186"/>
      <c r="BE230" s="186"/>
      <c r="BF230" s="186"/>
    </row>
    <row r="231">
      <c r="A231" s="185" t="s">
        <v>451</v>
      </c>
      <c r="B231" s="185">
        <v>565.0</v>
      </c>
      <c r="C231" s="185" t="s">
        <v>5</v>
      </c>
      <c r="D231" s="185">
        <v>0.306</v>
      </c>
      <c r="E231" s="185" t="s">
        <v>168</v>
      </c>
      <c r="F231" s="185">
        <v>0.06</v>
      </c>
      <c r="G231" s="185">
        <v>0.015</v>
      </c>
      <c r="H231" s="185" t="s">
        <v>168</v>
      </c>
      <c r="I231" s="185">
        <v>0.1</v>
      </c>
      <c r="J231" s="185">
        <v>0.025</v>
      </c>
      <c r="K231" s="185" t="s">
        <v>168</v>
      </c>
      <c r="L231" s="185">
        <v>0.14</v>
      </c>
      <c r="M231" s="185">
        <v>0.035</v>
      </c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  <c r="AA231" s="186"/>
      <c r="AB231" s="186"/>
      <c r="AC231" s="186"/>
      <c r="AD231" s="186"/>
      <c r="AE231" s="186"/>
      <c r="AF231" s="186"/>
      <c r="AG231" s="186"/>
      <c r="AH231" s="186"/>
      <c r="AI231" s="186"/>
      <c r="AJ231" s="186"/>
      <c r="AK231" s="186"/>
      <c r="AL231" s="186"/>
      <c r="AM231" s="186"/>
      <c r="AN231" s="186"/>
      <c r="AO231" s="186"/>
      <c r="AP231" s="186"/>
      <c r="AQ231" s="186"/>
      <c r="AR231" s="186"/>
      <c r="AS231" s="186"/>
      <c r="AT231" s="186"/>
      <c r="AU231" s="186"/>
      <c r="AV231" s="186"/>
      <c r="AW231" s="186"/>
      <c r="AX231" s="186"/>
      <c r="AY231" s="186"/>
      <c r="AZ231" s="186"/>
      <c r="BA231" s="186"/>
      <c r="BB231" s="186"/>
      <c r="BC231" s="186"/>
      <c r="BD231" s="186"/>
      <c r="BE231" s="186"/>
      <c r="BF231" s="186"/>
    </row>
    <row r="232">
      <c r="A232" s="185" t="s">
        <v>452</v>
      </c>
      <c r="B232" s="185">
        <v>608.0</v>
      </c>
      <c r="C232" s="185" t="s">
        <v>2</v>
      </c>
      <c r="D232" s="185">
        <v>0.331</v>
      </c>
      <c r="E232" s="185" t="s">
        <v>439</v>
      </c>
      <c r="F232" s="185">
        <v>0.12</v>
      </c>
      <c r="G232" s="185">
        <v>0.03</v>
      </c>
      <c r="H232" s="185" t="s">
        <v>58</v>
      </c>
      <c r="I232" s="185">
        <v>0.1</v>
      </c>
      <c r="J232" s="185">
        <v>0.025</v>
      </c>
      <c r="K232" s="185" t="s">
        <v>58</v>
      </c>
      <c r="L232" s="185">
        <v>0.08</v>
      </c>
      <c r="M232" s="185">
        <v>0.02</v>
      </c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  <c r="AA232" s="186"/>
      <c r="AB232" s="186"/>
      <c r="AC232" s="186"/>
      <c r="AD232" s="186"/>
      <c r="AE232" s="186"/>
      <c r="AF232" s="186"/>
      <c r="AG232" s="186"/>
      <c r="AH232" s="186"/>
      <c r="AI232" s="186"/>
      <c r="AJ232" s="186"/>
      <c r="AK232" s="186"/>
      <c r="AL232" s="186"/>
      <c r="AM232" s="186"/>
      <c r="AN232" s="186"/>
      <c r="AO232" s="186"/>
      <c r="AP232" s="186"/>
      <c r="AQ232" s="186"/>
      <c r="AR232" s="186"/>
      <c r="AS232" s="186"/>
      <c r="AT232" s="186"/>
      <c r="AU232" s="186"/>
      <c r="AV232" s="186"/>
      <c r="AW232" s="186"/>
      <c r="AX232" s="186"/>
      <c r="AY232" s="186"/>
      <c r="AZ232" s="186"/>
      <c r="BA232" s="186"/>
      <c r="BB232" s="186"/>
      <c r="BC232" s="186"/>
      <c r="BD232" s="186"/>
      <c r="BE232" s="186"/>
      <c r="BF232" s="186"/>
    </row>
    <row r="233">
      <c r="A233" s="185" t="s">
        <v>453</v>
      </c>
      <c r="B233" s="185">
        <v>674.0</v>
      </c>
      <c r="C233" s="185" t="s">
        <v>2</v>
      </c>
      <c r="D233" s="185">
        <v>0.221</v>
      </c>
      <c r="E233" s="185" t="s">
        <v>3</v>
      </c>
      <c r="F233" s="185">
        <v>0.2</v>
      </c>
      <c r="G233" s="185">
        <v>0.05</v>
      </c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  <c r="AA233" s="186"/>
      <c r="AB233" s="186"/>
      <c r="AC233" s="186"/>
      <c r="AD233" s="186"/>
      <c r="AE233" s="186"/>
      <c r="AF233" s="186"/>
      <c r="AG233" s="186"/>
      <c r="AH233" s="186"/>
      <c r="AI233" s="186"/>
      <c r="AJ233" s="186"/>
      <c r="AK233" s="186"/>
      <c r="AL233" s="186"/>
      <c r="AM233" s="186"/>
      <c r="AN233" s="186"/>
      <c r="AO233" s="186"/>
      <c r="AP233" s="186"/>
      <c r="AQ233" s="186"/>
      <c r="AR233" s="186"/>
      <c r="AS233" s="186"/>
      <c r="AT233" s="186"/>
      <c r="AU233" s="186"/>
      <c r="AV233" s="186"/>
      <c r="AW233" s="186"/>
      <c r="AX233" s="186"/>
      <c r="AY233" s="186"/>
      <c r="AZ233" s="186"/>
      <c r="BA233" s="186"/>
      <c r="BB233" s="186"/>
      <c r="BC233" s="186"/>
      <c r="BD233" s="186"/>
      <c r="BE233" s="186"/>
      <c r="BF233" s="186"/>
    </row>
    <row r="234">
      <c r="A234" s="185" t="s">
        <v>454</v>
      </c>
      <c r="B234" s="185">
        <v>608.0</v>
      </c>
      <c r="C234" s="185" t="s">
        <v>5</v>
      </c>
      <c r="D234" s="185">
        <v>0.551</v>
      </c>
      <c r="E234" s="185" t="s">
        <v>4</v>
      </c>
      <c r="F234" s="185">
        <v>60.0</v>
      </c>
      <c r="G234" s="185">
        <v>15.0</v>
      </c>
      <c r="H234" s="185" t="s">
        <v>4</v>
      </c>
      <c r="I234" s="185">
        <v>100.0</v>
      </c>
      <c r="J234" s="185">
        <v>25.0</v>
      </c>
      <c r="K234" s="185" t="s">
        <v>58</v>
      </c>
      <c r="L234" s="185">
        <v>0.2</v>
      </c>
      <c r="M234" s="185">
        <v>0.05</v>
      </c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  <c r="AA234" s="186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</row>
    <row r="235">
      <c r="A235" s="185" t="s">
        <v>455</v>
      </c>
      <c r="B235" s="185">
        <v>542.0</v>
      </c>
      <c r="C235" s="185" t="s">
        <v>3</v>
      </c>
      <c r="D235" s="185">
        <v>0.882</v>
      </c>
      <c r="E235" s="185" t="s">
        <v>303</v>
      </c>
      <c r="F235" s="185">
        <v>0.16</v>
      </c>
      <c r="G235" s="185">
        <v>0.04</v>
      </c>
      <c r="H235" s="185" t="s">
        <v>168</v>
      </c>
      <c r="I235" s="185">
        <v>0.2</v>
      </c>
      <c r="J235" s="185">
        <v>0.05</v>
      </c>
      <c r="K235" s="185"/>
      <c r="L235" s="185"/>
      <c r="M235" s="185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  <c r="AA235" s="186"/>
      <c r="AB235" s="186"/>
      <c r="AC235" s="186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</row>
    <row r="236">
      <c r="A236" s="185" t="s">
        <v>456</v>
      </c>
      <c r="B236" s="185">
        <v>608.0</v>
      </c>
      <c r="C236" s="185" t="s">
        <v>58</v>
      </c>
      <c r="D236" s="185">
        <v>0.496</v>
      </c>
      <c r="E236" s="185" t="s">
        <v>381</v>
      </c>
      <c r="F236" s="185">
        <v>0.12</v>
      </c>
      <c r="G236" s="185">
        <v>0.03</v>
      </c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  <c r="AA236" s="186"/>
      <c r="AB236" s="186"/>
      <c r="AC236" s="186"/>
      <c r="AD236" s="186"/>
      <c r="AE236" s="186"/>
      <c r="AF236" s="186"/>
      <c r="AG236" s="186"/>
      <c r="AH236" s="186"/>
      <c r="AI236" s="186"/>
      <c r="AJ236" s="186"/>
      <c r="AK236" s="186"/>
      <c r="AL236" s="186"/>
      <c r="AM236" s="186"/>
      <c r="AN236" s="186"/>
      <c r="AO236" s="186"/>
      <c r="AP236" s="186"/>
      <c r="AQ236" s="186"/>
      <c r="AR236" s="186"/>
      <c r="AS236" s="186"/>
      <c r="AT236" s="186"/>
      <c r="AU236" s="186"/>
      <c r="AV236" s="186"/>
      <c r="AW236" s="186"/>
      <c r="AX236" s="186"/>
      <c r="AY236" s="186"/>
      <c r="AZ236" s="186"/>
      <c r="BA236" s="186"/>
      <c r="BB236" s="186"/>
      <c r="BC236" s="186"/>
      <c r="BD236" s="186"/>
      <c r="BE236" s="186"/>
      <c r="BF236" s="186"/>
    </row>
    <row r="237">
      <c r="A237" s="185" t="s">
        <v>457</v>
      </c>
      <c r="B237" s="185">
        <v>608.0</v>
      </c>
      <c r="C237" s="185" t="s">
        <v>3</v>
      </c>
      <c r="D237" s="185">
        <v>0.662</v>
      </c>
      <c r="E237" s="185" t="s">
        <v>58</v>
      </c>
      <c r="F237" s="185">
        <v>0.2</v>
      </c>
      <c r="G237" s="185">
        <v>0.05</v>
      </c>
      <c r="H237" s="185" t="s">
        <v>147</v>
      </c>
      <c r="I237" s="185">
        <v>0.12</v>
      </c>
      <c r="J237" s="185">
        <v>0.03</v>
      </c>
      <c r="K237" s="185" t="s">
        <v>147</v>
      </c>
      <c r="L237" s="185">
        <v>0.04</v>
      </c>
      <c r="M237" s="185">
        <v>0.01</v>
      </c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  <c r="AA237" s="186"/>
      <c r="AB237" s="186"/>
      <c r="AC237" s="186"/>
      <c r="AD237" s="186"/>
      <c r="AE237" s="186"/>
      <c r="AF237" s="186"/>
      <c r="AG237" s="186"/>
      <c r="AH237" s="186"/>
      <c r="AI237" s="186"/>
      <c r="AJ237" s="186"/>
      <c r="AK237" s="186"/>
      <c r="AL237" s="186"/>
      <c r="AM237" s="186"/>
      <c r="AN237" s="186"/>
      <c r="AO237" s="186"/>
      <c r="AP237" s="186"/>
      <c r="AQ237" s="186"/>
      <c r="AR237" s="186"/>
      <c r="AS237" s="186"/>
      <c r="AT237" s="186"/>
      <c r="AU237" s="186"/>
      <c r="AV237" s="186"/>
      <c r="AW237" s="186"/>
      <c r="AX237" s="186"/>
      <c r="AY237" s="186"/>
      <c r="AZ237" s="186"/>
      <c r="BA237" s="186"/>
      <c r="BB237" s="186"/>
      <c r="BC237" s="186"/>
      <c r="BD237" s="186"/>
      <c r="BE237" s="186"/>
      <c r="BF237" s="186"/>
    </row>
    <row r="238">
      <c r="A238" s="185" t="s">
        <v>458</v>
      </c>
      <c r="B238" s="185">
        <v>354.0</v>
      </c>
      <c r="C238" s="185" t="s">
        <v>5</v>
      </c>
      <c r="D238" s="185">
        <v>0.517</v>
      </c>
      <c r="E238" s="185" t="s">
        <v>58</v>
      </c>
      <c r="F238" s="185">
        <v>0.12</v>
      </c>
      <c r="G238" s="185">
        <v>0.03</v>
      </c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  <c r="AA238" s="186"/>
      <c r="AB238" s="186"/>
      <c r="AC238" s="186"/>
      <c r="AD238" s="186"/>
      <c r="AE238" s="186"/>
      <c r="AF238" s="186"/>
      <c r="AG238" s="186"/>
      <c r="AH238" s="186"/>
      <c r="AI238" s="186"/>
      <c r="AJ238" s="186"/>
      <c r="AK238" s="186"/>
      <c r="AL238" s="186"/>
      <c r="AM238" s="186"/>
      <c r="AN238" s="186"/>
      <c r="AO238" s="186"/>
      <c r="AP238" s="186"/>
      <c r="AQ238" s="186"/>
      <c r="AR238" s="186"/>
      <c r="AS238" s="186"/>
      <c r="AT238" s="186"/>
      <c r="AU238" s="186"/>
      <c r="AV238" s="186"/>
      <c r="AW238" s="186"/>
      <c r="AX238" s="186"/>
      <c r="AY238" s="186"/>
      <c r="AZ238" s="186"/>
      <c r="BA238" s="186"/>
      <c r="BB238" s="186"/>
      <c r="BC238" s="186"/>
      <c r="BD238" s="186"/>
      <c r="BE238" s="186"/>
      <c r="BF238" s="186"/>
    </row>
    <row r="239">
      <c r="A239" s="185" t="s">
        <v>459</v>
      </c>
      <c r="B239" s="185">
        <v>401.0</v>
      </c>
      <c r="C239" s="185" t="s">
        <v>58</v>
      </c>
      <c r="D239" s="185">
        <v>0.352</v>
      </c>
      <c r="E239" s="185" t="s">
        <v>168</v>
      </c>
      <c r="F239" s="185">
        <v>0.12</v>
      </c>
      <c r="G239" s="185">
        <v>0.03</v>
      </c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  <c r="AA239" s="186"/>
      <c r="AB239" s="186"/>
      <c r="AC239" s="186"/>
      <c r="AD239" s="186"/>
      <c r="AE239" s="186"/>
      <c r="AF239" s="186"/>
      <c r="AG239" s="186"/>
      <c r="AH239" s="186"/>
      <c r="AI239" s="186"/>
      <c r="AJ239" s="186"/>
      <c r="AK239" s="186"/>
      <c r="AL239" s="186"/>
      <c r="AM239" s="186"/>
      <c r="AN239" s="186"/>
      <c r="AO239" s="186"/>
      <c r="AP239" s="186"/>
      <c r="AQ239" s="186"/>
      <c r="AR239" s="186"/>
      <c r="AS239" s="186"/>
      <c r="AT239" s="186"/>
      <c r="AU239" s="186"/>
      <c r="AV239" s="186"/>
      <c r="AW239" s="186"/>
      <c r="AX239" s="186"/>
      <c r="AY239" s="186"/>
      <c r="AZ239" s="186"/>
      <c r="BA239" s="186"/>
      <c r="BB239" s="186"/>
      <c r="BC239" s="186"/>
      <c r="BD239" s="186"/>
      <c r="BE239" s="186"/>
      <c r="BF239" s="186"/>
    </row>
    <row r="240">
      <c r="A240" s="185" t="s">
        <v>460</v>
      </c>
      <c r="B240" s="185">
        <v>401.0</v>
      </c>
      <c r="C240" s="185" t="s">
        <v>3</v>
      </c>
      <c r="D240" s="185">
        <v>0.469</v>
      </c>
      <c r="E240" s="185" t="s">
        <v>2</v>
      </c>
      <c r="F240" s="185">
        <v>0.14</v>
      </c>
      <c r="G240" s="185">
        <v>0.035</v>
      </c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  <c r="AA240" s="186"/>
      <c r="AB240" s="186"/>
      <c r="AC240" s="186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</row>
    <row r="241">
      <c r="A241" s="185" t="s">
        <v>461</v>
      </c>
      <c r="B241" s="185">
        <v>510.0</v>
      </c>
      <c r="C241" s="185" t="s">
        <v>4</v>
      </c>
      <c r="D241" s="185">
        <v>165.0</v>
      </c>
      <c r="E241" s="185" t="s">
        <v>168</v>
      </c>
      <c r="F241" s="185">
        <v>0.06</v>
      </c>
      <c r="G241" s="185">
        <v>0.015</v>
      </c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</row>
    <row r="242">
      <c r="A242" s="185" t="s">
        <v>462</v>
      </c>
      <c r="B242" s="185">
        <v>510.0</v>
      </c>
      <c r="C242" s="185" t="s">
        <v>58</v>
      </c>
      <c r="D242" s="185">
        <v>0.413</v>
      </c>
      <c r="E242" s="185" t="s">
        <v>168</v>
      </c>
      <c r="F242" s="185">
        <v>0.2</v>
      </c>
      <c r="G242" s="185">
        <v>0.04</v>
      </c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  <c r="AA242" s="186"/>
      <c r="AB242" s="186"/>
      <c r="AC242" s="186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86"/>
      <c r="AT242" s="186"/>
      <c r="AU242" s="186"/>
      <c r="AV242" s="186"/>
      <c r="AW242" s="186"/>
      <c r="AX242" s="186"/>
      <c r="AY242" s="186"/>
      <c r="AZ242" s="186"/>
      <c r="BA242" s="186"/>
      <c r="BB242" s="186"/>
      <c r="BC242" s="186"/>
      <c r="BD242" s="186"/>
      <c r="BE242" s="186"/>
      <c r="BF242" s="186"/>
    </row>
    <row r="243">
      <c r="A243" s="185" t="s">
        <v>286</v>
      </c>
      <c r="B243" s="185">
        <v>565.0</v>
      </c>
      <c r="C243" s="185" t="s">
        <v>110</v>
      </c>
      <c r="D243" s="185">
        <v>0.345</v>
      </c>
      <c r="E243" s="185" t="s">
        <v>58</v>
      </c>
      <c r="F243" s="185">
        <v>0.04</v>
      </c>
      <c r="G243" s="185">
        <v>0.01</v>
      </c>
      <c r="H243" s="185" t="s">
        <v>60</v>
      </c>
      <c r="I243" s="185">
        <v>0.04</v>
      </c>
      <c r="J243" s="185">
        <v>0.01</v>
      </c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  <c r="AA243" s="186"/>
      <c r="AB243" s="186"/>
      <c r="AC243" s="186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86"/>
      <c r="AT243" s="186"/>
      <c r="AU243" s="186"/>
      <c r="AV243" s="186"/>
      <c r="AW243" s="186"/>
      <c r="AX243" s="186"/>
      <c r="AY243" s="186"/>
      <c r="AZ243" s="186"/>
      <c r="BA243" s="186"/>
      <c r="BB243" s="186"/>
      <c r="BC243" s="186"/>
      <c r="BD243" s="186"/>
      <c r="BE243" s="186"/>
      <c r="BF243" s="186"/>
    </row>
    <row r="244">
      <c r="A244" s="185" t="s">
        <v>463</v>
      </c>
      <c r="B244" s="185">
        <v>510.0</v>
      </c>
      <c r="C244" s="185" t="s">
        <v>58</v>
      </c>
      <c r="D244" s="185">
        <v>0.413</v>
      </c>
      <c r="E244" s="185" t="s">
        <v>2</v>
      </c>
      <c r="F244" s="185">
        <v>0.08</v>
      </c>
      <c r="G244" s="185">
        <v>0.02</v>
      </c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</row>
    <row r="245">
      <c r="A245" s="185" t="s">
        <v>464</v>
      </c>
      <c r="B245" s="185">
        <v>454.0</v>
      </c>
      <c r="C245" s="185" t="s">
        <v>5</v>
      </c>
      <c r="D245" s="185">
        <v>0.613</v>
      </c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  <c r="AA245" s="186"/>
      <c r="AB245" s="186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86"/>
      <c r="AT245" s="186"/>
      <c r="AU245" s="186"/>
      <c r="AV245" s="186"/>
      <c r="AW245" s="186"/>
      <c r="AX245" s="186"/>
      <c r="AY245" s="186"/>
      <c r="AZ245" s="186"/>
      <c r="BA245" s="186"/>
      <c r="BB245" s="186"/>
      <c r="BC245" s="186"/>
      <c r="BD245" s="186"/>
      <c r="BE245" s="186"/>
      <c r="BF245" s="186"/>
    </row>
    <row r="246">
      <c r="A246" s="185" t="s">
        <v>465</v>
      </c>
      <c r="B246" s="185">
        <v>510.0</v>
      </c>
      <c r="C246" s="185" t="s">
        <v>58</v>
      </c>
      <c r="D246" s="185">
        <v>0.413</v>
      </c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  <c r="AA246" s="186"/>
      <c r="AB246" s="186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</row>
    <row r="247">
      <c r="A247" s="185" t="s">
        <v>466</v>
      </c>
      <c r="B247" s="185">
        <v>565.0</v>
      </c>
      <c r="C247" s="185" t="s">
        <v>3</v>
      </c>
      <c r="D247" s="185">
        <v>0.368</v>
      </c>
      <c r="E247" s="185" t="s">
        <v>58</v>
      </c>
      <c r="F247" s="185">
        <v>0.12</v>
      </c>
      <c r="G247" s="185">
        <v>0.03</v>
      </c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/>
      <c r="AY247" s="186"/>
      <c r="AZ247" s="186"/>
      <c r="BA247" s="186"/>
      <c r="BB247" s="186"/>
      <c r="BC247" s="186"/>
      <c r="BD247" s="186"/>
      <c r="BE247" s="186"/>
      <c r="BF247" s="186"/>
    </row>
    <row r="248">
      <c r="A248" s="185" t="s">
        <v>467</v>
      </c>
      <c r="B248" s="185">
        <v>510.0</v>
      </c>
      <c r="C248" s="185" t="s">
        <v>2</v>
      </c>
      <c r="D248" s="185">
        <v>0.276</v>
      </c>
      <c r="E248" s="185" t="s">
        <v>381</v>
      </c>
      <c r="F248" s="185">
        <v>0.2</v>
      </c>
      <c r="G248" s="185">
        <v>0.05</v>
      </c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</row>
    <row r="249">
      <c r="A249" s="185" t="s">
        <v>266</v>
      </c>
      <c r="B249" s="185">
        <v>454.0</v>
      </c>
      <c r="C249" s="185" t="s">
        <v>5</v>
      </c>
      <c r="D249" s="185">
        <v>0.613</v>
      </c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  <c r="AA249" s="186"/>
      <c r="AB249" s="186"/>
      <c r="AC249" s="186"/>
      <c r="AD249" s="186"/>
      <c r="AE249" s="186"/>
      <c r="AF249" s="186"/>
      <c r="AG249" s="186"/>
      <c r="AH249" s="186"/>
      <c r="AI249" s="186"/>
      <c r="AJ249" s="186"/>
      <c r="AK249" s="186"/>
      <c r="AL249" s="186"/>
      <c r="AM249" s="186"/>
      <c r="AN249" s="186"/>
      <c r="AO249" s="186"/>
      <c r="AP249" s="186"/>
      <c r="AQ249" s="186"/>
      <c r="AR249" s="186"/>
      <c r="AS249" s="186"/>
      <c r="AT249" s="186"/>
      <c r="AU249" s="186"/>
      <c r="AV249" s="186"/>
      <c r="AW249" s="186"/>
      <c r="AX249" s="186"/>
      <c r="AY249" s="186"/>
      <c r="AZ249" s="186"/>
      <c r="BA249" s="186"/>
      <c r="BB249" s="186"/>
      <c r="BC249" s="186"/>
      <c r="BD249" s="186"/>
      <c r="BE249" s="186"/>
      <c r="BF249" s="186"/>
    </row>
    <row r="250">
      <c r="A250" s="185" t="s">
        <v>468</v>
      </c>
      <c r="B250" s="185">
        <v>620.0</v>
      </c>
      <c r="C250" s="185" t="s">
        <v>4</v>
      </c>
      <c r="D250" s="185">
        <v>55.0</v>
      </c>
      <c r="E250" s="185" t="s">
        <v>168</v>
      </c>
      <c r="F250" s="185">
        <v>0.12</v>
      </c>
      <c r="G250" s="185">
        <v>0.03</v>
      </c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  <c r="AA250" s="186"/>
      <c r="AB250" s="186"/>
      <c r="AC250" s="186"/>
      <c r="AD250" s="186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186"/>
      <c r="AO250" s="186"/>
      <c r="AP250" s="186"/>
      <c r="AQ250" s="186"/>
      <c r="AR250" s="186"/>
      <c r="AS250" s="186"/>
      <c r="AT250" s="186"/>
      <c r="AU250" s="186"/>
      <c r="AV250" s="186"/>
      <c r="AW250" s="186"/>
      <c r="AX250" s="186"/>
      <c r="AY250" s="186"/>
      <c r="AZ250" s="186"/>
      <c r="BA250" s="186"/>
      <c r="BB250" s="186"/>
      <c r="BC250" s="186"/>
      <c r="BD250" s="186"/>
      <c r="BE250" s="186"/>
      <c r="BF250" s="186"/>
    </row>
    <row r="251">
      <c r="A251" s="185" t="s">
        <v>469</v>
      </c>
      <c r="B251" s="185">
        <v>510.0</v>
      </c>
      <c r="C251" s="185" t="s">
        <v>5</v>
      </c>
      <c r="D251" s="185">
        <v>0.459</v>
      </c>
      <c r="E251" s="185" t="s">
        <v>160</v>
      </c>
      <c r="F251" s="185">
        <v>0.16</v>
      </c>
      <c r="G251" s="185">
        <v>0.04</v>
      </c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  <c r="AA251" s="186"/>
      <c r="AB251" s="186"/>
      <c r="AC251" s="186"/>
      <c r="AD251" s="186"/>
      <c r="AE251" s="186"/>
      <c r="AF251" s="186"/>
      <c r="AG251" s="186"/>
      <c r="AH251" s="186"/>
      <c r="AI251" s="186"/>
      <c r="AJ251" s="186"/>
      <c r="AK251" s="186"/>
      <c r="AL251" s="186"/>
      <c r="AM251" s="186"/>
      <c r="AN251" s="186"/>
      <c r="AO251" s="186"/>
      <c r="AP251" s="186"/>
      <c r="AQ251" s="186"/>
      <c r="AR251" s="186"/>
      <c r="AS251" s="186"/>
      <c r="AT251" s="186"/>
      <c r="AU251" s="186"/>
      <c r="AV251" s="186"/>
      <c r="AW251" s="186"/>
      <c r="AX251" s="186"/>
      <c r="AY251" s="186"/>
      <c r="AZ251" s="186"/>
      <c r="BA251" s="186"/>
      <c r="BB251" s="186"/>
      <c r="BC251" s="186"/>
      <c r="BD251" s="186"/>
      <c r="BE251" s="186"/>
      <c r="BF251" s="186"/>
    </row>
    <row r="252">
      <c r="A252" s="185" t="s">
        <v>470</v>
      </c>
      <c r="B252" s="185">
        <v>454.0</v>
      </c>
      <c r="C252" s="185" t="s">
        <v>58</v>
      </c>
      <c r="D252" s="185">
        <v>0.551</v>
      </c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  <c r="AA252" s="186"/>
      <c r="AB252" s="186"/>
      <c r="AC252" s="186"/>
      <c r="AD252" s="186"/>
      <c r="AE252" s="186"/>
      <c r="AF252" s="186"/>
      <c r="AG252" s="186"/>
      <c r="AH252" s="186"/>
      <c r="AI252" s="186"/>
      <c r="AJ252" s="186"/>
      <c r="AK252" s="186"/>
      <c r="AL252" s="186"/>
      <c r="AM252" s="186"/>
      <c r="AN252" s="186"/>
      <c r="AO252" s="186"/>
      <c r="AP252" s="186"/>
      <c r="AQ252" s="186"/>
      <c r="AR252" s="186"/>
      <c r="AS252" s="186"/>
      <c r="AT252" s="186"/>
      <c r="AU252" s="186"/>
      <c r="AV252" s="186"/>
      <c r="AW252" s="186"/>
      <c r="AX252" s="186"/>
      <c r="AY252" s="186"/>
      <c r="AZ252" s="186"/>
      <c r="BA252" s="186"/>
      <c r="BB252" s="186"/>
      <c r="BC252" s="186"/>
      <c r="BD252" s="186"/>
      <c r="BE252" s="186"/>
      <c r="BF252" s="186"/>
    </row>
    <row r="253">
      <c r="A253" s="185" t="s">
        <v>471</v>
      </c>
      <c r="B253" s="185">
        <v>454.0</v>
      </c>
      <c r="C253" s="185" t="s">
        <v>60</v>
      </c>
      <c r="D253" s="185">
        <v>0.69</v>
      </c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  <c r="AA253" s="186"/>
      <c r="AB253" s="186"/>
      <c r="AC253" s="186"/>
      <c r="AD253" s="186"/>
      <c r="AE253" s="186"/>
      <c r="AF253" s="186"/>
      <c r="AG253" s="186"/>
      <c r="AH253" s="186"/>
      <c r="AI253" s="186"/>
      <c r="AJ253" s="186"/>
      <c r="AK253" s="186"/>
      <c r="AL253" s="186"/>
      <c r="AM253" s="186"/>
      <c r="AN253" s="186"/>
      <c r="AO253" s="186"/>
      <c r="AP253" s="186"/>
      <c r="AQ253" s="186"/>
      <c r="AR253" s="186"/>
      <c r="AS253" s="186"/>
      <c r="AT253" s="186"/>
      <c r="AU253" s="186"/>
      <c r="AV253" s="186"/>
      <c r="AW253" s="186"/>
      <c r="AX253" s="186"/>
      <c r="AY253" s="186"/>
      <c r="AZ253" s="186"/>
      <c r="BA253" s="186"/>
      <c r="BB253" s="186"/>
      <c r="BC253" s="186"/>
      <c r="BD253" s="186"/>
      <c r="BE253" s="186"/>
      <c r="BF253" s="186"/>
    </row>
    <row r="254">
      <c r="A254" s="185" t="s">
        <v>224</v>
      </c>
      <c r="B254" s="185">
        <v>674.0</v>
      </c>
      <c r="C254" s="185" t="s">
        <v>110</v>
      </c>
      <c r="D254" s="185">
        <v>0.413</v>
      </c>
      <c r="E254" s="185" t="s">
        <v>58</v>
      </c>
      <c r="F254" s="185">
        <v>0.2</v>
      </c>
      <c r="G254" s="185">
        <v>0.05</v>
      </c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  <c r="AA254" s="186"/>
      <c r="AB254" s="186"/>
      <c r="AC254" s="186"/>
      <c r="AD254" s="186"/>
      <c r="AE254" s="186"/>
      <c r="AF254" s="186"/>
      <c r="AG254" s="186"/>
      <c r="AH254" s="186"/>
      <c r="AI254" s="186"/>
      <c r="AJ254" s="186"/>
      <c r="AK254" s="186"/>
      <c r="AL254" s="186"/>
      <c r="AM254" s="186"/>
      <c r="AN254" s="186"/>
      <c r="AO254" s="186"/>
      <c r="AP254" s="186"/>
      <c r="AQ254" s="186"/>
      <c r="AR254" s="186"/>
      <c r="AS254" s="186"/>
      <c r="AT254" s="186"/>
      <c r="AU254" s="186"/>
      <c r="AV254" s="186"/>
      <c r="AW254" s="186"/>
      <c r="AX254" s="186"/>
      <c r="AY254" s="186"/>
      <c r="AZ254" s="186"/>
      <c r="BA254" s="186"/>
      <c r="BB254" s="186"/>
      <c r="BC254" s="186"/>
      <c r="BD254" s="186"/>
      <c r="BE254" s="186"/>
      <c r="BF254" s="186"/>
    </row>
    <row r="255">
      <c r="A255" s="185" t="s">
        <v>472</v>
      </c>
      <c r="B255" s="185">
        <v>608.0</v>
      </c>
      <c r="C255" s="185" t="s">
        <v>58</v>
      </c>
      <c r="D255" s="185">
        <v>0.496</v>
      </c>
      <c r="E255" s="185" t="s">
        <v>58</v>
      </c>
      <c r="F255" s="185">
        <v>0.04</v>
      </c>
      <c r="G255" s="185">
        <v>0.01</v>
      </c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  <c r="AA255" s="186"/>
      <c r="AB255" s="186"/>
      <c r="AC255" s="186"/>
      <c r="AD255" s="186"/>
      <c r="AE255" s="186"/>
      <c r="AF255" s="186"/>
      <c r="AG255" s="186"/>
      <c r="AH255" s="186"/>
      <c r="AI255" s="186"/>
      <c r="AJ255" s="186"/>
      <c r="AK255" s="186"/>
      <c r="AL255" s="186"/>
      <c r="AM255" s="186"/>
      <c r="AN255" s="186"/>
      <c r="AO255" s="186"/>
      <c r="AP255" s="186"/>
      <c r="AQ255" s="186"/>
      <c r="AR255" s="186"/>
      <c r="AS255" s="186"/>
      <c r="AT255" s="186"/>
      <c r="AU255" s="186"/>
      <c r="AV255" s="186"/>
      <c r="AW255" s="186"/>
      <c r="AX255" s="186"/>
      <c r="AY255" s="186"/>
      <c r="AZ255" s="186"/>
      <c r="BA255" s="186"/>
      <c r="BB255" s="186"/>
      <c r="BC255" s="186"/>
      <c r="BD255" s="186"/>
      <c r="BE255" s="186"/>
      <c r="BF255" s="186"/>
    </row>
    <row r="256">
      <c r="A256" s="185" t="s">
        <v>473</v>
      </c>
      <c r="B256" s="185">
        <v>542.0</v>
      </c>
      <c r="C256" s="185" t="s">
        <v>2</v>
      </c>
      <c r="D256" s="185">
        <v>0.441</v>
      </c>
      <c r="E256" s="185" t="s">
        <v>6</v>
      </c>
      <c r="F256" s="185">
        <v>0.2</v>
      </c>
      <c r="G256" s="185">
        <v>0.05</v>
      </c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  <c r="AA256" s="186"/>
      <c r="AB256" s="186"/>
      <c r="AC256" s="186"/>
      <c r="AD256" s="186"/>
      <c r="AE256" s="186"/>
      <c r="AF256" s="186"/>
      <c r="AG256" s="186"/>
      <c r="AH256" s="186"/>
      <c r="AI256" s="186"/>
      <c r="AJ256" s="186"/>
      <c r="AK256" s="186"/>
      <c r="AL256" s="186"/>
      <c r="AM256" s="186"/>
      <c r="AN256" s="186"/>
      <c r="AO256" s="186"/>
      <c r="AP256" s="186"/>
      <c r="AQ256" s="186"/>
      <c r="AR256" s="186"/>
      <c r="AS256" s="186"/>
      <c r="AT256" s="186"/>
      <c r="AU256" s="186"/>
      <c r="AV256" s="186"/>
      <c r="AW256" s="186"/>
      <c r="AX256" s="186"/>
      <c r="AY256" s="186"/>
      <c r="AZ256" s="186"/>
      <c r="BA256" s="186"/>
      <c r="BB256" s="186"/>
      <c r="BC256" s="186"/>
      <c r="BD256" s="186"/>
      <c r="BE256" s="186"/>
      <c r="BF256" s="186"/>
    </row>
    <row r="257">
      <c r="A257" s="185" t="s">
        <v>474</v>
      </c>
      <c r="B257" s="185">
        <v>608.0</v>
      </c>
      <c r="C257" s="185" t="s">
        <v>4</v>
      </c>
      <c r="D257" s="185">
        <v>198.0</v>
      </c>
      <c r="E257" s="185" t="s">
        <v>168</v>
      </c>
      <c r="F257" s="185">
        <v>0.1</v>
      </c>
      <c r="G257" s="185">
        <v>0.025</v>
      </c>
      <c r="H257" s="185" t="s">
        <v>393</v>
      </c>
      <c r="I257" s="185">
        <v>0.16</v>
      </c>
      <c r="J257" s="185">
        <v>0.04</v>
      </c>
      <c r="K257" s="185" t="s">
        <v>58</v>
      </c>
      <c r="L257" s="185">
        <v>0.2</v>
      </c>
      <c r="M257" s="185">
        <v>0.05</v>
      </c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  <c r="AA257" s="186"/>
      <c r="AB257" s="186"/>
      <c r="AC257" s="186"/>
      <c r="AD257" s="186"/>
      <c r="AE257" s="186"/>
      <c r="AF257" s="186"/>
      <c r="AG257" s="186"/>
      <c r="AH257" s="186"/>
      <c r="AI257" s="186"/>
      <c r="AJ257" s="186"/>
      <c r="AK257" s="186"/>
      <c r="AL257" s="186"/>
      <c r="AM257" s="186"/>
      <c r="AN257" s="186"/>
      <c r="AO257" s="186"/>
      <c r="AP257" s="186"/>
      <c r="AQ257" s="186"/>
      <c r="AR257" s="186"/>
      <c r="AS257" s="186"/>
      <c r="AT257" s="186"/>
      <c r="AU257" s="186"/>
      <c r="AV257" s="186"/>
      <c r="AW257" s="186"/>
      <c r="AX257" s="186"/>
      <c r="AY257" s="186"/>
      <c r="AZ257" s="186"/>
      <c r="BA257" s="186"/>
      <c r="BB257" s="186"/>
      <c r="BC257" s="186"/>
      <c r="BD257" s="186"/>
      <c r="BE257" s="186"/>
      <c r="BF257" s="186"/>
    </row>
    <row r="258">
      <c r="A258" s="185" t="s">
        <v>475</v>
      </c>
      <c r="B258" s="185">
        <v>608.0</v>
      </c>
      <c r="C258" s="185" t="s">
        <v>5</v>
      </c>
      <c r="D258" s="185">
        <v>0.551</v>
      </c>
      <c r="E258" s="185" t="s">
        <v>2</v>
      </c>
      <c r="F258" s="185">
        <v>0.04</v>
      </c>
      <c r="G258" s="185">
        <v>0.01</v>
      </c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  <c r="AA258" s="186"/>
      <c r="AB258" s="186"/>
      <c r="AC258" s="186"/>
      <c r="AD258" s="186"/>
      <c r="AE258" s="186"/>
      <c r="AF258" s="186"/>
      <c r="AG258" s="186"/>
      <c r="AH258" s="186"/>
      <c r="AI258" s="186"/>
      <c r="AJ258" s="186"/>
      <c r="AK258" s="186"/>
      <c r="AL258" s="186"/>
      <c r="AM258" s="186"/>
      <c r="AN258" s="186"/>
      <c r="AO258" s="186"/>
      <c r="AP258" s="186"/>
      <c r="AQ258" s="186"/>
      <c r="AR258" s="186"/>
      <c r="AS258" s="186"/>
      <c r="AT258" s="186"/>
      <c r="AU258" s="186"/>
      <c r="AV258" s="186"/>
      <c r="AW258" s="186"/>
      <c r="AX258" s="186"/>
      <c r="AY258" s="186"/>
      <c r="AZ258" s="186"/>
      <c r="BA258" s="186"/>
      <c r="BB258" s="186"/>
      <c r="BC258" s="186"/>
      <c r="BD258" s="186"/>
      <c r="BE258" s="186"/>
      <c r="BF258" s="186"/>
    </row>
    <row r="259">
      <c r="A259" s="185" t="s">
        <v>476</v>
      </c>
      <c r="B259" s="185">
        <v>674.0</v>
      </c>
      <c r="C259" s="185" t="s">
        <v>3</v>
      </c>
      <c r="D259" s="185">
        <v>0.441</v>
      </c>
      <c r="E259" s="185" t="s">
        <v>146</v>
      </c>
      <c r="F259" s="185">
        <v>0.12</v>
      </c>
      <c r="G259" s="185">
        <v>0.03</v>
      </c>
      <c r="H259" s="185" t="s">
        <v>477</v>
      </c>
      <c r="I259" s="185">
        <v>0.08</v>
      </c>
      <c r="J259" s="185">
        <v>0.02</v>
      </c>
      <c r="K259" s="185" t="s">
        <v>477</v>
      </c>
      <c r="L259" s="185">
        <v>0.04</v>
      </c>
      <c r="M259" s="185">
        <v>0.01</v>
      </c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  <c r="AA259" s="186"/>
      <c r="AB259" s="186"/>
      <c r="AC259" s="186"/>
      <c r="AD259" s="186"/>
      <c r="AE259" s="186"/>
      <c r="AF259" s="186"/>
      <c r="AG259" s="186"/>
      <c r="AH259" s="186"/>
      <c r="AI259" s="186"/>
      <c r="AJ259" s="186"/>
      <c r="AK259" s="186"/>
      <c r="AL259" s="186"/>
      <c r="AM259" s="186"/>
      <c r="AN259" s="186"/>
      <c r="AO259" s="186"/>
      <c r="AP259" s="186"/>
      <c r="AQ259" s="186"/>
      <c r="AR259" s="186"/>
      <c r="AS259" s="186"/>
      <c r="AT259" s="186"/>
      <c r="AU259" s="186"/>
      <c r="AV259" s="186"/>
      <c r="AW259" s="186"/>
      <c r="AX259" s="186"/>
      <c r="AY259" s="186"/>
      <c r="AZ259" s="186"/>
      <c r="BA259" s="186"/>
      <c r="BB259" s="186"/>
      <c r="BC259" s="186"/>
      <c r="BD259" s="186"/>
      <c r="BE259" s="186"/>
      <c r="BF259" s="186"/>
    </row>
    <row r="260">
      <c r="A260" s="185" t="s">
        <v>478</v>
      </c>
      <c r="B260" s="185">
        <v>354.0</v>
      </c>
      <c r="C260" s="185" t="s">
        <v>4</v>
      </c>
      <c r="D260" s="185">
        <v>187.0</v>
      </c>
      <c r="E260" s="185" t="s">
        <v>168</v>
      </c>
      <c r="F260" s="185">
        <v>0.12</v>
      </c>
      <c r="G260" s="185">
        <v>0.03</v>
      </c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  <c r="AA260" s="186"/>
      <c r="AB260" s="186"/>
      <c r="AC260" s="186"/>
      <c r="AD260" s="186"/>
      <c r="AE260" s="186"/>
      <c r="AF260" s="186"/>
      <c r="AG260" s="186"/>
      <c r="AH260" s="186"/>
      <c r="AI260" s="186"/>
      <c r="AJ260" s="186"/>
      <c r="AK260" s="186"/>
      <c r="AL260" s="186"/>
      <c r="AM260" s="186"/>
      <c r="AN260" s="186"/>
      <c r="AO260" s="186"/>
      <c r="AP260" s="186"/>
      <c r="AQ260" s="186"/>
      <c r="AR260" s="186"/>
      <c r="AS260" s="186"/>
      <c r="AT260" s="186"/>
      <c r="AU260" s="186"/>
      <c r="AV260" s="186"/>
      <c r="AW260" s="186"/>
      <c r="AX260" s="186"/>
      <c r="AY260" s="186"/>
      <c r="AZ260" s="186"/>
      <c r="BA260" s="186"/>
      <c r="BB260" s="186"/>
      <c r="BC260" s="186"/>
      <c r="BD260" s="186"/>
      <c r="BE260" s="186"/>
      <c r="BF260" s="186"/>
    </row>
    <row r="261">
      <c r="A261" s="185" t="s">
        <v>479</v>
      </c>
      <c r="B261" s="185">
        <v>510.0</v>
      </c>
      <c r="C261" s="185" t="s">
        <v>58</v>
      </c>
      <c r="D261" s="185">
        <v>0.413</v>
      </c>
      <c r="E261" s="185" t="s">
        <v>164</v>
      </c>
      <c r="F261" s="185">
        <v>0.0012</v>
      </c>
      <c r="G261" s="185">
        <v>3.0E-4</v>
      </c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  <c r="AA261" s="186"/>
      <c r="AB261" s="186"/>
      <c r="AC261" s="186"/>
      <c r="AD261" s="186"/>
      <c r="AE261" s="186"/>
      <c r="AF261" s="186"/>
      <c r="AG261" s="186"/>
      <c r="AH261" s="186"/>
      <c r="AI261" s="186"/>
      <c r="AJ261" s="186"/>
      <c r="AK261" s="186"/>
      <c r="AL261" s="186"/>
      <c r="AM261" s="186"/>
      <c r="AN261" s="186"/>
      <c r="AO261" s="186"/>
      <c r="AP261" s="186"/>
      <c r="AQ261" s="186"/>
      <c r="AR261" s="186"/>
      <c r="AS261" s="186"/>
      <c r="AT261" s="186"/>
      <c r="AU261" s="186"/>
      <c r="AV261" s="186"/>
      <c r="AW261" s="186"/>
      <c r="AX261" s="186"/>
      <c r="AY261" s="186"/>
      <c r="AZ261" s="186"/>
      <c r="BA261" s="186"/>
      <c r="BB261" s="186"/>
      <c r="BC261" s="186"/>
      <c r="BD261" s="186"/>
      <c r="BE261" s="186"/>
      <c r="BF261" s="186"/>
    </row>
    <row r="262">
      <c r="A262" s="185" t="s">
        <v>480</v>
      </c>
      <c r="B262" s="185">
        <v>454.0</v>
      </c>
      <c r="C262" s="185" t="s">
        <v>5</v>
      </c>
      <c r="D262" s="185">
        <v>0.613</v>
      </c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  <c r="AA262" s="186"/>
      <c r="AB262" s="186"/>
      <c r="AC262" s="186"/>
      <c r="AD262" s="186"/>
      <c r="AE262" s="186"/>
      <c r="AF262" s="186"/>
      <c r="AG262" s="186"/>
      <c r="AH262" s="186"/>
      <c r="AI262" s="186"/>
      <c r="AJ262" s="186"/>
      <c r="AK262" s="186"/>
      <c r="AL262" s="186"/>
      <c r="AM262" s="186"/>
      <c r="AN262" s="186"/>
      <c r="AO262" s="186"/>
      <c r="AP262" s="186"/>
      <c r="AQ262" s="186"/>
      <c r="AR262" s="186"/>
      <c r="AS262" s="186"/>
      <c r="AT262" s="186"/>
      <c r="AU262" s="186"/>
      <c r="AV262" s="186"/>
      <c r="AW262" s="186"/>
      <c r="AX262" s="186"/>
      <c r="AY262" s="186"/>
      <c r="AZ262" s="186"/>
      <c r="BA262" s="186"/>
      <c r="BB262" s="186"/>
      <c r="BC262" s="186"/>
      <c r="BD262" s="186"/>
      <c r="BE262" s="186"/>
      <c r="BF262" s="186"/>
    </row>
    <row r="263">
      <c r="A263" s="185" t="s">
        <v>481</v>
      </c>
      <c r="B263" s="185">
        <v>565.0</v>
      </c>
      <c r="C263" s="185" t="s">
        <v>58</v>
      </c>
      <c r="D263" s="185">
        <v>0.276</v>
      </c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  <c r="AA263" s="186"/>
      <c r="AB263" s="186"/>
      <c r="AC263" s="186"/>
      <c r="AD263" s="186"/>
      <c r="AE263" s="186"/>
      <c r="AF263" s="186"/>
      <c r="AG263" s="186"/>
      <c r="AH263" s="186"/>
      <c r="AI263" s="186"/>
      <c r="AJ263" s="186"/>
      <c r="AK263" s="186"/>
      <c r="AL263" s="186"/>
      <c r="AM263" s="186"/>
      <c r="AN263" s="186"/>
      <c r="AO263" s="186"/>
      <c r="AP263" s="186"/>
      <c r="AQ263" s="186"/>
      <c r="AR263" s="186"/>
      <c r="AS263" s="186"/>
      <c r="AT263" s="186"/>
      <c r="AU263" s="186"/>
      <c r="AV263" s="186"/>
      <c r="AW263" s="186"/>
      <c r="AX263" s="186"/>
      <c r="AY263" s="186"/>
      <c r="AZ263" s="186"/>
      <c r="BA263" s="186"/>
      <c r="BB263" s="186"/>
      <c r="BC263" s="186"/>
      <c r="BD263" s="186"/>
      <c r="BE263" s="186"/>
      <c r="BF263" s="186"/>
    </row>
    <row r="264">
      <c r="A264" s="185" t="s">
        <v>482</v>
      </c>
      <c r="B264" s="185">
        <v>510.0</v>
      </c>
      <c r="C264" s="185" t="s">
        <v>4</v>
      </c>
      <c r="D264" s="185">
        <v>165.0</v>
      </c>
      <c r="E264" s="185" t="s">
        <v>168</v>
      </c>
      <c r="F264" s="185">
        <v>0.2</v>
      </c>
      <c r="G264" s="185">
        <v>0.04</v>
      </c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  <c r="AG264" s="186"/>
      <c r="AH264" s="186"/>
      <c r="AI264" s="186"/>
      <c r="AJ264" s="186"/>
      <c r="AK264" s="186"/>
      <c r="AL264" s="186"/>
      <c r="AM264" s="186"/>
      <c r="AN264" s="186"/>
      <c r="AO264" s="186"/>
      <c r="AP264" s="186"/>
      <c r="AQ264" s="186"/>
      <c r="AR264" s="186"/>
      <c r="AS264" s="186"/>
      <c r="AT264" s="186"/>
      <c r="AU264" s="186"/>
      <c r="AV264" s="186"/>
      <c r="AW264" s="186"/>
      <c r="AX264" s="186"/>
      <c r="AY264" s="186"/>
      <c r="AZ264" s="186"/>
      <c r="BA264" s="186"/>
      <c r="BB264" s="186"/>
      <c r="BC264" s="186"/>
      <c r="BD264" s="186"/>
      <c r="BE264" s="186"/>
      <c r="BF264" s="186"/>
    </row>
    <row r="265">
      <c r="A265" s="185" t="s">
        <v>483</v>
      </c>
      <c r="B265" s="185">
        <v>565.0</v>
      </c>
      <c r="C265" s="185" t="s">
        <v>58</v>
      </c>
      <c r="D265" s="185">
        <v>0.276</v>
      </c>
      <c r="E265" s="185" t="s">
        <v>2</v>
      </c>
      <c r="F265" s="185">
        <v>0.08</v>
      </c>
      <c r="G265" s="185">
        <v>0.02</v>
      </c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  <c r="AG265" s="186"/>
      <c r="AH265" s="186"/>
      <c r="AI265" s="186"/>
      <c r="AJ265" s="186"/>
      <c r="AK265" s="186"/>
      <c r="AL265" s="186"/>
      <c r="AM265" s="186"/>
      <c r="AN265" s="186"/>
      <c r="AO265" s="186"/>
      <c r="AP265" s="186"/>
      <c r="AQ265" s="186"/>
      <c r="AR265" s="186"/>
      <c r="AS265" s="186"/>
      <c r="AT265" s="186"/>
      <c r="AU265" s="186"/>
      <c r="AV265" s="186"/>
      <c r="AW265" s="186"/>
      <c r="AX265" s="186"/>
      <c r="AY265" s="186"/>
      <c r="AZ265" s="186"/>
      <c r="BA265" s="186"/>
      <c r="BB265" s="186"/>
      <c r="BC265" s="186"/>
      <c r="BD265" s="186"/>
      <c r="BE265" s="186"/>
      <c r="BF265" s="186"/>
    </row>
    <row r="266">
      <c r="A266" s="185" t="s">
        <v>484</v>
      </c>
      <c r="B266" s="185">
        <v>510.0</v>
      </c>
      <c r="C266" s="185" t="s">
        <v>6</v>
      </c>
      <c r="D266" s="185">
        <v>0.413</v>
      </c>
      <c r="E266" s="185" t="s">
        <v>168</v>
      </c>
      <c r="F266" s="185">
        <v>0.12</v>
      </c>
      <c r="G266" s="185">
        <v>0.03</v>
      </c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  <c r="AA266" s="186"/>
      <c r="AB266" s="186"/>
      <c r="AC266" s="186"/>
      <c r="AD266" s="186"/>
      <c r="AE266" s="186"/>
      <c r="AF266" s="186"/>
      <c r="AG266" s="186"/>
      <c r="AH266" s="186"/>
      <c r="AI266" s="186"/>
      <c r="AJ266" s="186"/>
      <c r="AK266" s="186"/>
      <c r="AL266" s="186"/>
      <c r="AM266" s="186"/>
      <c r="AN266" s="186"/>
      <c r="AO266" s="186"/>
      <c r="AP266" s="186"/>
      <c r="AQ266" s="186"/>
      <c r="AR266" s="186"/>
      <c r="AS266" s="186"/>
      <c r="AT266" s="186"/>
      <c r="AU266" s="186"/>
      <c r="AV266" s="186"/>
      <c r="AW266" s="186"/>
      <c r="AX266" s="186"/>
      <c r="AY266" s="186"/>
      <c r="AZ266" s="186"/>
      <c r="BA266" s="186"/>
      <c r="BB266" s="186"/>
      <c r="BC266" s="186"/>
      <c r="BD266" s="186"/>
      <c r="BE266" s="186"/>
      <c r="BF266" s="186"/>
    </row>
    <row r="267">
      <c r="A267" s="185" t="s">
        <v>485</v>
      </c>
      <c r="B267" s="185">
        <v>510.0</v>
      </c>
      <c r="C267" s="185" t="s">
        <v>60</v>
      </c>
      <c r="D267" s="185">
        <v>0.517</v>
      </c>
      <c r="E267" s="185" t="s">
        <v>58</v>
      </c>
      <c r="F267" s="185">
        <v>0.06</v>
      </c>
      <c r="G267" s="185">
        <v>0.015</v>
      </c>
      <c r="H267" s="185" t="s">
        <v>60</v>
      </c>
      <c r="I267" s="185">
        <v>0.06</v>
      </c>
      <c r="J267" s="185">
        <v>0.015</v>
      </c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  <c r="AA267" s="186"/>
      <c r="AB267" s="186"/>
      <c r="AC267" s="186"/>
      <c r="AD267" s="186"/>
      <c r="AE267" s="186"/>
      <c r="AF267" s="186"/>
      <c r="AG267" s="186"/>
      <c r="AH267" s="186"/>
      <c r="AI267" s="186"/>
      <c r="AJ267" s="186"/>
      <c r="AK267" s="186"/>
      <c r="AL267" s="186"/>
      <c r="AM267" s="186"/>
      <c r="AN267" s="186"/>
      <c r="AO267" s="186"/>
      <c r="AP267" s="186"/>
      <c r="AQ267" s="186"/>
      <c r="AR267" s="186"/>
      <c r="AS267" s="186"/>
      <c r="AT267" s="186"/>
      <c r="AU267" s="186"/>
      <c r="AV267" s="186"/>
      <c r="AW267" s="186"/>
      <c r="AX267" s="186"/>
      <c r="AY267" s="186"/>
      <c r="AZ267" s="186"/>
      <c r="BA267" s="186"/>
      <c r="BB267" s="186"/>
      <c r="BC267" s="186"/>
      <c r="BD267" s="186"/>
      <c r="BE267" s="186"/>
      <c r="BF267" s="186"/>
    </row>
    <row r="268">
      <c r="A268" s="185" t="s">
        <v>486</v>
      </c>
      <c r="B268" s="185">
        <v>510.0</v>
      </c>
      <c r="C268" s="185" t="s">
        <v>2</v>
      </c>
      <c r="D268" s="185">
        <v>0.276</v>
      </c>
      <c r="E268" s="185" t="s">
        <v>168</v>
      </c>
      <c r="F268" s="185">
        <v>0.3</v>
      </c>
      <c r="G268" s="185">
        <v>0.05</v>
      </c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  <c r="AA268" s="186"/>
      <c r="AB268" s="186"/>
      <c r="AC268" s="186"/>
      <c r="AD268" s="186"/>
      <c r="AE268" s="186"/>
      <c r="AF268" s="186"/>
      <c r="AG268" s="186"/>
      <c r="AH268" s="186"/>
      <c r="AI268" s="186"/>
      <c r="AJ268" s="186"/>
      <c r="AK268" s="186"/>
      <c r="AL268" s="186"/>
      <c r="AM268" s="186"/>
      <c r="AN268" s="186"/>
      <c r="AO268" s="186"/>
      <c r="AP268" s="186"/>
      <c r="AQ268" s="186"/>
      <c r="AR268" s="186"/>
      <c r="AS268" s="186"/>
      <c r="AT268" s="186"/>
      <c r="AU268" s="186"/>
      <c r="AV268" s="186"/>
      <c r="AW268" s="186"/>
      <c r="AX268" s="186"/>
      <c r="AY268" s="186"/>
      <c r="AZ268" s="186"/>
      <c r="BA268" s="186"/>
      <c r="BB268" s="186"/>
      <c r="BC268" s="186"/>
      <c r="BD268" s="186"/>
      <c r="BE268" s="186"/>
      <c r="BF268" s="186"/>
    </row>
    <row r="269">
      <c r="A269" s="185" t="s">
        <v>487</v>
      </c>
      <c r="B269" s="185">
        <v>510.0</v>
      </c>
      <c r="C269" s="185" t="s">
        <v>58</v>
      </c>
      <c r="D269" s="185">
        <v>0.413</v>
      </c>
      <c r="E269" s="185" t="s">
        <v>58</v>
      </c>
      <c r="F269" s="185">
        <v>0.07</v>
      </c>
      <c r="G269" s="185">
        <v>0.01</v>
      </c>
      <c r="H269" s="185" t="s">
        <v>2</v>
      </c>
      <c r="I269" s="185">
        <v>0.03</v>
      </c>
      <c r="J269" s="185">
        <v>0.01</v>
      </c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  <c r="AA269" s="186"/>
      <c r="AB269" s="186"/>
      <c r="AC269" s="186"/>
      <c r="AD269" s="186"/>
      <c r="AE269" s="186"/>
      <c r="AF269" s="186"/>
      <c r="AG269" s="186"/>
      <c r="AH269" s="186"/>
      <c r="AI269" s="186"/>
      <c r="AJ269" s="186"/>
      <c r="AK269" s="186"/>
      <c r="AL269" s="186"/>
      <c r="AM269" s="186"/>
      <c r="AN269" s="186"/>
      <c r="AO269" s="186"/>
      <c r="AP269" s="186"/>
      <c r="AQ269" s="186"/>
      <c r="AR269" s="186"/>
      <c r="AS269" s="186"/>
      <c r="AT269" s="186"/>
      <c r="AU269" s="186"/>
      <c r="AV269" s="186"/>
      <c r="AW269" s="186"/>
      <c r="AX269" s="186"/>
      <c r="AY269" s="186"/>
      <c r="AZ269" s="186"/>
      <c r="BA269" s="186"/>
      <c r="BB269" s="186"/>
      <c r="BC269" s="186"/>
      <c r="BD269" s="186"/>
      <c r="BE269" s="186"/>
      <c r="BF269" s="186"/>
    </row>
    <row r="270">
      <c r="A270" s="185" t="s">
        <v>488</v>
      </c>
      <c r="B270" s="185">
        <v>565.0</v>
      </c>
      <c r="C270" s="185" t="s">
        <v>5</v>
      </c>
      <c r="D270" s="185">
        <v>0.306</v>
      </c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  <c r="AA270" s="186"/>
      <c r="AB270" s="186"/>
      <c r="AC270" s="186"/>
      <c r="AD270" s="186"/>
      <c r="AE270" s="186"/>
      <c r="AF270" s="186"/>
      <c r="AG270" s="186"/>
      <c r="AH270" s="186"/>
      <c r="AI270" s="186"/>
      <c r="AJ270" s="186"/>
      <c r="AK270" s="186"/>
      <c r="AL270" s="186"/>
      <c r="AM270" s="186"/>
      <c r="AN270" s="186"/>
      <c r="AO270" s="186"/>
      <c r="AP270" s="186"/>
      <c r="AQ270" s="186"/>
      <c r="AR270" s="186"/>
      <c r="AS270" s="186"/>
      <c r="AT270" s="186"/>
      <c r="AU270" s="186"/>
      <c r="AV270" s="186"/>
      <c r="AW270" s="186"/>
      <c r="AX270" s="186"/>
      <c r="AY270" s="186"/>
      <c r="AZ270" s="186"/>
      <c r="BA270" s="186"/>
      <c r="BB270" s="186"/>
      <c r="BC270" s="186"/>
      <c r="BD270" s="186"/>
      <c r="BE270" s="186"/>
      <c r="BF270" s="186"/>
    </row>
    <row r="271">
      <c r="A271" s="185" t="s">
        <v>489</v>
      </c>
      <c r="B271" s="185">
        <v>565.0</v>
      </c>
      <c r="C271" s="185" t="s">
        <v>110</v>
      </c>
      <c r="D271" s="185">
        <v>0.345</v>
      </c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  <c r="AA271" s="186"/>
      <c r="AB271" s="186"/>
      <c r="AC271" s="186"/>
      <c r="AD271" s="186"/>
      <c r="AE271" s="186"/>
      <c r="AF271" s="186"/>
      <c r="AG271" s="186"/>
      <c r="AH271" s="186"/>
      <c r="AI271" s="186"/>
      <c r="AJ271" s="186"/>
      <c r="AK271" s="186"/>
      <c r="AL271" s="186"/>
      <c r="AM271" s="186"/>
      <c r="AN271" s="186"/>
      <c r="AO271" s="186"/>
      <c r="AP271" s="186"/>
      <c r="AQ271" s="186"/>
      <c r="AR271" s="186"/>
      <c r="AS271" s="186"/>
      <c r="AT271" s="186"/>
      <c r="AU271" s="186"/>
      <c r="AV271" s="186"/>
      <c r="AW271" s="186"/>
      <c r="AX271" s="186"/>
      <c r="AY271" s="186"/>
      <c r="AZ271" s="186"/>
      <c r="BA271" s="186"/>
      <c r="BB271" s="186"/>
      <c r="BC271" s="186"/>
      <c r="BD271" s="186"/>
      <c r="BE271" s="186"/>
      <c r="BF271" s="186"/>
    </row>
    <row r="272">
      <c r="A272" s="185" t="s">
        <v>490</v>
      </c>
      <c r="B272" s="185">
        <v>510.0</v>
      </c>
      <c r="C272" s="185" t="s">
        <v>3</v>
      </c>
      <c r="D272" s="185">
        <v>0.551</v>
      </c>
      <c r="E272" s="185" t="s">
        <v>58</v>
      </c>
      <c r="F272" s="185">
        <v>0.12</v>
      </c>
      <c r="G272" s="185">
        <v>0.03</v>
      </c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186"/>
      <c r="AT272" s="186"/>
      <c r="AU272" s="186"/>
      <c r="AV272" s="186"/>
      <c r="AW272" s="186"/>
      <c r="AX272" s="186"/>
      <c r="AY272" s="186"/>
      <c r="AZ272" s="186"/>
      <c r="BA272" s="186"/>
      <c r="BB272" s="186"/>
      <c r="BC272" s="186"/>
      <c r="BD272" s="186"/>
      <c r="BE272" s="186"/>
      <c r="BF272" s="186"/>
    </row>
    <row r="273">
      <c r="A273" s="185" t="s">
        <v>491</v>
      </c>
      <c r="B273" s="185">
        <v>510.0</v>
      </c>
      <c r="C273" s="185" t="s">
        <v>5</v>
      </c>
      <c r="D273" s="185">
        <v>0.459</v>
      </c>
      <c r="E273" s="185" t="s">
        <v>160</v>
      </c>
      <c r="F273" s="185">
        <v>0.06</v>
      </c>
      <c r="G273" s="185">
        <v>0.015</v>
      </c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186"/>
      <c r="AT273" s="186"/>
      <c r="AU273" s="186"/>
      <c r="AV273" s="186"/>
      <c r="AW273" s="186"/>
      <c r="AX273" s="186"/>
      <c r="AY273" s="186"/>
      <c r="AZ273" s="186"/>
      <c r="BA273" s="186"/>
      <c r="BB273" s="186"/>
      <c r="BC273" s="186"/>
      <c r="BD273" s="186"/>
      <c r="BE273" s="186"/>
      <c r="BF273" s="186"/>
    </row>
    <row r="274">
      <c r="A274" s="185" t="s">
        <v>492</v>
      </c>
      <c r="B274" s="185">
        <v>454.0</v>
      </c>
      <c r="C274" s="185" t="s">
        <v>58</v>
      </c>
      <c r="D274" s="185">
        <v>0.551</v>
      </c>
      <c r="E274" s="185" t="s">
        <v>164</v>
      </c>
      <c r="F274" s="185">
        <v>0.12</v>
      </c>
      <c r="G274" s="185">
        <v>0.03</v>
      </c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186"/>
      <c r="AT274" s="186"/>
      <c r="AU274" s="186"/>
      <c r="AV274" s="186"/>
      <c r="AW274" s="186"/>
      <c r="AX274" s="186"/>
      <c r="AY274" s="186"/>
      <c r="AZ274" s="186"/>
      <c r="BA274" s="186"/>
      <c r="BB274" s="186"/>
      <c r="BC274" s="186"/>
      <c r="BD274" s="186"/>
      <c r="BE274" s="186"/>
      <c r="BF274" s="186"/>
    </row>
    <row r="275">
      <c r="A275" s="185" t="s">
        <v>493</v>
      </c>
      <c r="B275" s="185">
        <v>608.0</v>
      </c>
      <c r="C275" s="185" t="s">
        <v>58</v>
      </c>
      <c r="D275" s="185">
        <v>0.496</v>
      </c>
      <c r="E275" s="185" t="s">
        <v>58</v>
      </c>
      <c r="F275" s="185">
        <v>0.04</v>
      </c>
      <c r="G275" s="185">
        <v>0.01</v>
      </c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186"/>
      <c r="AT275" s="186"/>
      <c r="AU275" s="186"/>
      <c r="AV275" s="186"/>
      <c r="AW275" s="186"/>
      <c r="AX275" s="186"/>
      <c r="AY275" s="186"/>
      <c r="AZ275" s="186"/>
      <c r="BA275" s="186"/>
      <c r="BB275" s="186"/>
      <c r="BC275" s="186"/>
      <c r="BD275" s="186"/>
      <c r="BE275" s="186"/>
      <c r="BF275" s="186"/>
    </row>
    <row r="276">
      <c r="A276" s="185" t="s">
        <v>494</v>
      </c>
      <c r="B276" s="185">
        <v>741.0</v>
      </c>
      <c r="C276" s="185" t="s">
        <v>110</v>
      </c>
      <c r="D276" s="185">
        <v>0.207</v>
      </c>
      <c r="E276" s="185" t="s">
        <v>58</v>
      </c>
      <c r="F276" s="185">
        <v>0.16</v>
      </c>
      <c r="G276" s="185">
        <v>0.04</v>
      </c>
      <c r="H276" s="185" t="s">
        <v>58</v>
      </c>
      <c r="I276" s="185">
        <v>0.2</v>
      </c>
      <c r="J276" s="185">
        <v>0.05</v>
      </c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186"/>
      <c r="AT276" s="186"/>
      <c r="AU276" s="186"/>
      <c r="AV276" s="186"/>
      <c r="AW276" s="186"/>
      <c r="AX276" s="186"/>
      <c r="AY276" s="186"/>
      <c r="AZ276" s="186"/>
      <c r="BA276" s="186"/>
      <c r="BB276" s="186"/>
      <c r="BC276" s="186"/>
      <c r="BD276" s="186"/>
      <c r="BE276" s="186"/>
      <c r="BF276" s="186"/>
    </row>
    <row r="277">
      <c r="A277" s="185" t="s">
        <v>495</v>
      </c>
      <c r="B277" s="185">
        <v>674.0</v>
      </c>
      <c r="C277" s="185" t="s">
        <v>5</v>
      </c>
      <c r="D277" s="185">
        <v>0.368</v>
      </c>
      <c r="E277" s="185" t="s">
        <v>168</v>
      </c>
      <c r="F277" s="185">
        <v>0.08</v>
      </c>
      <c r="G277" s="185">
        <v>0.02</v>
      </c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  <c r="AA277" s="186"/>
      <c r="AB277" s="186"/>
      <c r="AC277" s="186"/>
      <c r="AD277" s="186"/>
      <c r="AE277" s="186"/>
      <c r="AF277" s="186"/>
      <c r="AG277" s="186"/>
      <c r="AH277" s="186"/>
      <c r="AI277" s="186"/>
      <c r="AJ277" s="186"/>
      <c r="AK277" s="186"/>
      <c r="AL277" s="186"/>
      <c r="AM277" s="186"/>
      <c r="AN277" s="186"/>
      <c r="AO277" s="186"/>
      <c r="AP277" s="186"/>
      <c r="AQ277" s="186"/>
      <c r="AR277" s="186"/>
      <c r="AS277" s="186"/>
      <c r="AT277" s="186"/>
      <c r="AU277" s="186"/>
      <c r="AV277" s="186"/>
      <c r="AW277" s="186"/>
      <c r="AX277" s="186"/>
      <c r="AY277" s="186"/>
      <c r="AZ277" s="186"/>
      <c r="BA277" s="186"/>
      <c r="BB277" s="186"/>
      <c r="BC277" s="186"/>
      <c r="BD277" s="186"/>
      <c r="BE277" s="186"/>
      <c r="BF277" s="186"/>
    </row>
    <row r="278">
      <c r="A278" s="185" t="s">
        <v>496</v>
      </c>
      <c r="B278" s="185">
        <v>608.0</v>
      </c>
      <c r="C278" s="185" t="s">
        <v>58</v>
      </c>
      <c r="D278" s="185">
        <v>0.496</v>
      </c>
      <c r="E278" s="185" t="s">
        <v>58</v>
      </c>
      <c r="F278" s="185">
        <v>0.2</v>
      </c>
      <c r="G278" s="185">
        <v>0.05</v>
      </c>
      <c r="H278" s="185" t="s">
        <v>58</v>
      </c>
      <c r="I278" s="185">
        <v>0.4</v>
      </c>
      <c r="J278" s="185">
        <v>0.1</v>
      </c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  <c r="AA278" s="186"/>
      <c r="AB278" s="186"/>
      <c r="AC278" s="186"/>
      <c r="AD278" s="186"/>
      <c r="AE278" s="186"/>
      <c r="AF278" s="186"/>
      <c r="AG278" s="186"/>
      <c r="AH278" s="186"/>
      <c r="AI278" s="186"/>
      <c r="AJ278" s="186"/>
      <c r="AK278" s="186"/>
      <c r="AL278" s="186"/>
      <c r="AM278" s="186"/>
      <c r="AN278" s="186"/>
      <c r="AO278" s="186"/>
      <c r="AP278" s="186"/>
      <c r="AQ278" s="186"/>
      <c r="AR278" s="186"/>
      <c r="AS278" s="186"/>
      <c r="AT278" s="186"/>
      <c r="AU278" s="186"/>
      <c r="AV278" s="186"/>
      <c r="AW278" s="186"/>
      <c r="AX278" s="186"/>
      <c r="AY278" s="186"/>
      <c r="AZ278" s="186"/>
      <c r="BA278" s="186"/>
      <c r="BB278" s="186"/>
      <c r="BC278" s="186"/>
      <c r="BD278" s="186"/>
      <c r="BE278" s="186"/>
      <c r="BF278" s="186"/>
    </row>
    <row r="279">
      <c r="A279" s="164" t="s">
        <v>497</v>
      </c>
      <c r="B279" s="193">
        <v>542.0</v>
      </c>
      <c r="C279" s="146" t="s">
        <v>3</v>
      </c>
      <c r="D279" s="193">
        <v>0.882</v>
      </c>
      <c r="E279" s="164" t="s">
        <v>60</v>
      </c>
      <c r="F279" s="193">
        <v>0.28</v>
      </c>
      <c r="G279" s="193">
        <v>0.07</v>
      </c>
      <c r="H279" s="164"/>
      <c r="I279" s="164"/>
      <c r="J279" s="164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  <c r="AE279" s="145"/>
      <c r="AF279" s="145"/>
      <c r="AG279" s="145"/>
      <c r="AH279" s="145"/>
      <c r="AI279" s="145"/>
      <c r="AJ279" s="145"/>
      <c r="AK279" s="145"/>
      <c r="AL279" s="145"/>
      <c r="AM279" s="145"/>
      <c r="AN279" s="145"/>
      <c r="AO279" s="145"/>
      <c r="AP279" s="145"/>
      <c r="AQ279" s="145"/>
      <c r="AR279" s="145"/>
      <c r="AS279" s="145"/>
      <c r="AT279" s="145"/>
      <c r="AU279" s="145"/>
      <c r="AV279" s="145"/>
      <c r="AW279" s="145"/>
      <c r="AX279" s="145"/>
      <c r="AY279" s="145"/>
      <c r="AZ279" s="145"/>
      <c r="BA279" s="145"/>
      <c r="BB279" s="145"/>
      <c r="BC279" s="145"/>
      <c r="BD279" s="145"/>
      <c r="BE279" s="145"/>
      <c r="BF279" s="145"/>
    </row>
    <row r="280">
      <c r="A280" s="185" t="s">
        <v>498</v>
      </c>
      <c r="B280" s="185">
        <v>401.0</v>
      </c>
      <c r="C280" s="185" t="s">
        <v>6</v>
      </c>
      <c r="D280" s="185">
        <v>0.352</v>
      </c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  <c r="AA280" s="186"/>
      <c r="AB280" s="186"/>
      <c r="AC280" s="186"/>
      <c r="AD280" s="186"/>
      <c r="AE280" s="186"/>
      <c r="AF280" s="186"/>
      <c r="AG280" s="186"/>
      <c r="AH280" s="186"/>
      <c r="AI280" s="186"/>
      <c r="AJ280" s="186"/>
      <c r="AK280" s="186"/>
      <c r="AL280" s="186"/>
      <c r="AM280" s="186"/>
      <c r="AN280" s="186"/>
      <c r="AO280" s="186"/>
      <c r="AP280" s="186"/>
      <c r="AQ280" s="186"/>
      <c r="AR280" s="186"/>
      <c r="AS280" s="186"/>
      <c r="AT280" s="186"/>
      <c r="AU280" s="186"/>
      <c r="AV280" s="186"/>
      <c r="AW280" s="186"/>
      <c r="AX280" s="186"/>
      <c r="AY280" s="186"/>
      <c r="AZ280" s="186"/>
      <c r="BA280" s="186"/>
      <c r="BB280" s="186"/>
      <c r="BC280" s="186"/>
      <c r="BD280" s="186"/>
      <c r="BE280" s="186"/>
      <c r="BF280" s="186"/>
    </row>
    <row r="281">
      <c r="A281" s="185" t="s">
        <v>499</v>
      </c>
      <c r="B281" s="185">
        <v>354.0</v>
      </c>
      <c r="C281" s="185" t="s">
        <v>4</v>
      </c>
      <c r="D281" s="185">
        <v>187.0</v>
      </c>
      <c r="E281" s="185" t="s">
        <v>168</v>
      </c>
      <c r="F281" s="185">
        <v>0.12</v>
      </c>
      <c r="G281" s="185">
        <v>0.03</v>
      </c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  <c r="AA281" s="186"/>
      <c r="AB281" s="186"/>
      <c r="AC281" s="186"/>
      <c r="AD281" s="186"/>
      <c r="AE281" s="186"/>
      <c r="AF281" s="186"/>
      <c r="AG281" s="186"/>
      <c r="AH281" s="186"/>
      <c r="AI281" s="186"/>
      <c r="AJ281" s="186"/>
      <c r="AK281" s="186"/>
      <c r="AL281" s="186"/>
      <c r="AM281" s="186"/>
      <c r="AN281" s="186"/>
      <c r="AO281" s="186"/>
      <c r="AP281" s="186"/>
      <c r="AQ281" s="186"/>
      <c r="AR281" s="186"/>
      <c r="AS281" s="186"/>
      <c r="AT281" s="186"/>
      <c r="AU281" s="186"/>
      <c r="AV281" s="186"/>
      <c r="AW281" s="186"/>
      <c r="AX281" s="186"/>
      <c r="AY281" s="186"/>
      <c r="AZ281" s="186"/>
      <c r="BA281" s="186"/>
      <c r="BB281" s="186"/>
      <c r="BC281" s="186"/>
      <c r="BD281" s="186"/>
      <c r="BE281" s="186"/>
      <c r="BF281" s="186"/>
    </row>
    <row r="282">
      <c r="A282" s="185" t="s">
        <v>500</v>
      </c>
      <c r="B282" s="185">
        <v>565.0</v>
      </c>
      <c r="C282" s="185" t="s">
        <v>58</v>
      </c>
      <c r="D282" s="185">
        <v>0.276</v>
      </c>
      <c r="E282" s="185" t="s">
        <v>5</v>
      </c>
      <c r="F282" s="185">
        <v>0.24</v>
      </c>
      <c r="G282" s="185">
        <v>0.06</v>
      </c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  <c r="AA282" s="186"/>
      <c r="AB282" s="186"/>
      <c r="AC282" s="186"/>
      <c r="AD282" s="186"/>
      <c r="AE282" s="186"/>
      <c r="AF282" s="186"/>
      <c r="AG282" s="186"/>
      <c r="AH282" s="186"/>
      <c r="AI282" s="186"/>
      <c r="AJ282" s="186"/>
      <c r="AK282" s="186"/>
      <c r="AL282" s="186"/>
      <c r="AM282" s="186"/>
      <c r="AN282" s="186"/>
      <c r="AO282" s="186"/>
      <c r="AP282" s="186"/>
      <c r="AQ282" s="186"/>
      <c r="AR282" s="186"/>
      <c r="AS282" s="186"/>
      <c r="AT282" s="186"/>
      <c r="AU282" s="186"/>
      <c r="AV282" s="186"/>
      <c r="AW282" s="186"/>
      <c r="AX282" s="186"/>
      <c r="AY282" s="186"/>
      <c r="AZ282" s="186"/>
      <c r="BA282" s="186"/>
      <c r="BB282" s="186"/>
      <c r="BC282" s="186"/>
      <c r="BD282" s="186"/>
      <c r="BE282" s="186"/>
      <c r="BF282" s="186"/>
    </row>
    <row r="283">
      <c r="A283" s="185" t="s">
        <v>501</v>
      </c>
      <c r="B283" s="185">
        <v>454.0</v>
      </c>
      <c r="C283" s="185" t="s">
        <v>58</v>
      </c>
      <c r="D283" s="185">
        <v>0.551</v>
      </c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  <c r="AA283" s="186"/>
      <c r="AB283" s="186"/>
      <c r="AC283" s="186"/>
      <c r="AD283" s="186"/>
      <c r="AE283" s="186"/>
      <c r="AF283" s="186"/>
      <c r="AG283" s="186"/>
      <c r="AH283" s="186"/>
      <c r="AI283" s="186"/>
      <c r="AJ283" s="186"/>
      <c r="AK283" s="186"/>
      <c r="AL283" s="186"/>
      <c r="AM283" s="186"/>
      <c r="AN283" s="186"/>
      <c r="AO283" s="186"/>
      <c r="AP283" s="186"/>
      <c r="AQ283" s="186"/>
      <c r="AR283" s="186"/>
      <c r="AS283" s="186"/>
      <c r="AT283" s="186"/>
      <c r="AU283" s="186"/>
      <c r="AV283" s="186"/>
      <c r="AW283" s="186"/>
      <c r="AX283" s="186"/>
      <c r="AY283" s="186"/>
      <c r="AZ283" s="186"/>
      <c r="BA283" s="186"/>
      <c r="BB283" s="186"/>
      <c r="BC283" s="186"/>
      <c r="BD283" s="186"/>
      <c r="BE283" s="186"/>
      <c r="BF283" s="186"/>
    </row>
    <row r="284">
      <c r="A284" s="185" t="s">
        <v>502</v>
      </c>
      <c r="B284" s="185">
        <v>510.0</v>
      </c>
      <c r="C284" s="185" t="s">
        <v>58</v>
      </c>
      <c r="D284" s="185">
        <v>0.413</v>
      </c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  <c r="AA284" s="186"/>
      <c r="AB284" s="186"/>
      <c r="AC284" s="186"/>
      <c r="AD284" s="186"/>
      <c r="AE284" s="186"/>
      <c r="AF284" s="186"/>
      <c r="AG284" s="186"/>
      <c r="AH284" s="186"/>
      <c r="AI284" s="186"/>
      <c r="AJ284" s="186"/>
      <c r="AK284" s="186"/>
      <c r="AL284" s="186"/>
      <c r="AM284" s="186"/>
      <c r="AN284" s="186"/>
      <c r="AO284" s="186"/>
      <c r="AP284" s="186"/>
      <c r="AQ284" s="186"/>
      <c r="AR284" s="186"/>
      <c r="AS284" s="186"/>
      <c r="AT284" s="186"/>
      <c r="AU284" s="186"/>
      <c r="AV284" s="186"/>
      <c r="AW284" s="186"/>
      <c r="AX284" s="186"/>
      <c r="AY284" s="186"/>
      <c r="AZ284" s="186"/>
      <c r="BA284" s="186"/>
      <c r="BB284" s="186"/>
      <c r="BC284" s="186"/>
      <c r="BD284" s="186"/>
      <c r="BE284" s="186"/>
      <c r="BF284" s="186"/>
    </row>
    <row r="285">
      <c r="A285" s="185" t="s">
        <v>503</v>
      </c>
      <c r="B285" s="185">
        <v>510.0</v>
      </c>
      <c r="C285" s="185" t="s">
        <v>6</v>
      </c>
      <c r="D285" s="185">
        <v>0.413</v>
      </c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  <c r="AA285" s="186"/>
      <c r="AB285" s="186"/>
      <c r="AC285" s="186"/>
      <c r="AD285" s="186"/>
      <c r="AE285" s="186"/>
      <c r="AF285" s="186"/>
      <c r="AG285" s="186"/>
      <c r="AH285" s="186"/>
      <c r="AI285" s="186"/>
      <c r="AJ285" s="186"/>
      <c r="AK285" s="186"/>
      <c r="AL285" s="186"/>
      <c r="AM285" s="186"/>
      <c r="AN285" s="186"/>
      <c r="AO285" s="186"/>
      <c r="AP285" s="186"/>
      <c r="AQ285" s="186"/>
      <c r="AR285" s="186"/>
      <c r="AS285" s="186"/>
      <c r="AT285" s="186"/>
      <c r="AU285" s="186"/>
      <c r="AV285" s="186"/>
      <c r="AW285" s="186"/>
      <c r="AX285" s="186"/>
      <c r="AY285" s="186"/>
      <c r="AZ285" s="186"/>
      <c r="BA285" s="186"/>
      <c r="BB285" s="186"/>
      <c r="BC285" s="186"/>
      <c r="BD285" s="186"/>
      <c r="BE285" s="186"/>
      <c r="BF285" s="186"/>
    </row>
    <row r="286">
      <c r="A286" s="185" t="s">
        <v>504</v>
      </c>
      <c r="B286" s="185">
        <v>565.0</v>
      </c>
      <c r="C286" s="185" t="s">
        <v>5</v>
      </c>
      <c r="D286" s="185">
        <v>0.306</v>
      </c>
      <c r="E286" s="185" t="s">
        <v>58</v>
      </c>
      <c r="F286" s="185">
        <v>0.2</v>
      </c>
      <c r="G286" s="185">
        <v>0.05</v>
      </c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  <c r="AJ286" s="186"/>
      <c r="AK286" s="186"/>
      <c r="AL286" s="186"/>
      <c r="AM286" s="186"/>
      <c r="AN286" s="186"/>
      <c r="AO286" s="186"/>
      <c r="AP286" s="186"/>
      <c r="AQ286" s="186"/>
      <c r="AR286" s="186"/>
      <c r="AS286" s="186"/>
      <c r="AT286" s="186"/>
      <c r="AU286" s="186"/>
      <c r="AV286" s="186"/>
      <c r="AW286" s="186"/>
      <c r="AX286" s="186"/>
      <c r="AY286" s="186"/>
      <c r="AZ286" s="186"/>
      <c r="BA286" s="186"/>
      <c r="BB286" s="186"/>
      <c r="BC286" s="186"/>
      <c r="BD286" s="186"/>
      <c r="BE286" s="186"/>
      <c r="BF286" s="186"/>
    </row>
    <row r="287">
      <c r="A287" s="185" t="s">
        <v>505</v>
      </c>
      <c r="B287" s="185">
        <v>510.0</v>
      </c>
      <c r="C287" s="185" t="s">
        <v>5</v>
      </c>
      <c r="D287" s="185">
        <v>0.459</v>
      </c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  <c r="AA287" s="186"/>
      <c r="AB287" s="186"/>
      <c r="AC287" s="186"/>
      <c r="AD287" s="186"/>
      <c r="AE287" s="186"/>
      <c r="AF287" s="186"/>
      <c r="AG287" s="186"/>
      <c r="AH287" s="186"/>
      <c r="AI287" s="186"/>
      <c r="AJ287" s="186"/>
      <c r="AK287" s="186"/>
      <c r="AL287" s="186"/>
      <c r="AM287" s="186"/>
      <c r="AN287" s="186"/>
      <c r="AO287" s="186"/>
      <c r="AP287" s="186"/>
      <c r="AQ287" s="186"/>
      <c r="AR287" s="186"/>
      <c r="AS287" s="186"/>
      <c r="AT287" s="186"/>
      <c r="AU287" s="186"/>
      <c r="AV287" s="186"/>
      <c r="AW287" s="186"/>
      <c r="AX287" s="186"/>
      <c r="AY287" s="186"/>
      <c r="AZ287" s="186"/>
      <c r="BA287" s="186"/>
      <c r="BB287" s="186"/>
      <c r="BC287" s="186"/>
      <c r="BD287" s="186"/>
      <c r="BE287" s="186"/>
      <c r="BF287" s="186"/>
    </row>
    <row r="288">
      <c r="A288" s="185" t="s">
        <v>506</v>
      </c>
      <c r="B288" s="185">
        <v>454.0</v>
      </c>
      <c r="C288" s="185" t="s">
        <v>58</v>
      </c>
      <c r="D288" s="185">
        <v>0.551</v>
      </c>
      <c r="E288" s="185" t="s">
        <v>152</v>
      </c>
      <c r="F288" s="185">
        <v>0.16</v>
      </c>
      <c r="G288" s="185">
        <v>0.04</v>
      </c>
      <c r="H288" s="185" t="s">
        <v>58</v>
      </c>
      <c r="I288" s="185">
        <v>0.08</v>
      </c>
      <c r="J288" s="185">
        <v>0.02</v>
      </c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  <c r="AA288" s="186"/>
      <c r="AB288" s="186"/>
      <c r="AC288" s="186"/>
      <c r="AD288" s="186"/>
      <c r="AE288" s="186"/>
      <c r="AF288" s="186"/>
      <c r="AG288" s="186"/>
      <c r="AH288" s="186"/>
      <c r="AI288" s="186"/>
      <c r="AJ288" s="186"/>
      <c r="AK288" s="186"/>
      <c r="AL288" s="186"/>
      <c r="AM288" s="186"/>
      <c r="AN288" s="186"/>
      <c r="AO288" s="186"/>
      <c r="AP288" s="186"/>
      <c r="AQ288" s="186"/>
      <c r="AR288" s="186"/>
      <c r="AS288" s="186"/>
      <c r="AT288" s="186"/>
      <c r="AU288" s="186"/>
      <c r="AV288" s="186"/>
      <c r="AW288" s="186"/>
      <c r="AX288" s="186"/>
      <c r="AY288" s="186"/>
      <c r="AZ288" s="186"/>
      <c r="BA288" s="186"/>
      <c r="BB288" s="186"/>
      <c r="BC288" s="186"/>
      <c r="BD288" s="186"/>
      <c r="BE288" s="186"/>
      <c r="BF288" s="186"/>
    </row>
    <row r="289">
      <c r="A289" s="185" t="s">
        <v>107</v>
      </c>
      <c r="B289" s="185">
        <v>565.0</v>
      </c>
      <c r="C289" s="185" t="s">
        <v>5</v>
      </c>
      <c r="D289" s="185">
        <v>0.306</v>
      </c>
      <c r="E289" s="185" t="s">
        <v>146</v>
      </c>
      <c r="F289" s="185">
        <v>0.1</v>
      </c>
      <c r="G289" s="185">
        <v>0.025</v>
      </c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/>
      <c r="AL289" s="186"/>
      <c r="AM289" s="186"/>
      <c r="AN289" s="186"/>
      <c r="AO289" s="186"/>
      <c r="AP289" s="186"/>
      <c r="AQ289" s="186"/>
      <c r="AR289" s="186"/>
      <c r="AS289" s="186"/>
      <c r="AT289" s="186"/>
      <c r="AU289" s="186"/>
      <c r="AV289" s="186"/>
      <c r="AW289" s="186"/>
      <c r="AX289" s="186"/>
      <c r="AY289" s="186"/>
      <c r="AZ289" s="186"/>
      <c r="BA289" s="186"/>
      <c r="BB289" s="186"/>
      <c r="BC289" s="186"/>
      <c r="BD289" s="186"/>
      <c r="BE289" s="186"/>
      <c r="BF289" s="186"/>
    </row>
    <row r="290">
      <c r="A290" s="185" t="s">
        <v>507</v>
      </c>
      <c r="B290" s="185">
        <v>510.0</v>
      </c>
      <c r="C290" s="185" t="s">
        <v>3</v>
      </c>
      <c r="D290" s="185">
        <v>0.551</v>
      </c>
      <c r="E290" s="185" t="s">
        <v>58</v>
      </c>
      <c r="F290" s="185">
        <v>0.6</v>
      </c>
      <c r="G290" s="185">
        <v>0.15</v>
      </c>
      <c r="H290" s="185" t="s">
        <v>146</v>
      </c>
      <c r="I290" s="185">
        <v>0.48</v>
      </c>
      <c r="J290" s="185">
        <v>0.12</v>
      </c>
      <c r="K290" s="185" t="s">
        <v>4</v>
      </c>
      <c r="L290" s="185">
        <v>240.0</v>
      </c>
      <c r="M290" s="185">
        <v>60.0</v>
      </c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  <c r="AA290" s="186"/>
      <c r="AB290" s="186"/>
      <c r="AC290" s="186"/>
      <c r="AD290" s="186"/>
      <c r="AE290" s="186"/>
      <c r="AF290" s="186"/>
      <c r="AG290" s="186"/>
      <c r="AH290" s="186"/>
      <c r="AI290" s="186"/>
      <c r="AJ290" s="186"/>
      <c r="AK290" s="186"/>
      <c r="AL290" s="186"/>
      <c r="AM290" s="186"/>
      <c r="AN290" s="186"/>
      <c r="AO290" s="186"/>
      <c r="AP290" s="186"/>
      <c r="AQ290" s="186"/>
      <c r="AR290" s="186"/>
      <c r="AS290" s="186"/>
      <c r="AT290" s="186"/>
      <c r="AU290" s="186"/>
      <c r="AV290" s="186"/>
      <c r="AW290" s="186"/>
      <c r="AX290" s="186"/>
      <c r="AY290" s="186"/>
      <c r="AZ290" s="186"/>
      <c r="BA290" s="186"/>
      <c r="BB290" s="186"/>
      <c r="BC290" s="186"/>
      <c r="BD290" s="186"/>
      <c r="BE290" s="186"/>
      <c r="BF290" s="186"/>
    </row>
    <row r="291">
      <c r="A291" s="185" t="s">
        <v>508</v>
      </c>
      <c r="B291" s="185">
        <v>510.0</v>
      </c>
      <c r="C291" s="185" t="s">
        <v>2</v>
      </c>
      <c r="D291" s="185">
        <v>0.276</v>
      </c>
      <c r="E291" s="185" t="s">
        <v>439</v>
      </c>
      <c r="F291" s="185">
        <v>0.2</v>
      </c>
      <c r="G291" s="185">
        <v>0.05</v>
      </c>
      <c r="H291" s="185" t="s">
        <v>147</v>
      </c>
      <c r="I291" s="185">
        <v>0.2</v>
      </c>
      <c r="J291" s="185">
        <v>0.05</v>
      </c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  <c r="AA291" s="186"/>
      <c r="AB291" s="186"/>
      <c r="AC291" s="186"/>
      <c r="AD291" s="186"/>
      <c r="AE291" s="186"/>
      <c r="AF291" s="186"/>
      <c r="AG291" s="186"/>
      <c r="AH291" s="186"/>
      <c r="AI291" s="186"/>
      <c r="AJ291" s="186"/>
      <c r="AK291" s="186"/>
      <c r="AL291" s="186"/>
      <c r="AM291" s="186"/>
      <c r="AN291" s="186"/>
      <c r="AO291" s="186"/>
      <c r="AP291" s="186"/>
      <c r="AQ291" s="186"/>
      <c r="AR291" s="186"/>
      <c r="AS291" s="186"/>
      <c r="AT291" s="186"/>
      <c r="AU291" s="186"/>
      <c r="AV291" s="186"/>
      <c r="AW291" s="186"/>
      <c r="AX291" s="186"/>
      <c r="AY291" s="186"/>
      <c r="AZ291" s="186"/>
      <c r="BA291" s="186"/>
      <c r="BB291" s="186"/>
      <c r="BC291" s="186"/>
      <c r="BD291" s="186"/>
      <c r="BE291" s="186"/>
      <c r="BF291" s="186"/>
    </row>
    <row r="292">
      <c r="A292" s="185" t="s">
        <v>509</v>
      </c>
      <c r="B292" s="185">
        <v>454.0</v>
      </c>
      <c r="C292" s="185" t="s">
        <v>4</v>
      </c>
      <c r="D292" s="185">
        <v>221.0</v>
      </c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  <c r="AA292" s="186"/>
      <c r="AB292" s="186"/>
      <c r="AC292" s="186"/>
      <c r="AD292" s="186"/>
      <c r="AE292" s="186"/>
      <c r="AF292" s="186"/>
      <c r="AG292" s="186"/>
      <c r="AH292" s="186"/>
      <c r="AI292" s="186"/>
      <c r="AJ292" s="186"/>
      <c r="AK292" s="186"/>
      <c r="AL292" s="186"/>
      <c r="AM292" s="186"/>
      <c r="AN292" s="186"/>
      <c r="AO292" s="186"/>
      <c r="AP292" s="186"/>
      <c r="AQ292" s="186"/>
      <c r="AR292" s="186"/>
      <c r="AS292" s="186"/>
      <c r="AT292" s="186"/>
      <c r="AU292" s="186"/>
      <c r="AV292" s="186"/>
      <c r="AW292" s="186"/>
      <c r="AX292" s="186"/>
      <c r="AY292" s="186"/>
      <c r="AZ292" s="186"/>
      <c r="BA292" s="186"/>
      <c r="BB292" s="186"/>
      <c r="BC292" s="186"/>
      <c r="BD292" s="186"/>
      <c r="BE292" s="186"/>
      <c r="BF292" s="186"/>
    </row>
    <row r="293">
      <c r="A293" s="185" t="s">
        <v>510</v>
      </c>
      <c r="B293" s="185">
        <v>565.0</v>
      </c>
      <c r="C293" s="185" t="s">
        <v>58</v>
      </c>
      <c r="D293" s="185">
        <v>0.276</v>
      </c>
      <c r="E293" s="185" t="s">
        <v>2</v>
      </c>
      <c r="F293" s="185">
        <v>0.08</v>
      </c>
      <c r="G293" s="185">
        <v>0.02</v>
      </c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  <c r="AA293" s="186"/>
      <c r="AB293" s="186"/>
      <c r="AC293" s="186"/>
      <c r="AD293" s="186"/>
      <c r="AE293" s="186"/>
      <c r="AF293" s="186"/>
      <c r="AG293" s="186"/>
      <c r="AH293" s="186"/>
      <c r="AI293" s="186"/>
      <c r="AJ293" s="186"/>
      <c r="AK293" s="186"/>
      <c r="AL293" s="186"/>
      <c r="AM293" s="186"/>
      <c r="AN293" s="186"/>
      <c r="AO293" s="186"/>
      <c r="AP293" s="186"/>
      <c r="AQ293" s="186"/>
      <c r="AR293" s="186"/>
      <c r="AS293" s="186"/>
      <c r="AT293" s="186"/>
      <c r="AU293" s="186"/>
      <c r="AV293" s="186"/>
      <c r="AW293" s="186"/>
      <c r="AX293" s="186"/>
      <c r="AY293" s="186"/>
      <c r="AZ293" s="186"/>
      <c r="BA293" s="186"/>
      <c r="BB293" s="186"/>
      <c r="BC293" s="186"/>
      <c r="BD293" s="186"/>
      <c r="BE293" s="186"/>
      <c r="BF293" s="186"/>
    </row>
    <row r="294">
      <c r="A294" s="185" t="s">
        <v>511</v>
      </c>
      <c r="B294" s="185">
        <v>510.0</v>
      </c>
      <c r="C294" s="185" t="s">
        <v>3</v>
      </c>
      <c r="D294" s="185">
        <v>0.551</v>
      </c>
      <c r="E294" s="185" t="s">
        <v>58</v>
      </c>
      <c r="F294" s="185">
        <v>0.12</v>
      </c>
      <c r="G294" s="185">
        <v>0.03</v>
      </c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  <c r="AA294" s="186"/>
      <c r="AB294" s="186"/>
      <c r="AC294" s="186"/>
      <c r="AD294" s="186"/>
      <c r="AE294" s="186"/>
      <c r="AF294" s="186"/>
      <c r="AG294" s="186"/>
      <c r="AH294" s="186"/>
      <c r="AI294" s="186"/>
      <c r="AJ294" s="186"/>
      <c r="AK294" s="186"/>
      <c r="AL294" s="186"/>
      <c r="AM294" s="186"/>
      <c r="AN294" s="186"/>
      <c r="AO294" s="186"/>
      <c r="AP294" s="186"/>
      <c r="AQ294" s="186"/>
      <c r="AR294" s="186"/>
      <c r="AS294" s="186"/>
      <c r="AT294" s="186"/>
      <c r="AU294" s="186"/>
      <c r="AV294" s="186"/>
      <c r="AW294" s="186"/>
      <c r="AX294" s="186"/>
      <c r="AY294" s="186"/>
      <c r="AZ294" s="186"/>
      <c r="BA294" s="186"/>
      <c r="BB294" s="186"/>
      <c r="BC294" s="186"/>
      <c r="BD294" s="186"/>
      <c r="BE294" s="186"/>
      <c r="BF294" s="186"/>
    </row>
    <row r="295">
      <c r="A295" s="185" t="s">
        <v>512</v>
      </c>
      <c r="B295" s="185">
        <v>565.0</v>
      </c>
      <c r="C295" s="185" t="s">
        <v>4</v>
      </c>
      <c r="D295" s="185">
        <v>110.0</v>
      </c>
      <c r="E295" s="185" t="s">
        <v>146</v>
      </c>
      <c r="F295" s="185">
        <v>0.08</v>
      </c>
      <c r="G295" s="185">
        <v>0.02</v>
      </c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  <c r="AA295" s="186"/>
      <c r="AB295" s="186"/>
      <c r="AC295" s="186"/>
      <c r="AD295" s="186"/>
      <c r="AE295" s="186"/>
      <c r="AF295" s="186"/>
      <c r="AG295" s="186"/>
      <c r="AH295" s="186"/>
      <c r="AI295" s="186"/>
      <c r="AJ295" s="186"/>
      <c r="AK295" s="186"/>
      <c r="AL295" s="186"/>
      <c r="AM295" s="186"/>
      <c r="AN295" s="186"/>
      <c r="AO295" s="186"/>
      <c r="AP295" s="186"/>
      <c r="AQ295" s="186"/>
      <c r="AR295" s="186"/>
      <c r="AS295" s="186"/>
      <c r="AT295" s="186"/>
      <c r="AU295" s="186"/>
      <c r="AV295" s="186"/>
      <c r="AW295" s="186"/>
      <c r="AX295" s="186"/>
      <c r="AY295" s="186"/>
      <c r="AZ295" s="186"/>
      <c r="BA295" s="186"/>
      <c r="BB295" s="186"/>
      <c r="BC295" s="186"/>
      <c r="BD295" s="186"/>
      <c r="BE295" s="186"/>
      <c r="BF295" s="186"/>
    </row>
    <row r="296">
      <c r="A296" s="185" t="s">
        <v>513</v>
      </c>
      <c r="B296" s="185">
        <v>608.0</v>
      </c>
      <c r="C296" s="185" t="s">
        <v>3</v>
      </c>
      <c r="D296" s="185">
        <v>0.662</v>
      </c>
      <c r="E296" s="185" t="s">
        <v>160</v>
      </c>
      <c r="F296" s="185">
        <v>0.12</v>
      </c>
      <c r="G296" s="185">
        <v>0.03</v>
      </c>
      <c r="H296" s="185" t="s">
        <v>146</v>
      </c>
      <c r="I296" s="185">
        <v>0.12</v>
      </c>
      <c r="J296" s="185">
        <v>0.03</v>
      </c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  <c r="AA296" s="186"/>
      <c r="AB296" s="186"/>
      <c r="AC296" s="186"/>
      <c r="AD296" s="186"/>
      <c r="AE296" s="186"/>
      <c r="AF296" s="186"/>
      <c r="AG296" s="186"/>
      <c r="AH296" s="186"/>
      <c r="AI296" s="186"/>
      <c r="AJ296" s="186"/>
      <c r="AK296" s="186"/>
      <c r="AL296" s="186"/>
      <c r="AM296" s="186"/>
      <c r="AN296" s="186"/>
      <c r="AO296" s="186"/>
      <c r="AP296" s="186"/>
      <c r="AQ296" s="186"/>
      <c r="AR296" s="186"/>
      <c r="AS296" s="186"/>
      <c r="AT296" s="186"/>
      <c r="AU296" s="186"/>
      <c r="AV296" s="186"/>
      <c r="AW296" s="186"/>
      <c r="AX296" s="186"/>
      <c r="AY296" s="186"/>
      <c r="AZ296" s="186"/>
      <c r="BA296" s="186"/>
      <c r="BB296" s="186"/>
      <c r="BC296" s="186"/>
      <c r="BD296" s="186"/>
      <c r="BE296" s="186"/>
      <c r="BF296" s="186"/>
    </row>
    <row r="297">
      <c r="A297" s="185" t="s">
        <v>514</v>
      </c>
      <c r="B297" s="185">
        <v>608.0</v>
      </c>
      <c r="C297" s="185" t="s">
        <v>6</v>
      </c>
      <c r="D297" s="185">
        <v>0.496</v>
      </c>
      <c r="E297" s="185" t="s">
        <v>163</v>
      </c>
      <c r="F297" s="185">
        <v>0.1</v>
      </c>
      <c r="G297" s="185">
        <v>0.025</v>
      </c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  <c r="AA297" s="186"/>
      <c r="AB297" s="186"/>
      <c r="AC297" s="186"/>
      <c r="AD297" s="186"/>
      <c r="AE297" s="186"/>
      <c r="AF297" s="186"/>
      <c r="AG297" s="186"/>
      <c r="AH297" s="186"/>
      <c r="AI297" s="186"/>
      <c r="AJ297" s="186"/>
      <c r="AK297" s="186"/>
      <c r="AL297" s="186"/>
      <c r="AM297" s="186"/>
      <c r="AN297" s="186"/>
      <c r="AO297" s="186"/>
      <c r="AP297" s="186"/>
      <c r="AQ297" s="186"/>
      <c r="AR297" s="186"/>
      <c r="AS297" s="186"/>
      <c r="AT297" s="186"/>
      <c r="AU297" s="186"/>
      <c r="AV297" s="186"/>
      <c r="AW297" s="186"/>
      <c r="AX297" s="186"/>
      <c r="AY297" s="186"/>
      <c r="AZ297" s="186"/>
      <c r="BA297" s="186"/>
      <c r="BB297" s="186"/>
      <c r="BC297" s="186"/>
      <c r="BD297" s="186"/>
      <c r="BE297" s="186"/>
      <c r="BF297" s="186"/>
    </row>
    <row r="298">
      <c r="A298" s="185" t="s">
        <v>515</v>
      </c>
      <c r="B298" s="185">
        <v>608.0</v>
      </c>
      <c r="C298" s="185" t="s">
        <v>58</v>
      </c>
      <c r="D298" s="185">
        <v>0.496</v>
      </c>
      <c r="E298" s="185" t="s">
        <v>58</v>
      </c>
      <c r="F298" s="185">
        <v>0.04</v>
      </c>
      <c r="G298" s="185">
        <v>0.01</v>
      </c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  <c r="AA298" s="186"/>
      <c r="AB298" s="186"/>
      <c r="AC298" s="186"/>
      <c r="AD298" s="186"/>
      <c r="AE298" s="186"/>
      <c r="AF298" s="186"/>
      <c r="AG298" s="186"/>
      <c r="AH298" s="186"/>
      <c r="AI298" s="186"/>
      <c r="AJ298" s="186"/>
      <c r="AK298" s="186"/>
      <c r="AL298" s="186"/>
      <c r="AM298" s="186"/>
      <c r="AN298" s="186"/>
      <c r="AO298" s="186"/>
      <c r="AP298" s="186"/>
      <c r="AQ298" s="186"/>
      <c r="AR298" s="186"/>
      <c r="AS298" s="186"/>
      <c r="AT298" s="186"/>
      <c r="AU298" s="186"/>
      <c r="AV298" s="186"/>
      <c r="AW298" s="186"/>
      <c r="AX298" s="186"/>
      <c r="AY298" s="186"/>
      <c r="AZ298" s="186"/>
      <c r="BA298" s="186"/>
      <c r="BB298" s="186"/>
      <c r="BC298" s="186"/>
      <c r="BD298" s="186"/>
      <c r="BE298" s="186"/>
      <c r="BF298" s="186"/>
    </row>
    <row r="299">
      <c r="A299" s="185" t="s">
        <v>516</v>
      </c>
      <c r="B299" s="185">
        <v>674.0</v>
      </c>
      <c r="C299" s="185" t="s">
        <v>58</v>
      </c>
      <c r="D299" s="185">
        <v>0.331</v>
      </c>
      <c r="E299" s="185" t="s">
        <v>146</v>
      </c>
      <c r="F299" s="185">
        <v>0.12</v>
      </c>
      <c r="G299" s="185">
        <v>0.03</v>
      </c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  <c r="AA299" s="186"/>
      <c r="AB299" s="186"/>
      <c r="AC299" s="186"/>
      <c r="AD299" s="186"/>
      <c r="AE299" s="186"/>
      <c r="AF299" s="186"/>
      <c r="AG299" s="186"/>
      <c r="AH299" s="186"/>
      <c r="AI299" s="186"/>
      <c r="AJ299" s="186"/>
      <c r="AK299" s="186"/>
      <c r="AL299" s="186"/>
      <c r="AM299" s="186"/>
      <c r="AN299" s="186"/>
      <c r="AO299" s="186"/>
      <c r="AP299" s="186"/>
      <c r="AQ299" s="186"/>
      <c r="AR299" s="186"/>
      <c r="AS299" s="186"/>
      <c r="AT299" s="186"/>
      <c r="AU299" s="186"/>
      <c r="AV299" s="186"/>
      <c r="AW299" s="186"/>
      <c r="AX299" s="186"/>
      <c r="AY299" s="186"/>
      <c r="AZ299" s="186"/>
      <c r="BA299" s="186"/>
      <c r="BB299" s="186"/>
      <c r="BC299" s="186"/>
      <c r="BD299" s="186"/>
      <c r="BE299" s="186"/>
      <c r="BF299" s="186"/>
    </row>
    <row r="300">
      <c r="A300" s="185" t="s">
        <v>517</v>
      </c>
      <c r="B300" s="185">
        <v>608.0</v>
      </c>
      <c r="C300" s="185" t="s">
        <v>2</v>
      </c>
      <c r="D300" s="185">
        <v>0.331</v>
      </c>
      <c r="E300" s="185" t="s">
        <v>146</v>
      </c>
      <c r="F300" s="185">
        <v>0.08</v>
      </c>
      <c r="G300" s="185">
        <v>0.02</v>
      </c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  <c r="AA300" s="186"/>
      <c r="AB300" s="186"/>
      <c r="AC300" s="186"/>
      <c r="AD300" s="186"/>
      <c r="AE300" s="186"/>
      <c r="AF300" s="186"/>
      <c r="AG300" s="186"/>
      <c r="AH300" s="186"/>
      <c r="AI300" s="186"/>
      <c r="AJ300" s="186"/>
      <c r="AK300" s="186"/>
      <c r="AL300" s="186"/>
      <c r="AM300" s="186"/>
      <c r="AN300" s="186"/>
      <c r="AO300" s="186"/>
      <c r="AP300" s="186"/>
      <c r="AQ300" s="186"/>
      <c r="AR300" s="186"/>
      <c r="AS300" s="186"/>
      <c r="AT300" s="186"/>
      <c r="AU300" s="186"/>
      <c r="AV300" s="186"/>
      <c r="AW300" s="186"/>
      <c r="AX300" s="186"/>
      <c r="AY300" s="186"/>
      <c r="AZ300" s="186"/>
      <c r="BA300" s="186"/>
      <c r="BB300" s="186"/>
      <c r="BC300" s="186"/>
      <c r="BD300" s="186"/>
      <c r="BE300" s="186"/>
      <c r="BF300" s="186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  <c r="AA301" s="186"/>
      <c r="AB301" s="186"/>
      <c r="AC301" s="186"/>
      <c r="AD301" s="186"/>
      <c r="AE301" s="186"/>
      <c r="AF301" s="186"/>
      <c r="AG301" s="186"/>
      <c r="AH301" s="186"/>
      <c r="AI301" s="186"/>
      <c r="AJ301" s="186"/>
      <c r="AK301" s="186"/>
      <c r="AL301" s="186"/>
      <c r="AM301" s="186"/>
      <c r="AN301" s="186"/>
      <c r="AO301" s="186"/>
      <c r="AP301" s="186"/>
      <c r="AQ301" s="186"/>
      <c r="AR301" s="186"/>
      <c r="AS301" s="186"/>
      <c r="AT301" s="186"/>
      <c r="AU301" s="186"/>
      <c r="AV301" s="186"/>
      <c r="AW301" s="186"/>
      <c r="AX301" s="186"/>
      <c r="AY301" s="186"/>
      <c r="AZ301" s="186"/>
      <c r="BA301" s="186"/>
      <c r="BB301" s="186"/>
      <c r="BC301" s="186"/>
      <c r="BD301" s="186"/>
      <c r="BE301" s="186"/>
      <c r="BF301" s="186"/>
    </row>
    <row r="302">
      <c r="A302" s="185" t="s">
        <v>223</v>
      </c>
      <c r="B302" s="185" t="s">
        <v>195</v>
      </c>
      <c r="C302" s="185" t="s">
        <v>518</v>
      </c>
      <c r="D302" s="185" t="s">
        <v>196</v>
      </c>
      <c r="E302" s="185" t="s">
        <v>198</v>
      </c>
      <c r="F302" s="186"/>
      <c r="G302" s="185" t="s">
        <v>239</v>
      </c>
      <c r="H302" s="185" t="s">
        <v>195</v>
      </c>
      <c r="I302" s="185" t="s">
        <v>518</v>
      </c>
      <c r="J302" s="185" t="s">
        <v>519</v>
      </c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86"/>
      <c r="AF302" s="186"/>
      <c r="AG302" s="186"/>
      <c r="AH302" s="186"/>
      <c r="AI302" s="186"/>
      <c r="AJ302" s="186"/>
      <c r="AK302" s="186"/>
      <c r="AL302" s="186"/>
      <c r="AM302" s="186"/>
      <c r="AN302" s="186"/>
      <c r="AO302" s="186"/>
      <c r="AP302" s="186"/>
      <c r="AQ302" s="186"/>
      <c r="AR302" s="186"/>
      <c r="AS302" s="186"/>
      <c r="AT302" s="186"/>
      <c r="AU302" s="186"/>
      <c r="AV302" s="186"/>
      <c r="AW302" s="186"/>
      <c r="AX302" s="186"/>
      <c r="AY302" s="186"/>
      <c r="AZ302" s="186"/>
      <c r="BA302" s="186"/>
      <c r="BB302" s="186"/>
      <c r="BC302" s="186"/>
      <c r="BD302" s="186"/>
      <c r="BE302" s="186"/>
      <c r="BF302" s="186"/>
    </row>
    <row r="303">
      <c r="A303" s="185" t="s">
        <v>416</v>
      </c>
      <c r="B303" s="185">
        <v>0.2</v>
      </c>
      <c r="C303" s="185">
        <v>0.05</v>
      </c>
      <c r="D303" s="185" t="s">
        <v>304</v>
      </c>
      <c r="E303" s="186"/>
      <c r="F303" s="186"/>
      <c r="G303" s="185" t="s">
        <v>431</v>
      </c>
      <c r="H303" s="185">
        <v>0.08</v>
      </c>
      <c r="I303" s="185">
        <v>0.02</v>
      </c>
      <c r="J303" s="185" t="s">
        <v>303</v>
      </c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  <c r="AA303" s="186"/>
      <c r="AB303" s="186"/>
      <c r="AC303" s="186"/>
      <c r="AD303" s="186"/>
      <c r="AE303" s="186"/>
      <c r="AF303" s="186"/>
      <c r="AG303" s="186"/>
      <c r="AH303" s="186"/>
      <c r="AI303" s="186"/>
      <c r="AJ303" s="186"/>
      <c r="AK303" s="186"/>
      <c r="AL303" s="186"/>
      <c r="AM303" s="186"/>
      <c r="AN303" s="186"/>
      <c r="AO303" s="186"/>
      <c r="AP303" s="186"/>
      <c r="AQ303" s="186"/>
      <c r="AR303" s="186"/>
      <c r="AS303" s="186"/>
      <c r="AT303" s="186"/>
      <c r="AU303" s="186"/>
      <c r="AV303" s="186"/>
      <c r="AW303" s="186"/>
      <c r="AX303" s="186"/>
      <c r="AY303" s="186"/>
      <c r="AZ303" s="186"/>
      <c r="BA303" s="186"/>
      <c r="BB303" s="186"/>
      <c r="BC303" s="186"/>
      <c r="BD303" s="186"/>
      <c r="BE303" s="186"/>
      <c r="BF303" s="186"/>
    </row>
    <row r="304">
      <c r="A304" s="185" t="s">
        <v>423</v>
      </c>
      <c r="B304" s="185">
        <v>0.8</v>
      </c>
      <c r="C304" s="185">
        <v>0.15</v>
      </c>
      <c r="D304" s="185" t="s">
        <v>304</v>
      </c>
      <c r="E304" s="186"/>
      <c r="F304" s="186"/>
      <c r="G304" s="185" t="s">
        <v>224</v>
      </c>
      <c r="H304" s="185">
        <v>1.0</v>
      </c>
      <c r="I304" s="185">
        <v>0.15</v>
      </c>
      <c r="J304" s="185" t="s">
        <v>304</v>
      </c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  <c r="AA304" s="186"/>
      <c r="AB304" s="186"/>
      <c r="AC304" s="186"/>
      <c r="AD304" s="186"/>
      <c r="AE304" s="186"/>
      <c r="AF304" s="186"/>
      <c r="AG304" s="186"/>
      <c r="AH304" s="186"/>
      <c r="AI304" s="186"/>
      <c r="AJ304" s="186"/>
      <c r="AK304" s="186"/>
      <c r="AL304" s="186"/>
      <c r="AM304" s="186"/>
      <c r="AN304" s="186"/>
      <c r="AO304" s="186"/>
      <c r="AP304" s="186"/>
      <c r="AQ304" s="186"/>
      <c r="AR304" s="186"/>
      <c r="AS304" s="186"/>
      <c r="AT304" s="186"/>
      <c r="AU304" s="186"/>
      <c r="AV304" s="186"/>
      <c r="AW304" s="186"/>
      <c r="AX304" s="186"/>
      <c r="AY304" s="186"/>
      <c r="AZ304" s="186"/>
      <c r="BA304" s="186"/>
      <c r="BB304" s="186"/>
      <c r="BC304" s="186"/>
      <c r="BD304" s="186"/>
      <c r="BE304" s="186"/>
      <c r="BF304" s="186"/>
    </row>
    <row r="305">
      <c r="A305" s="185" t="s">
        <v>520</v>
      </c>
      <c r="B305" s="185">
        <v>2.0</v>
      </c>
      <c r="C305" s="185">
        <v>0.4</v>
      </c>
      <c r="D305" s="185" t="s">
        <v>304</v>
      </c>
      <c r="E305" s="186"/>
      <c r="F305" s="186"/>
      <c r="G305" s="185" t="s">
        <v>467</v>
      </c>
      <c r="H305" s="185">
        <v>0.6</v>
      </c>
      <c r="I305" s="185">
        <v>0.1</v>
      </c>
      <c r="J305" s="185" t="s">
        <v>303</v>
      </c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  <c r="AA305" s="186"/>
      <c r="AB305" s="186"/>
      <c r="AC305" s="186"/>
      <c r="AD305" s="186"/>
      <c r="AE305" s="186"/>
      <c r="AF305" s="186"/>
      <c r="AG305" s="186"/>
      <c r="AH305" s="186"/>
      <c r="AI305" s="186"/>
      <c r="AJ305" s="186"/>
      <c r="AK305" s="186"/>
      <c r="AL305" s="186"/>
      <c r="AM305" s="186"/>
      <c r="AN305" s="186"/>
      <c r="AO305" s="186"/>
      <c r="AP305" s="186"/>
      <c r="AQ305" s="186"/>
      <c r="AR305" s="186"/>
      <c r="AS305" s="186"/>
      <c r="AT305" s="186"/>
      <c r="AU305" s="186"/>
      <c r="AV305" s="186"/>
      <c r="AW305" s="186"/>
      <c r="AX305" s="186"/>
      <c r="AY305" s="186"/>
      <c r="AZ305" s="186"/>
      <c r="BA305" s="186"/>
      <c r="BB305" s="186"/>
      <c r="BC305" s="186"/>
      <c r="BD305" s="186"/>
      <c r="BE305" s="186"/>
      <c r="BF305" s="186"/>
    </row>
    <row r="306">
      <c r="A306" s="185" t="s">
        <v>427</v>
      </c>
      <c r="B306" s="185">
        <v>0.4</v>
      </c>
      <c r="C306" s="185">
        <v>0.15</v>
      </c>
      <c r="D306" s="185" t="s">
        <v>304</v>
      </c>
      <c r="E306" s="186"/>
      <c r="F306" s="186"/>
      <c r="G306" s="145" t="s">
        <v>503</v>
      </c>
      <c r="H306" s="188">
        <v>0.04</v>
      </c>
      <c r="I306" s="188">
        <v>0.005</v>
      </c>
      <c r="J306" s="185" t="s">
        <v>303</v>
      </c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  <c r="AA306" s="186"/>
      <c r="AB306" s="186"/>
      <c r="AC306" s="186"/>
      <c r="AD306" s="186"/>
      <c r="AE306" s="186"/>
      <c r="AF306" s="186"/>
      <c r="AG306" s="186"/>
      <c r="AH306" s="186"/>
      <c r="AI306" s="186"/>
      <c r="AJ306" s="186"/>
      <c r="AK306" s="186"/>
      <c r="AL306" s="186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</row>
    <row r="307">
      <c r="A307" s="185" t="s">
        <v>449</v>
      </c>
      <c r="B307" s="185">
        <v>0.4</v>
      </c>
      <c r="C307" s="185">
        <v>0.1</v>
      </c>
      <c r="D307" s="185" t="s">
        <v>304</v>
      </c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  <c r="AA307" s="186"/>
      <c r="AB307" s="186"/>
      <c r="AC307" s="186"/>
      <c r="AD307" s="186"/>
      <c r="AE307" s="186"/>
      <c r="AF307" s="186"/>
      <c r="AG307" s="186"/>
      <c r="AH307" s="186"/>
      <c r="AI307" s="186"/>
      <c r="AJ307" s="186"/>
      <c r="AK307" s="186"/>
      <c r="AL307" s="186"/>
      <c r="AM307" s="186"/>
      <c r="AN307" s="186"/>
      <c r="AO307" s="186"/>
      <c r="AP307" s="186"/>
      <c r="AQ307" s="186"/>
      <c r="AR307" s="186"/>
      <c r="AS307" s="186"/>
      <c r="AT307" s="186"/>
      <c r="AU307" s="186"/>
      <c r="AV307" s="186"/>
      <c r="AW307" s="186"/>
      <c r="AX307" s="186"/>
      <c r="AY307" s="186"/>
      <c r="AZ307" s="186"/>
      <c r="BA307" s="186"/>
      <c r="BB307" s="186"/>
      <c r="BC307" s="186"/>
      <c r="BD307" s="186"/>
      <c r="BE307" s="186"/>
      <c r="BF307" s="186"/>
    </row>
    <row r="308">
      <c r="A308" s="185" t="s">
        <v>453</v>
      </c>
      <c r="B308" s="185">
        <v>1.25</v>
      </c>
      <c r="C308" s="185">
        <v>0.0</v>
      </c>
      <c r="D308" s="185" t="s">
        <v>304</v>
      </c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  <c r="AA308" s="186"/>
      <c r="AB308" s="186"/>
      <c r="AC308" s="186"/>
      <c r="AD308" s="186"/>
      <c r="AE308" s="186"/>
      <c r="AF308" s="186"/>
      <c r="AG308" s="186"/>
      <c r="AH308" s="186"/>
      <c r="AI308" s="186"/>
      <c r="AJ308" s="186"/>
      <c r="AK308" s="186"/>
      <c r="AL308" s="186"/>
      <c r="AM308" s="186"/>
      <c r="AN308" s="186"/>
      <c r="AO308" s="186"/>
      <c r="AP308" s="186"/>
      <c r="AQ308" s="186"/>
      <c r="AR308" s="186"/>
      <c r="AS308" s="186"/>
      <c r="AT308" s="186"/>
      <c r="AU308" s="186"/>
      <c r="AV308" s="186"/>
      <c r="AW308" s="186"/>
      <c r="AX308" s="186"/>
      <c r="AY308" s="186"/>
      <c r="AZ308" s="186"/>
      <c r="BA308" s="186"/>
      <c r="BB308" s="186"/>
      <c r="BC308" s="186"/>
      <c r="BD308" s="186"/>
      <c r="BE308" s="186"/>
      <c r="BF308" s="186"/>
    </row>
    <row r="309">
      <c r="A309" s="185" t="s">
        <v>465</v>
      </c>
      <c r="B309" s="185">
        <v>1.0</v>
      </c>
      <c r="C309" s="185">
        <v>0.25</v>
      </c>
      <c r="D309" s="185" t="s">
        <v>304</v>
      </c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  <c r="AA309" s="186"/>
      <c r="AB309" s="186"/>
      <c r="AC309" s="186"/>
      <c r="AD309" s="186"/>
      <c r="AE309" s="186"/>
      <c r="AF309" s="186"/>
      <c r="AG309" s="186"/>
      <c r="AH309" s="186"/>
      <c r="AI309" s="186"/>
      <c r="AJ309" s="186"/>
      <c r="AK309" s="186"/>
      <c r="AL309" s="186"/>
      <c r="AM309" s="186"/>
      <c r="AN309" s="186"/>
      <c r="AO309" s="186"/>
      <c r="AP309" s="186"/>
      <c r="AQ309" s="186"/>
      <c r="AR309" s="186"/>
      <c r="AS309" s="186"/>
      <c r="AT309" s="186"/>
      <c r="AU309" s="186"/>
      <c r="AV309" s="186"/>
      <c r="AW309" s="186"/>
      <c r="AX309" s="186"/>
      <c r="AY309" s="186"/>
      <c r="AZ309" s="186"/>
      <c r="BA309" s="186"/>
      <c r="BB309" s="186"/>
      <c r="BC309" s="186"/>
      <c r="BD309" s="186"/>
      <c r="BE309" s="186"/>
      <c r="BF309" s="186"/>
    </row>
    <row r="310">
      <c r="A310" s="185" t="s">
        <v>471</v>
      </c>
      <c r="B310" s="185">
        <v>0.4</v>
      </c>
      <c r="C310" s="185">
        <v>0.1</v>
      </c>
      <c r="D310" s="185" t="s">
        <v>305</v>
      </c>
      <c r="E310" s="185" t="s">
        <v>160</v>
      </c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  <c r="AA310" s="186"/>
      <c r="AB310" s="186"/>
      <c r="AC310" s="186"/>
      <c r="AD310" s="186"/>
      <c r="AE310" s="186"/>
      <c r="AF310" s="186"/>
      <c r="AG310" s="186"/>
      <c r="AH310" s="186"/>
      <c r="AI310" s="186"/>
      <c r="AJ310" s="186"/>
      <c r="AK310" s="186"/>
      <c r="AL310" s="186"/>
      <c r="AM310" s="186"/>
      <c r="AN310" s="186"/>
      <c r="AO310" s="186"/>
      <c r="AP310" s="186"/>
      <c r="AQ310" s="186"/>
      <c r="AR310" s="186"/>
      <c r="AS310" s="186"/>
      <c r="AT310" s="186"/>
      <c r="AU310" s="186"/>
      <c r="AV310" s="186"/>
      <c r="AW310" s="186"/>
      <c r="AX310" s="186"/>
      <c r="AY310" s="186"/>
      <c r="AZ310" s="186"/>
      <c r="BA310" s="186"/>
      <c r="BB310" s="186"/>
      <c r="BC310" s="186"/>
      <c r="BD310" s="186"/>
      <c r="BE310" s="186"/>
      <c r="BF310" s="186"/>
    </row>
    <row r="311">
      <c r="A311" s="185" t="s">
        <v>224</v>
      </c>
      <c r="B311" s="185">
        <v>2.0</v>
      </c>
      <c r="C311" s="185">
        <v>0.3</v>
      </c>
      <c r="D311" s="185" t="s">
        <v>304</v>
      </c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  <c r="AA311" s="186"/>
      <c r="AB311" s="186"/>
      <c r="AC311" s="186"/>
      <c r="AD311" s="186"/>
      <c r="AE311" s="186"/>
      <c r="AF311" s="186"/>
      <c r="AG311" s="186"/>
      <c r="AH311" s="186"/>
      <c r="AI311" s="186"/>
      <c r="AJ311" s="186"/>
      <c r="AK311" s="186"/>
      <c r="AL311" s="186"/>
      <c r="AM311" s="186"/>
      <c r="AN311" s="186"/>
      <c r="AO311" s="186"/>
      <c r="AP311" s="186"/>
      <c r="AQ311" s="186"/>
      <c r="AR311" s="186"/>
      <c r="AS311" s="186"/>
      <c r="AT311" s="186"/>
      <c r="AU311" s="186"/>
      <c r="AV311" s="186"/>
      <c r="AW311" s="186"/>
      <c r="AX311" s="186"/>
      <c r="AY311" s="186"/>
      <c r="AZ311" s="186"/>
      <c r="BA311" s="186"/>
      <c r="BB311" s="186"/>
      <c r="BC311" s="186"/>
      <c r="BD311" s="186"/>
      <c r="BE311" s="186"/>
      <c r="BF311" s="186"/>
    </row>
    <row r="312">
      <c r="A312" s="185" t="s">
        <v>475</v>
      </c>
      <c r="B312" s="185">
        <v>0.2</v>
      </c>
      <c r="C312" s="185">
        <v>0.05</v>
      </c>
      <c r="D312" s="185" t="s">
        <v>304</v>
      </c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  <c r="AA312" s="186"/>
      <c r="AB312" s="186"/>
      <c r="AC312" s="186"/>
      <c r="AD312" s="186"/>
      <c r="AE312" s="186"/>
      <c r="AF312" s="186"/>
      <c r="AG312" s="186"/>
      <c r="AH312" s="186"/>
      <c r="AI312" s="186"/>
      <c r="AJ312" s="186"/>
      <c r="AK312" s="186"/>
      <c r="AL312" s="186"/>
      <c r="AM312" s="186"/>
      <c r="AN312" s="186"/>
      <c r="AO312" s="186"/>
      <c r="AP312" s="186"/>
      <c r="AQ312" s="186"/>
      <c r="AR312" s="186"/>
      <c r="AS312" s="186"/>
      <c r="AT312" s="186"/>
      <c r="AU312" s="186"/>
      <c r="AV312" s="186"/>
      <c r="AW312" s="186"/>
      <c r="AX312" s="186"/>
      <c r="AY312" s="186"/>
      <c r="AZ312" s="186"/>
      <c r="BA312" s="186"/>
      <c r="BB312" s="186"/>
      <c r="BC312" s="186"/>
      <c r="BD312" s="186"/>
      <c r="BE312" s="186"/>
      <c r="BF312" s="186"/>
    </row>
    <row r="313">
      <c r="A313" s="185" t="s">
        <v>481</v>
      </c>
      <c r="B313" s="185">
        <v>2.4</v>
      </c>
      <c r="C313" s="185">
        <v>0.6</v>
      </c>
      <c r="D313" s="185" t="s">
        <v>304</v>
      </c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  <c r="AA313" s="186"/>
      <c r="AB313" s="186"/>
      <c r="AC313" s="186"/>
      <c r="AD313" s="186"/>
      <c r="AE313" s="186"/>
      <c r="AF313" s="186"/>
      <c r="AG313" s="186"/>
      <c r="AH313" s="186"/>
      <c r="AI313" s="186"/>
      <c r="AJ313" s="186"/>
      <c r="AK313" s="186"/>
      <c r="AL313" s="186"/>
      <c r="AM313" s="186"/>
      <c r="AN313" s="186"/>
      <c r="AO313" s="186"/>
      <c r="AP313" s="186"/>
      <c r="AQ313" s="186"/>
      <c r="AR313" s="186"/>
      <c r="AS313" s="186"/>
      <c r="AT313" s="186"/>
      <c r="AU313" s="186"/>
      <c r="AV313" s="186"/>
      <c r="AW313" s="186"/>
      <c r="AX313" s="186"/>
      <c r="AY313" s="186"/>
      <c r="AZ313" s="186"/>
      <c r="BA313" s="186"/>
      <c r="BB313" s="186"/>
      <c r="BC313" s="186"/>
      <c r="BD313" s="186"/>
      <c r="BE313" s="186"/>
      <c r="BF313" s="186"/>
    </row>
    <row r="314">
      <c r="A314" s="185" t="s">
        <v>489</v>
      </c>
      <c r="B314" s="185">
        <v>0.8</v>
      </c>
      <c r="C314" s="185">
        <v>0.15</v>
      </c>
      <c r="D314" s="185" t="s">
        <v>304</v>
      </c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  <c r="AA314" s="186"/>
      <c r="AB314" s="186"/>
      <c r="AC314" s="186"/>
      <c r="AD314" s="186"/>
      <c r="AE314" s="186"/>
      <c r="AF314" s="186"/>
      <c r="AG314" s="186"/>
      <c r="AH314" s="186"/>
      <c r="AI314" s="186"/>
      <c r="AJ314" s="186"/>
      <c r="AK314" s="186"/>
      <c r="AL314" s="186"/>
      <c r="AM314" s="186"/>
      <c r="AN314" s="186"/>
      <c r="AO314" s="186"/>
      <c r="AP314" s="186"/>
      <c r="AQ314" s="186"/>
      <c r="AR314" s="186"/>
      <c r="AS314" s="186"/>
      <c r="AT314" s="186"/>
      <c r="AU314" s="186"/>
      <c r="AV314" s="186"/>
      <c r="AW314" s="186"/>
      <c r="AX314" s="186"/>
      <c r="AY314" s="186"/>
      <c r="AZ314" s="186"/>
      <c r="BA314" s="186"/>
      <c r="BB314" s="186"/>
      <c r="BC314" s="186"/>
      <c r="BD314" s="186"/>
      <c r="BE314" s="186"/>
      <c r="BF314" s="186"/>
    </row>
    <row r="315">
      <c r="A315" s="185" t="s">
        <v>521</v>
      </c>
      <c r="B315" s="185">
        <v>2.0</v>
      </c>
      <c r="C315" s="185">
        <v>0.4</v>
      </c>
      <c r="D315" s="185" t="s">
        <v>304</v>
      </c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  <c r="AA315" s="186"/>
      <c r="AB315" s="186"/>
      <c r="AC315" s="186"/>
      <c r="AD315" s="186"/>
      <c r="AE315" s="186"/>
      <c r="AF315" s="186"/>
      <c r="AG315" s="186"/>
      <c r="AH315" s="186"/>
      <c r="AI315" s="186"/>
      <c r="AJ315" s="186"/>
      <c r="AK315" s="186"/>
      <c r="AL315" s="186"/>
      <c r="AM315" s="186"/>
      <c r="AN315" s="186"/>
      <c r="AO315" s="186"/>
      <c r="AP315" s="186"/>
      <c r="AQ315" s="186"/>
      <c r="AR315" s="186"/>
      <c r="AS315" s="186"/>
      <c r="AT315" s="186"/>
      <c r="AU315" s="186"/>
      <c r="AV315" s="186"/>
      <c r="AW315" s="186"/>
      <c r="AX315" s="186"/>
      <c r="AY315" s="186"/>
      <c r="AZ315" s="186"/>
      <c r="BA315" s="186"/>
      <c r="BB315" s="186"/>
      <c r="BC315" s="186"/>
      <c r="BD315" s="186"/>
      <c r="BE315" s="186"/>
      <c r="BF315" s="186"/>
    </row>
    <row r="316">
      <c r="A316" s="185" t="s">
        <v>492</v>
      </c>
      <c r="B316" s="185">
        <v>1.0</v>
      </c>
      <c r="C316" s="185">
        <v>0.25</v>
      </c>
      <c r="D316" s="185" t="s">
        <v>304</v>
      </c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  <c r="AA316" s="186"/>
      <c r="AB316" s="186"/>
      <c r="AC316" s="186"/>
      <c r="AD316" s="186"/>
      <c r="AE316" s="186"/>
      <c r="AF316" s="186"/>
      <c r="AG316" s="186"/>
      <c r="AH316" s="186"/>
      <c r="AI316" s="186"/>
      <c r="AJ316" s="186"/>
      <c r="AK316" s="186"/>
      <c r="AL316" s="186"/>
      <c r="AM316" s="186"/>
      <c r="AN316" s="186"/>
      <c r="AO316" s="186"/>
      <c r="AP316" s="186"/>
      <c r="AQ316" s="186"/>
      <c r="AR316" s="186"/>
      <c r="AS316" s="186"/>
      <c r="AT316" s="186"/>
      <c r="AU316" s="186"/>
      <c r="AV316" s="186"/>
      <c r="AW316" s="186"/>
      <c r="AX316" s="186"/>
      <c r="AY316" s="186"/>
      <c r="AZ316" s="186"/>
      <c r="BA316" s="186"/>
      <c r="BB316" s="186"/>
      <c r="BC316" s="186"/>
      <c r="BD316" s="186"/>
      <c r="BE316" s="186"/>
      <c r="BF316" s="186"/>
    </row>
    <row r="317">
      <c r="A317" s="185" t="s">
        <v>495</v>
      </c>
      <c r="B317" s="185">
        <v>0.8</v>
      </c>
      <c r="C317" s="185">
        <v>0.2</v>
      </c>
      <c r="D317" s="185" t="s">
        <v>304</v>
      </c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  <c r="AA317" s="186"/>
      <c r="AB317" s="186"/>
      <c r="AC317" s="186"/>
      <c r="AD317" s="186"/>
      <c r="AE317" s="186"/>
      <c r="AF317" s="186"/>
      <c r="AG317" s="186"/>
      <c r="AH317" s="186"/>
      <c r="AI317" s="186"/>
      <c r="AJ317" s="186"/>
      <c r="AK317" s="186"/>
      <c r="AL317" s="186"/>
      <c r="AM317" s="186"/>
      <c r="AN317" s="186"/>
      <c r="AO317" s="186"/>
      <c r="AP317" s="186"/>
      <c r="AQ317" s="186"/>
      <c r="AR317" s="186"/>
      <c r="AS317" s="186"/>
      <c r="AT317" s="186"/>
      <c r="AU317" s="186"/>
      <c r="AV317" s="186"/>
      <c r="AW317" s="186"/>
      <c r="AX317" s="186"/>
      <c r="AY317" s="186"/>
      <c r="AZ317" s="186"/>
      <c r="BA317" s="186"/>
      <c r="BB317" s="186"/>
      <c r="BC317" s="186"/>
      <c r="BD317" s="186"/>
      <c r="BE317" s="186"/>
      <c r="BF317" s="186"/>
    </row>
    <row r="318">
      <c r="A318" s="164" t="s">
        <v>522</v>
      </c>
      <c r="B318" s="193">
        <v>0.4</v>
      </c>
      <c r="C318" s="193">
        <v>0.1</v>
      </c>
      <c r="D318" s="164" t="s">
        <v>305</v>
      </c>
      <c r="E318" s="145" t="s">
        <v>147</v>
      </c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  <c r="AB318" s="186"/>
      <c r="AC318" s="186"/>
      <c r="AD318" s="186"/>
      <c r="AE318" s="186"/>
      <c r="AF318" s="186"/>
      <c r="AG318" s="186"/>
      <c r="AH318" s="186"/>
      <c r="AI318" s="186"/>
      <c r="AJ318" s="186"/>
      <c r="AK318" s="186"/>
      <c r="AL318" s="186"/>
      <c r="AM318" s="186"/>
      <c r="AN318" s="186"/>
      <c r="AO318" s="186"/>
      <c r="AP318" s="186"/>
      <c r="AQ318" s="186"/>
      <c r="AR318" s="186"/>
      <c r="AS318" s="186"/>
      <c r="AT318" s="186"/>
      <c r="AU318" s="186"/>
      <c r="AV318" s="186"/>
      <c r="AW318" s="186"/>
      <c r="AX318" s="186"/>
      <c r="AY318" s="186"/>
      <c r="AZ318" s="186"/>
      <c r="BA318" s="186"/>
      <c r="BB318" s="186"/>
      <c r="BC318" s="186"/>
      <c r="BD318" s="186"/>
      <c r="BE318" s="186"/>
      <c r="BF318" s="186"/>
    </row>
    <row r="319">
      <c r="A319" s="164" t="s">
        <v>523</v>
      </c>
      <c r="B319" s="193">
        <v>0.4</v>
      </c>
      <c r="C319" s="193">
        <v>0.1</v>
      </c>
      <c r="D319" s="164" t="s">
        <v>305</v>
      </c>
      <c r="E319" s="145" t="s">
        <v>152</v>
      </c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  <c r="AA319" s="186"/>
      <c r="AB319" s="186"/>
      <c r="AC319" s="186"/>
      <c r="AD319" s="186"/>
      <c r="AE319" s="186"/>
      <c r="AF319" s="186"/>
      <c r="AG319" s="186"/>
      <c r="AH319" s="186"/>
      <c r="AI319" s="186"/>
      <c r="AJ319" s="186"/>
      <c r="AK319" s="186"/>
      <c r="AL319" s="186"/>
      <c r="AM319" s="186"/>
      <c r="AN319" s="186"/>
      <c r="AO319" s="186"/>
      <c r="AP319" s="186"/>
      <c r="AQ319" s="186"/>
      <c r="AR319" s="186"/>
      <c r="AS319" s="186"/>
      <c r="AT319" s="186"/>
      <c r="AU319" s="186"/>
      <c r="AV319" s="186"/>
      <c r="AW319" s="186"/>
      <c r="AX319" s="186"/>
      <c r="AY319" s="186"/>
      <c r="AZ319" s="186"/>
      <c r="BA319" s="186"/>
      <c r="BB319" s="186"/>
      <c r="BC319" s="186"/>
      <c r="BD319" s="186"/>
      <c r="BE319" s="186"/>
      <c r="BF319" s="186"/>
    </row>
    <row r="320">
      <c r="A320" s="185" t="s">
        <v>501</v>
      </c>
      <c r="B320" s="185">
        <v>2.4</v>
      </c>
      <c r="C320" s="185">
        <v>0.3</v>
      </c>
      <c r="D320" s="185" t="s">
        <v>304</v>
      </c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  <c r="AA320" s="186"/>
      <c r="AB320" s="186"/>
      <c r="AC320" s="186"/>
      <c r="AD320" s="186"/>
      <c r="AE320" s="186"/>
      <c r="AF320" s="186"/>
      <c r="AG320" s="186"/>
      <c r="AH320" s="186"/>
      <c r="AI320" s="186"/>
      <c r="AJ320" s="186"/>
      <c r="AK320" s="186"/>
      <c r="AL320" s="186"/>
      <c r="AM320" s="186"/>
      <c r="AN320" s="186"/>
      <c r="AO320" s="186"/>
      <c r="AP320" s="186"/>
      <c r="AQ320" s="186"/>
      <c r="AR320" s="186"/>
      <c r="AS320" s="186"/>
      <c r="AT320" s="186"/>
      <c r="AU320" s="186"/>
      <c r="AV320" s="186"/>
      <c r="AW320" s="186"/>
      <c r="AX320" s="186"/>
      <c r="AY320" s="186"/>
      <c r="AZ320" s="186"/>
      <c r="BA320" s="186"/>
      <c r="BB320" s="186"/>
      <c r="BC320" s="186"/>
      <c r="BD320" s="186"/>
      <c r="BE320" s="186"/>
      <c r="BF320" s="186"/>
    </row>
    <row r="321">
      <c r="A321" s="185" t="s">
        <v>502</v>
      </c>
      <c r="B321" s="185">
        <v>0.8</v>
      </c>
      <c r="C321" s="185">
        <v>0.15</v>
      </c>
      <c r="D321" s="185" t="s">
        <v>304</v>
      </c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  <c r="AA321" s="186"/>
      <c r="AB321" s="186"/>
      <c r="AC321" s="186"/>
      <c r="AD321" s="186"/>
      <c r="AE321" s="186"/>
      <c r="AF321" s="186"/>
      <c r="AG321" s="186"/>
      <c r="AH321" s="186"/>
      <c r="AI321" s="186"/>
      <c r="AJ321" s="186"/>
      <c r="AK321" s="186"/>
      <c r="AL321" s="186"/>
      <c r="AM321" s="186"/>
      <c r="AN321" s="186"/>
      <c r="AO321" s="186"/>
      <c r="AP321" s="186"/>
      <c r="AQ321" s="186"/>
      <c r="AR321" s="186"/>
      <c r="AS321" s="186"/>
      <c r="AT321" s="186"/>
      <c r="AU321" s="186"/>
      <c r="AV321" s="186"/>
      <c r="AW321" s="186"/>
      <c r="AX321" s="186"/>
      <c r="AY321" s="186"/>
      <c r="AZ321" s="186"/>
      <c r="BA321" s="186"/>
      <c r="BB321" s="186"/>
      <c r="BC321" s="186"/>
      <c r="BD321" s="186"/>
      <c r="BE321" s="186"/>
      <c r="BF321" s="186"/>
    </row>
    <row r="322">
      <c r="A322" s="185" t="s">
        <v>524</v>
      </c>
      <c r="B322" s="185">
        <v>2.0</v>
      </c>
      <c r="C322" s="185">
        <v>0.4</v>
      </c>
      <c r="D322" s="185" t="s">
        <v>304</v>
      </c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  <c r="AA322" s="186"/>
      <c r="AB322" s="186"/>
      <c r="AC322" s="186"/>
      <c r="AD322" s="186"/>
      <c r="AE322" s="186"/>
      <c r="AF322" s="186"/>
      <c r="AG322" s="186"/>
      <c r="AH322" s="186"/>
      <c r="AI322" s="186"/>
      <c r="AJ322" s="186"/>
      <c r="AK322" s="186"/>
      <c r="AL322" s="186"/>
      <c r="AM322" s="186"/>
      <c r="AN322" s="186"/>
      <c r="AO322" s="186"/>
      <c r="AP322" s="186"/>
      <c r="AQ322" s="186"/>
      <c r="AR322" s="186"/>
      <c r="AS322" s="186"/>
      <c r="AT322" s="186"/>
      <c r="AU322" s="186"/>
      <c r="AV322" s="186"/>
      <c r="AW322" s="186"/>
      <c r="AX322" s="186"/>
      <c r="AY322" s="186"/>
      <c r="AZ322" s="186"/>
      <c r="BA322" s="186"/>
      <c r="BB322" s="186"/>
      <c r="BC322" s="186"/>
      <c r="BD322" s="186"/>
      <c r="BE322" s="186"/>
      <c r="BF322" s="186"/>
    </row>
    <row r="323">
      <c r="A323" s="185" t="s">
        <v>514</v>
      </c>
      <c r="B323" s="185">
        <v>0.01</v>
      </c>
      <c r="C323" s="185">
        <v>0.0025</v>
      </c>
      <c r="D323" s="185" t="s">
        <v>303</v>
      </c>
      <c r="E323" s="185" t="s">
        <v>147</v>
      </c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  <c r="AA323" s="186"/>
      <c r="AB323" s="186"/>
      <c r="AC323" s="186"/>
      <c r="AD323" s="186"/>
      <c r="AE323" s="186"/>
      <c r="AF323" s="186"/>
      <c r="AG323" s="186"/>
      <c r="AH323" s="186"/>
      <c r="AI323" s="186"/>
      <c r="AJ323" s="186"/>
      <c r="AK323" s="186"/>
      <c r="AL323" s="186"/>
      <c r="AM323" s="186"/>
      <c r="AN323" s="186"/>
      <c r="AO323" s="186"/>
      <c r="AP323" s="186"/>
      <c r="AQ323" s="186"/>
      <c r="AR323" s="186"/>
      <c r="AS323" s="186"/>
      <c r="AT323" s="186"/>
      <c r="AU323" s="186"/>
      <c r="AV323" s="186"/>
      <c r="AW323" s="186"/>
      <c r="AX323" s="186"/>
      <c r="AY323" s="186"/>
      <c r="AZ323" s="186"/>
      <c r="BA323" s="186"/>
      <c r="BB323" s="186"/>
      <c r="BC323" s="186"/>
      <c r="BD323" s="186"/>
      <c r="BE323" s="186"/>
      <c r="BF323" s="186"/>
    </row>
    <row r="324">
      <c r="A324" s="185" t="s">
        <v>516</v>
      </c>
      <c r="B324" s="185">
        <v>1.6</v>
      </c>
      <c r="C324" s="185">
        <v>0.4</v>
      </c>
      <c r="D324" s="185" t="s">
        <v>304</v>
      </c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  <c r="AA324" s="186"/>
      <c r="AB324" s="186"/>
      <c r="AC324" s="186"/>
      <c r="AD324" s="186"/>
      <c r="AE324" s="186"/>
      <c r="AF324" s="186"/>
      <c r="AG324" s="186"/>
      <c r="AH324" s="186"/>
      <c r="AI324" s="186"/>
      <c r="AJ324" s="186"/>
      <c r="AK324" s="186"/>
      <c r="AL324" s="186"/>
      <c r="AM324" s="186"/>
      <c r="AN324" s="186"/>
      <c r="AO324" s="186"/>
      <c r="AP324" s="186"/>
      <c r="AQ324" s="186"/>
      <c r="AR324" s="186"/>
      <c r="AS324" s="186"/>
      <c r="AT324" s="186"/>
      <c r="AU324" s="186"/>
      <c r="AV324" s="186"/>
      <c r="AW324" s="186"/>
      <c r="AX324" s="186"/>
      <c r="AY324" s="186"/>
      <c r="AZ324" s="186"/>
      <c r="BA324" s="186"/>
      <c r="BB324" s="186"/>
      <c r="BC324" s="186"/>
      <c r="BD324" s="186"/>
      <c r="BE324" s="186"/>
      <c r="BF324" s="186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  <c r="AA325" s="186"/>
      <c r="AB325" s="186"/>
      <c r="AC325" s="186"/>
      <c r="AD325" s="186"/>
      <c r="AE325" s="186"/>
      <c r="AF325" s="186"/>
      <c r="AG325" s="186"/>
      <c r="AH325" s="186"/>
      <c r="AI325" s="186"/>
      <c r="AJ325" s="186"/>
      <c r="AK325" s="186"/>
      <c r="AL325" s="186"/>
      <c r="AM325" s="186"/>
      <c r="AN325" s="186"/>
      <c r="AO325" s="186"/>
      <c r="AP325" s="186"/>
      <c r="AQ325" s="186"/>
      <c r="AR325" s="186"/>
      <c r="AS325" s="186"/>
      <c r="AT325" s="186"/>
      <c r="AU325" s="186"/>
      <c r="AV325" s="186"/>
      <c r="AW325" s="186"/>
      <c r="AX325" s="186"/>
      <c r="AY325" s="186"/>
      <c r="AZ325" s="186"/>
      <c r="BA325" s="186"/>
      <c r="BB325" s="186"/>
      <c r="BC325" s="186"/>
      <c r="BD325" s="186"/>
      <c r="BE325" s="186"/>
      <c r="BF325" s="186"/>
    </row>
    <row r="326">
      <c r="A326" s="185" t="s">
        <v>175</v>
      </c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  <c r="AA326" s="186"/>
      <c r="AB326" s="186"/>
      <c r="AC326" s="186"/>
      <c r="AD326" s="186"/>
      <c r="AE326" s="186"/>
      <c r="AF326" s="186"/>
      <c r="AG326" s="186"/>
      <c r="AH326" s="186"/>
      <c r="AI326" s="186"/>
      <c r="AJ326" s="186"/>
      <c r="AK326" s="186"/>
      <c r="AL326" s="186"/>
      <c r="AM326" s="186"/>
      <c r="AN326" s="186"/>
      <c r="AO326" s="186"/>
      <c r="AP326" s="186"/>
      <c r="AQ326" s="186"/>
      <c r="AR326" s="186"/>
      <c r="AS326" s="186"/>
      <c r="AT326" s="186"/>
      <c r="AU326" s="186"/>
      <c r="AV326" s="186"/>
      <c r="AW326" s="186"/>
      <c r="AX326" s="186"/>
      <c r="AY326" s="186"/>
      <c r="AZ326" s="186"/>
      <c r="BA326" s="186"/>
      <c r="BB326" s="186"/>
      <c r="BC326" s="186"/>
      <c r="BD326" s="186"/>
      <c r="BE326" s="186"/>
      <c r="BF326" s="186"/>
    </row>
    <row r="327">
      <c r="A327" s="194" t="s">
        <v>306</v>
      </c>
      <c r="B327" s="194" t="s">
        <v>176</v>
      </c>
      <c r="C327" s="194" t="s">
        <v>177</v>
      </c>
      <c r="D327" s="194" t="s">
        <v>178</v>
      </c>
      <c r="E327" s="194" t="s">
        <v>179</v>
      </c>
      <c r="F327" s="194" t="s">
        <v>246</v>
      </c>
      <c r="G327" s="195" t="s">
        <v>270</v>
      </c>
      <c r="H327" s="195" t="s">
        <v>271</v>
      </c>
      <c r="I327" s="195" t="s">
        <v>181</v>
      </c>
      <c r="J327" s="195" t="s">
        <v>182</v>
      </c>
      <c r="K327" s="195" t="s">
        <v>183</v>
      </c>
      <c r="L327" s="196"/>
      <c r="M327" s="196"/>
      <c r="N327" s="196"/>
      <c r="O327" s="196"/>
      <c r="P327" s="196"/>
      <c r="Q327" s="194" t="s">
        <v>294</v>
      </c>
      <c r="R327" s="194" t="s">
        <v>525</v>
      </c>
      <c r="S327" s="195" t="s">
        <v>274</v>
      </c>
      <c r="T327" s="195" t="s">
        <v>293</v>
      </c>
      <c r="U327" s="196"/>
      <c r="V327" s="196"/>
      <c r="W327" s="196"/>
      <c r="X327" s="196"/>
      <c r="Y327" s="196"/>
      <c r="Z327" s="196"/>
      <c r="AA327" s="196"/>
      <c r="AB327" s="196"/>
      <c r="AC327" s="196"/>
      <c r="AD327" s="196"/>
      <c r="AE327" s="196"/>
      <c r="AF327" s="196"/>
      <c r="AG327" s="194" t="s">
        <v>526</v>
      </c>
      <c r="AH327" s="194" t="s">
        <v>527</v>
      </c>
      <c r="AI327" s="195" t="s">
        <v>189</v>
      </c>
      <c r="AJ327" s="195" t="s">
        <v>192</v>
      </c>
      <c r="AK327" s="196"/>
      <c r="AL327" s="196"/>
      <c r="AM327" s="196"/>
      <c r="AN327" s="196"/>
      <c r="AO327" s="196"/>
      <c r="AP327" s="196"/>
      <c r="AQ327" s="196"/>
      <c r="AR327" s="196"/>
      <c r="AS327" s="196"/>
      <c r="AT327" s="196"/>
      <c r="AU327" s="196"/>
      <c r="AV327" s="196"/>
      <c r="AW327" s="196"/>
      <c r="AX327" s="196"/>
      <c r="AY327" s="196"/>
      <c r="AZ327" s="196"/>
      <c r="BA327" s="196"/>
      <c r="BB327" s="196"/>
      <c r="BC327" s="196"/>
      <c r="BD327" s="196"/>
      <c r="BE327" s="196"/>
      <c r="BF327" s="196"/>
    </row>
    <row r="328">
      <c r="A328" s="197"/>
      <c r="B328" s="195" t="s">
        <v>528</v>
      </c>
      <c r="C328" s="195" t="s">
        <v>528</v>
      </c>
      <c r="D328" s="195" t="s">
        <v>528</v>
      </c>
      <c r="E328" s="195" t="s">
        <v>528</v>
      </c>
      <c r="F328" s="195" t="s">
        <v>528</v>
      </c>
      <c r="G328" s="195" t="s">
        <v>528</v>
      </c>
      <c r="H328" s="195" t="s">
        <v>528</v>
      </c>
      <c r="I328" s="195" t="s">
        <v>529</v>
      </c>
      <c r="J328" s="195" t="s">
        <v>529</v>
      </c>
      <c r="K328" s="195" t="s">
        <v>529</v>
      </c>
      <c r="L328" s="196"/>
      <c r="M328" s="196"/>
      <c r="N328" s="196"/>
      <c r="O328" s="196"/>
      <c r="P328" s="196"/>
      <c r="Q328" s="195" t="s">
        <v>530</v>
      </c>
      <c r="R328" s="195" t="s">
        <v>530</v>
      </c>
      <c r="S328" s="195" t="s">
        <v>531</v>
      </c>
      <c r="T328" s="195" t="s">
        <v>531</v>
      </c>
      <c r="U328" s="196"/>
      <c r="V328" s="196"/>
      <c r="W328" s="196"/>
      <c r="X328" s="196"/>
      <c r="Y328" s="196"/>
      <c r="Z328" s="196"/>
      <c r="AA328" s="196"/>
      <c r="AB328" s="196"/>
      <c r="AC328" s="196"/>
      <c r="AD328" s="196"/>
      <c r="AE328" s="196"/>
      <c r="AF328" s="196"/>
      <c r="AG328" s="195" t="s">
        <v>530</v>
      </c>
      <c r="AH328" s="195" t="s">
        <v>530</v>
      </c>
      <c r="AI328" s="195" t="s">
        <v>531</v>
      </c>
      <c r="AJ328" s="195" t="s">
        <v>531</v>
      </c>
      <c r="AK328" s="196"/>
      <c r="AL328" s="196"/>
      <c r="AM328" s="196"/>
      <c r="AN328" s="196"/>
      <c r="AO328" s="196"/>
      <c r="AP328" s="196"/>
      <c r="AQ328" s="196"/>
      <c r="AR328" s="196"/>
      <c r="AS328" s="196"/>
      <c r="AT328" s="196"/>
      <c r="AU328" s="196"/>
      <c r="AV328" s="196"/>
      <c r="AW328" s="196"/>
      <c r="AX328" s="196"/>
      <c r="AY328" s="196"/>
      <c r="AZ328" s="196"/>
      <c r="BA328" s="196"/>
      <c r="BB328" s="196"/>
      <c r="BC328" s="196"/>
      <c r="BD328" s="196"/>
      <c r="BE328" s="196"/>
      <c r="BF328" s="196"/>
    </row>
    <row r="329">
      <c r="A329" s="197"/>
      <c r="B329" s="198">
        <v>0.3674</v>
      </c>
      <c r="C329" s="198">
        <v>0.3674</v>
      </c>
      <c r="D329" s="198">
        <v>0.4745</v>
      </c>
      <c r="E329" s="198">
        <v>0.4975</v>
      </c>
      <c r="F329" s="198">
        <v>0.6207</v>
      </c>
      <c r="G329" s="198">
        <v>0.473</v>
      </c>
      <c r="H329" s="198">
        <v>0.602</v>
      </c>
      <c r="I329" s="198">
        <v>0.6393</v>
      </c>
      <c r="J329" s="198">
        <v>1.2784</v>
      </c>
      <c r="K329" s="198">
        <v>1.5968</v>
      </c>
      <c r="L329" s="196"/>
      <c r="M329" s="196"/>
      <c r="N329" s="196"/>
      <c r="O329" s="196"/>
      <c r="P329" s="196"/>
      <c r="Q329" s="198">
        <v>1.304</v>
      </c>
      <c r="R329" s="198">
        <v>1.336</v>
      </c>
      <c r="S329" s="199">
        <v>0.25</v>
      </c>
      <c r="T329" s="199">
        <v>0.3</v>
      </c>
      <c r="U329" s="196"/>
      <c r="V329" s="196"/>
      <c r="W329" s="196"/>
      <c r="X329" s="196"/>
      <c r="Y329" s="196"/>
      <c r="Z329" s="196"/>
      <c r="AA329" s="196"/>
      <c r="AB329" s="196"/>
      <c r="AC329" s="196"/>
      <c r="AD329" s="196"/>
      <c r="AE329" s="196"/>
      <c r="AF329" s="196"/>
      <c r="AG329" s="198">
        <v>3.672</v>
      </c>
      <c r="AH329" s="198">
        <v>0.72</v>
      </c>
      <c r="AI329" s="200">
        <v>0.3</v>
      </c>
      <c r="AJ329" s="195">
        <v>125.0</v>
      </c>
      <c r="AK329" s="196"/>
      <c r="AL329" s="196"/>
      <c r="AM329" s="196"/>
      <c r="AN329" s="196"/>
      <c r="AO329" s="196"/>
      <c r="AP329" s="196"/>
      <c r="AQ329" s="196"/>
      <c r="AR329" s="196"/>
      <c r="AS329" s="196"/>
      <c r="AT329" s="196"/>
      <c r="AU329" s="196"/>
      <c r="AV329" s="196"/>
      <c r="AW329" s="196"/>
      <c r="AX329" s="196"/>
      <c r="AY329" s="196"/>
      <c r="AZ329" s="196"/>
      <c r="BA329" s="196"/>
      <c r="BB329" s="196"/>
      <c r="BC329" s="196"/>
      <c r="BD329" s="196"/>
      <c r="BE329" s="196"/>
      <c r="BF329" s="196"/>
    </row>
    <row r="330">
      <c r="A330" s="197"/>
      <c r="B330" s="201" t="s">
        <v>304</v>
      </c>
      <c r="C330" s="201" t="s">
        <v>304</v>
      </c>
      <c r="D330" s="201" t="s">
        <v>304</v>
      </c>
      <c r="E330" s="201" t="s">
        <v>304</v>
      </c>
      <c r="F330" s="201" t="s">
        <v>304</v>
      </c>
      <c r="G330" s="201" t="s">
        <v>304</v>
      </c>
      <c r="H330" s="201" t="s">
        <v>304</v>
      </c>
      <c r="I330" s="201" t="s">
        <v>304</v>
      </c>
      <c r="J330" s="201" t="s">
        <v>304</v>
      </c>
      <c r="K330" s="201" t="s">
        <v>304</v>
      </c>
      <c r="L330" s="196"/>
      <c r="M330" s="196"/>
      <c r="N330" s="196"/>
      <c r="O330" s="196"/>
      <c r="P330" s="196"/>
      <c r="Q330" s="201" t="s">
        <v>304</v>
      </c>
      <c r="R330" s="201" t="s">
        <v>305</v>
      </c>
      <c r="S330" s="195"/>
      <c r="T330" s="195"/>
      <c r="U330" s="196"/>
      <c r="V330" s="196"/>
      <c r="W330" s="196"/>
      <c r="X330" s="196"/>
      <c r="Y330" s="196"/>
      <c r="Z330" s="196"/>
      <c r="AA330" s="196"/>
      <c r="AB330" s="196"/>
      <c r="AC330" s="196"/>
      <c r="AD330" s="196"/>
      <c r="AE330" s="196"/>
      <c r="AF330" s="196"/>
      <c r="AG330" s="201" t="s">
        <v>304</v>
      </c>
      <c r="AH330" s="201" t="s">
        <v>304</v>
      </c>
      <c r="AI330" s="195" t="s">
        <v>305</v>
      </c>
      <c r="AJ330" s="195"/>
      <c r="AK330" s="196"/>
      <c r="AL330" s="196"/>
      <c r="AM330" s="196"/>
      <c r="AN330" s="196"/>
      <c r="AO330" s="196"/>
      <c r="AP330" s="196"/>
      <c r="AQ330" s="196"/>
      <c r="AR330" s="196"/>
      <c r="AS330" s="196"/>
      <c r="AT330" s="196"/>
      <c r="AU330" s="196"/>
      <c r="AV330" s="196"/>
      <c r="AW330" s="196"/>
      <c r="AX330" s="196"/>
      <c r="AY330" s="196"/>
      <c r="AZ330" s="196"/>
      <c r="BA330" s="196"/>
      <c r="BB330" s="196"/>
      <c r="BC330" s="196"/>
      <c r="BD330" s="196"/>
      <c r="BE330" s="196"/>
      <c r="BF330" s="196"/>
    </row>
    <row r="331">
      <c r="A331" s="197"/>
      <c r="B331" s="201" t="s">
        <v>147</v>
      </c>
      <c r="C331" s="201" t="s">
        <v>147</v>
      </c>
      <c r="D331" s="201" t="s">
        <v>147</v>
      </c>
      <c r="E331" s="201" t="s">
        <v>147</v>
      </c>
      <c r="F331" s="201" t="s">
        <v>147</v>
      </c>
      <c r="G331" s="201" t="s">
        <v>152</v>
      </c>
      <c r="H331" s="201" t="s">
        <v>152</v>
      </c>
      <c r="I331" s="201" t="s">
        <v>157</v>
      </c>
      <c r="J331" s="201" t="s">
        <v>157</v>
      </c>
      <c r="K331" s="201" t="s">
        <v>157</v>
      </c>
      <c r="L331" s="196"/>
      <c r="M331" s="196"/>
      <c r="N331" s="196"/>
      <c r="O331" s="196"/>
      <c r="P331" s="196"/>
      <c r="Q331" s="201" t="s">
        <v>160</v>
      </c>
      <c r="R331" s="201" t="s">
        <v>160</v>
      </c>
      <c r="S331" s="196"/>
      <c r="T331" s="196"/>
      <c r="U331" s="196"/>
      <c r="V331" s="196"/>
      <c r="W331" s="196"/>
      <c r="X331" s="196"/>
      <c r="Y331" s="196"/>
      <c r="Z331" s="196"/>
      <c r="AA331" s="196"/>
      <c r="AB331" s="196"/>
      <c r="AC331" s="196"/>
      <c r="AD331" s="196"/>
      <c r="AE331" s="196"/>
      <c r="AF331" s="196"/>
      <c r="AG331" s="201" t="s">
        <v>164</v>
      </c>
      <c r="AH331" s="201" t="s">
        <v>164</v>
      </c>
      <c r="AI331" s="195" t="s">
        <v>164</v>
      </c>
      <c r="AJ331" s="196"/>
      <c r="AK331" s="196"/>
      <c r="AL331" s="196"/>
      <c r="AM331" s="196"/>
      <c r="AN331" s="196"/>
      <c r="AO331" s="196"/>
      <c r="AP331" s="196"/>
      <c r="AQ331" s="196"/>
      <c r="AR331" s="196"/>
      <c r="AS331" s="196"/>
      <c r="AT331" s="196"/>
      <c r="AU331" s="196"/>
      <c r="AV331" s="196"/>
      <c r="AW331" s="196"/>
      <c r="AX331" s="196"/>
      <c r="AY331" s="196"/>
      <c r="AZ331" s="196"/>
      <c r="BA331" s="196"/>
      <c r="BB331" s="196"/>
      <c r="BC331" s="196"/>
      <c r="BD331" s="196"/>
      <c r="BE331" s="196"/>
      <c r="BF331" s="196"/>
    </row>
    <row r="332">
      <c r="A332" s="145" t="s">
        <v>308</v>
      </c>
      <c r="B332" s="164" t="s">
        <v>532</v>
      </c>
      <c r="C332" s="164" t="s">
        <v>533</v>
      </c>
      <c r="D332" s="164" t="s">
        <v>177</v>
      </c>
      <c r="E332" s="164" t="s">
        <v>178</v>
      </c>
      <c r="F332" s="164" t="s">
        <v>179</v>
      </c>
      <c r="G332" s="193" t="s">
        <v>534</v>
      </c>
      <c r="H332" s="164" t="s">
        <v>535</v>
      </c>
      <c r="I332" s="164" t="s">
        <v>181</v>
      </c>
      <c r="J332" s="164" t="s">
        <v>182</v>
      </c>
      <c r="K332" s="202" t="s">
        <v>183</v>
      </c>
      <c r="L332" s="145"/>
      <c r="M332" s="145"/>
      <c r="N332" s="145"/>
      <c r="O332" s="145"/>
      <c r="P332" s="145"/>
      <c r="Q332" s="164" t="s">
        <v>536</v>
      </c>
      <c r="R332" s="164" t="s">
        <v>537</v>
      </c>
      <c r="S332" s="145" t="s">
        <v>538</v>
      </c>
      <c r="T332" s="203" t="s">
        <v>539</v>
      </c>
      <c r="U332" s="146" t="s">
        <v>540</v>
      </c>
      <c r="V332" s="146" t="s">
        <v>541</v>
      </c>
      <c r="W332" s="146" t="s">
        <v>192</v>
      </c>
      <c r="X332" s="145"/>
      <c r="Y332" s="145"/>
      <c r="Z332" s="145"/>
      <c r="AA332" s="145"/>
      <c r="AB332" s="145"/>
      <c r="AC332" s="145"/>
      <c r="AD332" s="145"/>
      <c r="AE332" s="145"/>
      <c r="AF332" s="145"/>
      <c r="AG332" s="202" t="s">
        <v>542</v>
      </c>
      <c r="AH332" s="164"/>
      <c r="AI332" s="164"/>
      <c r="AJ332" s="145"/>
      <c r="AK332" s="145"/>
      <c r="AL332" s="145"/>
      <c r="AM332" s="145"/>
      <c r="AN332" s="145"/>
      <c r="AO332" s="145"/>
      <c r="AP332" s="145"/>
      <c r="AQ332" s="145"/>
      <c r="AR332" s="145"/>
      <c r="AS332" s="145"/>
      <c r="AT332" s="145"/>
      <c r="AU332" s="145"/>
      <c r="AV332" s="145"/>
      <c r="AW332" s="145"/>
      <c r="AX332" s="145"/>
      <c r="AY332" s="145"/>
      <c r="AZ332" s="145"/>
      <c r="BA332" s="145"/>
      <c r="BB332" s="145"/>
      <c r="BC332" s="145"/>
      <c r="BD332" s="145"/>
      <c r="BE332" s="145"/>
      <c r="BF332" s="145"/>
    </row>
    <row r="333">
      <c r="A333" s="145"/>
      <c r="B333" s="164" t="s">
        <v>528</v>
      </c>
      <c r="C333" s="164" t="s">
        <v>528</v>
      </c>
      <c r="D333" s="164" t="s">
        <v>528</v>
      </c>
      <c r="E333" s="164" t="s">
        <v>528</v>
      </c>
      <c r="F333" s="164" t="s">
        <v>528</v>
      </c>
      <c r="G333" s="164" t="s">
        <v>529</v>
      </c>
      <c r="H333" s="164" t="s">
        <v>530</v>
      </c>
      <c r="I333" s="164" t="s">
        <v>529</v>
      </c>
      <c r="J333" s="164" t="s">
        <v>529</v>
      </c>
      <c r="K333" s="164" t="s">
        <v>529</v>
      </c>
      <c r="L333" s="145"/>
      <c r="M333" s="145"/>
      <c r="N333" s="145"/>
      <c r="O333" s="145"/>
      <c r="P333" s="145"/>
      <c r="Q333" s="164" t="s">
        <v>530</v>
      </c>
      <c r="R333" s="164" t="s">
        <v>530</v>
      </c>
      <c r="S333" s="145" t="s">
        <v>543</v>
      </c>
      <c r="T333" s="145" t="s">
        <v>544</v>
      </c>
      <c r="U333" s="146" t="s">
        <v>531</v>
      </c>
      <c r="V333" s="146" t="s">
        <v>531</v>
      </c>
      <c r="W333" s="146" t="s">
        <v>531</v>
      </c>
      <c r="X333" s="145"/>
      <c r="Y333" s="145"/>
      <c r="Z333" s="145"/>
      <c r="AA333" s="145"/>
      <c r="AB333" s="145"/>
      <c r="AC333" s="145"/>
      <c r="AD333" s="145"/>
      <c r="AE333" s="145"/>
      <c r="AF333" s="145"/>
      <c r="AG333" s="193" t="s">
        <v>530</v>
      </c>
      <c r="AH333" s="164"/>
      <c r="AI333" s="164"/>
      <c r="AJ333" s="145"/>
      <c r="AK333" s="145"/>
      <c r="AL333" s="145"/>
      <c r="AM333" s="145"/>
      <c r="AN333" s="145"/>
      <c r="AO333" s="145"/>
      <c r="AP333" s="145"/>
      <c r="AQ333" s="145"/>
      <c r="AR333" s="145"/>
      <c r="AS333" s="145"/>
      <c r="AT333" s="145"/>
      <c r="AU333" s="145"/>
      <c r="AV333" s="145"/>
      <c r="AW333" s="145"/>
      <c r="AX333" s="145"/>
      <c r="AY333" s="145"/>
      <c r="AZ333" s="145"/>
      <c r="BA333" s="145"/>
      <c r="BB333" s="145"/>
      <c r="BC333" s="145"/>
      <c r="BD333" s="145"/>
      <c r="BE333" s="145"/>
      <c r="BF333" s="145"/>
    </row>
    <row r="334">
      <c r="A334" s="145"/>
      <c r="B334" s="204">
        <v>0.2112</v>
      </c>
      <c r="C334" s="204">
        <v>0.2376</v>
      </c>
      <c r="D334" s="204">
        <v>0.4312</v>
      </c>
      <c r="E334" s="204">
        <v>0.528</v>
      </c>
      <c r="F334" s="204">
        <v>0.6565</v>
      </c>
      <c r="G334" s="204">
        <v>0.4386</v>
      </c>
      <c r="H334" s="205">
        <v>1.24</v>
      </c>
      <c r="I334" s="204">
        <v>0.5683</v>
      </c>
      <c r="J334" s="204">
        <v>1.1363</v>
      </c>
      <c r="K334" s="204">
        <v>1.4193</v>
      </c>
      <c r="L334" s="145"/>
      <c r="M334" s="145"/>
      <c r="N334" s="145"/>
      <c r="O334" s="145"/>
      <c r="P334" s="145"/>
      <c r="Q334" s="204">
        <v>1.776</v>
      </c>
      <c r="R334" s="205">
        <v>0.4</v>
      </c>
      <c r="S334" s="204">
        <v>0.0585</v>
      </c>
      <c r="T334" s="204">
        <v>0.2923</v>
      </c>
      <c r="U334" s="206">
        <v>0.16</v>
      </c>
      <c r="V334" s="207">
        <v>0.08</v>
      </c>
      <c r="W334" s="206">
        <v>0.035</v>
      </c>
      <c r="X334" s="145"/>
      <c r="Y334" s="145"/>
      <c r="Z334" s="145"/>
      <c r="AA334" s="145"/>
      <c r="AB334" s="145"/>
      <c r="AC334" s="145"/>
      <c r="AD334" s="145"/>
      <c r="AE334" s="145"/>
      <c r="AF334" s="145"/>
      <c r="AG334" s="204">
        <v>3.592</v>
      </c>
      <c r="AH334" s="164"/>
      <c r="AI334" s="164"/>
      <c r="AJ334" s="145"/>
      <c r="AK334" s="145"/>
      <c r="AL334" s="145"/>
      <c r="AM334" s="145"/>
      <c r="AN334" s="145"/>
      <c r="AO334" s="145"/>
      <c r="AP334" s="145"/>
      <c r="AQ334" s="145"/>
      <c r="AR334" s="145"/>
      <c r="AS334" s="145"/>
      <c r="AT334" s="145"/>
      <c r="AU334" s="145"/>
      <c r="AV334" s="145"/>
      <c r="AW334" s="145"/>
      <c r="AX334" s="145"/>
      <c r="AY334" s="145"/>
      <c r="AZ334" s="145"/>
      <c r="BA334" s="145"/>
      <c r="BB334" s="145"/>
      <c r="BC334" s="145"/>
      <c r="BD334" s="145"/>
      <c r="BE334" s="145"/>
      <c r="BF334" s="145"/>
    </row>
    <row r="335">
      <c r="A335" s="145"/>
      <c r="B335" s="193" t="s">
        <v>304</v>
      </c>
      <c r="C335" s="193" t="s">
        <v>304</v>
      </c>
      <c r="D335" s="193" t="s">
        <v>304</v>
      </c>
      <c r="E335" s="193" t="s">
        <v>304</v>
      </c>
      <c r="F335" s="193" t="s">
        <v>304</v>
      </c>
      <c r="G335" s="193" t="s">
        <v>304</v>
      </c>
      <c r="H335" s="193" t="s">
        <v>304</v>
      </c>
      <c r="I335" s="193" t="s">
        <v>304</v>
      </c>
      <c r="J335" s="193" t="s">
        <v>304</v>
      </c>
      <c r="K335" s="193" t="s">
        <v>304</v>
      </c>
      <c r="L335" s="145"/>
      <c r="M335" s="145"/>
      <c r="N335" s="145"/>
      <c r="O335" s="145"/>
      <c r="P335" s="145"/>
      <c r="Q335" s="193" t="s">
        <v>304</v>
      </c>
      <c r="R335" s="193" t="s">
        <v>304</v>
      </c>
      <c r="S335" s="208"/>
      <c r="T335" s="208"/>
      <c r="U335" s="146"/>
      <c r="V335" s="146"/>
      <c r="W335" s="146"/>
      <c r="X335" s="145"/>
      <c r="Y335" s="145"/>
      <c r="Z335" s="145"/>
      <c r="AA335" s="145"/>
      <c r="AB335" s="145"/>
      <c r="AC335" s="145"/>
      <c r="AD335" s="145"/>
      <c r="AE335" s="145"/>
      <c r="AF335" s="145"/>
      <c r="AG335" s="193" t="s">
        <v>304</v>
      </c>
      <c r="AH335" s="164"/>
      <c r="AI335" s="164"/>
      <c r="AJ335" s="145"/>
      <c r="AK335" s="145"/>
      <c r="AL335" s="145"/>
      <c r="AM335" s="145"/>
      <c r="AN335" s="145"/>
      <c r="AO335" s="145"/>
      <c r="AP335" s="145"/>
      <c r="AQ335" s="145"/>
      <c r="AR335" s="145"/>
      <c r="AS335" s="145"/>
      <c r="AT335" s="145"/>
      <c r="AU335" s="145"/>
      <c r="AV335" s="145"/>
      <c r="AW335" s="145"/>
      <c r="AX335" s="145"/>
      <c r="AY335" s="145"/>
      <c r="AZ335" s="145"/>
      <c r="BA335" s="145"/>
      <c r="BB335" s="145"/>
      <c r="BC335" s="145"/>
      <c r="BD335" s="145"/>
      <c r="BE335" s="145"/>
      <c r="BF335" s="145"/>
    </row>
    <row r="336">
      <c r="A336" s="145"/>
      <c r="B336" s="164" t="s">
        <v>147</v>
      </c>
      <c r="C336" s="164" t="s">
        <v>147</v>
      </c>
      <c r="D336" s="164" t="s">
        <v>147</v>
      </c>
      <c r="E336" s="164" t="s">
        <v>147</v>
      </c>
      <c r="F336" s="164" t="s">
        <v>147</v>
      </c>
      <c r="G336" s="164" t="s">
        <v>152</v>
      </c>
      <c r="H336" s="164" t="s">
        <v>152</v>
      </c>
      <c r="I336" s="164" t="s">
        <v>157</v>
      </c>
      <c r="J336" s="164" t="s">
        <v>157</v>
      </c>
      <c r="K336" s="164" t="s">
        <v>157</v>
      </c>
      <c r="L336" s="145"/>
      <c r="M336" s="145"/>
      <c r="N336" s="145"/>
      <c r="O336" s="145"/>
      <c r="P336" s="145"/>
      <c r="Q336" s="164" t="s">
        <v>160</v>
      </c>
      <c r="R336" s="164" t="s">
        <v>160</v>
      </c>
      <c r="S336" s="188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/>
      <c r="AE336" s="145"/>
      <c r="AF336" s="145"/>
      <c r="AG336" s="193" t="s">
        <v>164</v>
      </c>
      <c r="AH336" s="164"/>
      <c r="AI336" s="164"/>
      <c r="AJ336" s="145"/>
      <c r="AK336" s="145"/>
      <c r="AL336" s="145"/>
      <c r="AM336" s="145"/>
      <c r="AN336" s="145"/>
      <c r="AO336" s="145"/>
      <c r="AP336" s="145"/>
      <c r="AQ336" s="145"/>
      <c r="AR336" s="145"/>
      <c r="AS336" s="145"/>
      <c r="AT336" s="145"/>
      <c r="AU336" s="145"/>
      <c r="AV336" s="145"/>
      <c r="AW336" s="145"/>
      <c r="AX336" s="145"/>
      <c r="AY336" s="145"/>
      <c r="AZ336" s="145"/>
      <c r="BA336" s="145"/>
      <c r="BB336" s="145"/>
      <c r="BC336" s="145"/>
      <c r="BD336" s="145"/>
      <c r="BE336" s="145"/>
      <c r="BF336" s="145"/>
    </row>
    <row r="337">
      <c r="A337" s="194" t="s">
        <v>309</v>
      </c>
      <c r="B337" s="195" t="s">
        <v>176</v>
      </c>
      <c r="C337" s="195" t="s">
        <v>177</v>
      </c>
      <c r="D337" s="195" t="s">
        <v>178</v>
      </c>
      <c r="E337" s="195" t="s">
        <v>179</v>
      </c>
      <c r="F337" s="195" t="s">
        <v>246</v>
      </c>
      <c r="G337" s="195" t="s">
        <v>534</v>
      </c>
      <c r="H337" s="195" t="s">
        <v>535</v>
      </c>
      <c r="I337" s="195" t="s">
        <v>181</v>
      </c>
      <c r="J337" s="195" t="s">
        <v>182</v>
      </c>
      <c r="K337" s="195" t="s">
        <v>183</v>
      </c>
      <c r="L337" s="195" t="s">
        <v>248</v>
      </c>
      <c r="M337" s="196"/>
      <c r="N337" s="196"/>
      <c r="O337" s="196"/>
      <c r="P337" s="196"/>
      <c r="Q337" s="195" t="s">
        <v>545</v>
      </c>
      <c r="R337" s="195" t="s">
        <v>292</v>
      </c>
      <c r="S337" s="195" t="s">
        <v>189</v>
      </c>
      <c r="T337" s="196"/>
      <c r="U337" s="196"/>
      <c r="V337" s="196"/>
      <c r="W337" s="196"/>
      <c r="X337" s="196"/>
      <c r="Y337" s="196"/>
      <c r="Z337" s="196"/>
      <c r="AA337" s="196"/>
      <c r="AB337" s="196"/>
      <c r="AC337" s="196"/>
      <c r="AD337" s="196"/>
      <c r="AE337" s="196"/>
      <c r="AF337" s="196"/>
      <c r="AG337" s="195" t="s">
        <v>546</v>
      </c>
      <c r="AH337" s="195" t="s">
        <v>547</v>
      </c>
      <c r="AI337" s="195" t="s">
        <v>274</v>
      </c>
      <c r="AJ337" s="195" t="s">
        <v>192</v>
      </c>
      <c r="AK337" s="195" t="s">
        <v>253</v>
      </c>
      <c r="AL337" s="196"/>
      <c r="AM337" s="196"/>
      <c r="AN337" s="196"/>
      <c r="AO337" s="196"/>
      <c r="AP337" s="196"/>
      <c r="AQ337" s="196"/>
      <c r="AR337" s="196"/>
      <c r="AS337" s="196"/>
      <c r="AT337" s="196"/>
      <c r="AU337" s="196"/>
      <c r="AV337" s="196"/>
      <c r="AW337" s="196"/>
      <c r="AX337" s="196"/>
      <c r="AY337" s="196"/>
      <c r="AZ337" s="196"/>
      <c r="BA337" s="196"/>
      <c r="BB337" s="196"/>
      <c r="BC337" s="196"/>
      <c r="BD337" s="196"/>
      <c r="BE337" s="196"/>
      <c r="BF337" s="196"/>
    </row>
    <row r="338">
      <c r="A338" s="197"/>
      <c r="B338" s="195" t="s">
        <v>529</v>
      </c>
      <c r="C338" s="195" t="s">
        <v>529</v>
      </c>
      <c r="D338" s="195" t="s">
        <v>529</v>
      </c>
      <c r="E338" s="195" t="s">
        <v>529</v>
      </c>
      <c r="F338" s="195" t="s">
        <v>529</v>
      </c>
      <c r="G338" s="195" t="s">
        <v>530</v>
      </c>
      <c r="H338" s="195" t="s">
        <v>530</v>
      </c>
      <c r="I338" s="195" t="s">
        <v>529</v>
      </c>
      <c r="J338" s="195" t="s">
        <v>529</v>
      </c>
      <c r="K338" s="195" t="s">
        <v>529</v>
      </c>
      <c r="L338" s="195" t="s">
        <v>531</v>
      </c>
      <c r="M338" s="196"/>
      <c r="N338" s="196"/>
      <c r="O338" s="196"/>
      <c r="P338" s="196"/>
      <c r="Q338" s="195" t="s">
        <v>544</v>
      </c>
      <c r="R338" s="195" t="s">
        <v>530</v>
      </c>
      <c r="S338" s="195" t="s">
        <v>531</v>
      </c>
      <c r="T338" s="196"/>
      <c r="U338" s="196"/>
      <c r="V338" s="196"/>
      <c r="W338" s="196"/>
      <c r="X338" s="196"/>
      <c r="Y338" s="196"/>
      <c r="Z338" s="196"/>
      <c r="AA338" s="196"/>
      <c r="AB338" s="196"/>
      <c r="AC338" s="196"/>
      <c r="AD338" s="196"/>
      <c r="AE338" s="196"/>
      <c r="AF338" s="196"/>
      <c r="AG338" s="195" t="s">
        <v>530</v>
      </c>
      <c r="AH338" s="195" t="s">
        <v>530</v>
      </c>
      <c r="AI338" s="195" t="s">
        <v>531</v>
      </c>
      <c r="AJ338" s="195" t="s">
        <v>531</v>
      </c>
      <c r="AK338" s="195" t="s">
        <v>531</v>
      </c>
      <c r="AL338" s="196"/>
      <c r="AM338" s="196"/>
      <c r="AN338" s="196"/>
      <c r="AO338" s="196"/>
      <c r="AP338" s="196"/>
      <c r="AQ338" s="196"/>
      <c r="AR338" s="196"/>
      <c r="AS338" s="196"/>
      <c r="AT338" s="196"/>
      <c r="AU338" s="196"/>
      <c r="AV338" s="196"/>
      <c r="AW338" s="196"/>
      <c r="AX338" s="196"/>
      <c r="AY338" s="196"/>
      <c r="AZ338" s="196"/>
      <c r="BA338" s="196"/>
      <c r="BB338" s="196"/>
      <c r="BC338" s="196"/>
      <c r="BD338" s="196"/>
      <c r="BE338" s="196"/>
      <c r="BF338" s="196"/>
    </row>
    <row r="339">
      <c r="A339" s="197"/>
      <c r="B339" s="198">
        <v>0.3612</v>
      </c>
      <c r="C339" s="198">
        <v>0.3612</v>
      </c>
      <c r="D339" s="198">
        <v>0.4644</v>
      </c>
      <c r="E339" s="198">
        <v>0.473</v>
      </c>
      <c r="F339" s="198">
        <v>0.5934</v>
      </c>
      <c r="G339" s="198">
        <v>0.4386</v>
      </c>
      <c r="H339" s="198">
        <v>1.24</v>
      </c>
      <c r="I339" s="198">
        <v>0.5683</v>
      </c>
      <c r="J339" s="198">
        <v>1.1366</v>
      </c>
      <c r="K339" s="198">
        <v>1.4208</v>
      </c>
      <c r="L339" s="199">
        <v>0.2</v>
      </c>
      <c r="M339" s="196"/>
      <c r="N339" s="196"/>
      <c r="O339" s="196"/>
      <c r="P339" s="196"/>
      <c r="Q339" s="198">
        <v>0.4136</v>
      </c>
      <c r="R339" s="198">
        <v>1.232</v>
      </c>
      <c r="S339" s="199">
        <v>2.0</v>
      </c>
      <c r="T339" s="196"/>
      <c r="U339" s="196"/>
      <c r="V339" s="196"/>
      <c r="W339" s="196"/>
      <c r="X339" s="196"/>
      <c r="Y339" s="196"/>
      <c r="Z339" s="196"/>
      <c r="AA339" s="196"/>
      <c r="AB339" s="196"/>
      <c r="AC339" s="196"/>
      <c r="AD339" s="196"/>
      <c r="AE339" s="196"/>
      <c r="AF339" s="196"/>
      <c r="AG339" s="198">
        <v>0.2808</v>
      </c>
      <c r="AH339" s="198">
        <v>5.0544</v>
      </c>
      <c r="AI339" s="199">
        <v>0.1</v>
      </c>
      <c r="AJ339" s="199">
        <v>0.15</v>
      </c>
      <c r="AK339" s="199">
        <v>0.15</v>
      </c>
      <c r="AL339" s="196"/>
      <c r="AM339" s="196"/>
      <c r="AN339" s="196"/>
      <c r="AO339" s="196"/>
      <c r="AP339" s="196"/>
      <c r="AQ339" s="196"/>
      <c r="AR339" s="196"/>
      <c r="AS339" s="196"/>
      <c r="AT339" s="196"/>
      <c r="AU339" s="196"/>
      <c r="AV339" s="196"/>
      <c r="AW339" s="196"/>
      <c r="AX339" s="196"/>
      <c r="AY339" s="196"/>
      <c r="AZ339" s="196"/>
      <c r="BA339" s="196"/>
      <c r="BB339" s="196"/>
      <c r="BC339" s="196"/>
      <c r="BD339" s="196"/>
      <c r="BE339" s="196"/>
      <c r="BF339" s="196"/>
    </row>
    <row r="340">
      <c r="A340" s="197"/>
      <c r="B340" s="201" t="s">
        <v>304</v>
      </c>
      <c r="C340" s="201" t="s">
        <v>304</v>
      </c>
      <c r="D340" s="201" t="s">
        <v>304</v>
      </c>
      <c r="E340" s="201" t="s">
        <v>304</v>
      </c>
      <c r="F340" s="201" t="s">
        <v>304</v>
      </c>
      <c r="G340" s="201" t="s">
        <v>304</v>
      </c>
      <c r="H340" s="201" t="s">
        <v>304</v>
      </c>
      <c r="I340" s="201" t="s">
        <v>304</v>
      </c>
      <c r="J340" s="201" t="s">
        <v>304</v>
      </c>
      <c r="K340" s="201" t="s">
        <v>304</v>
      </c>
      <c r="L340" s="196"/>
      <c r="M340" s="196"/>
      <c r="N340" s="196"/>
      <c r="O340" s="196"/>
      <c r="P340" s="196"/>
      <c r="Q340" s="201" t="s">
        <v>304</v>
      </c>
      <c r="R340" s="201" t="s">
        <v>304</v>
      </c>
      <c r="S340" s="196"/>
      <c r="T340" s="196"/>
      <c r="U340" s="196"/>
      <c r="V340" s="196"/>
      <c r="W340" s="196"/>
      <c r="X340" s="196"/>
      <c r="Y340" s="196"/>
      <c r="Z340" s="196"/>
      <c r="AA340" s="196"/>
      <c r="AB340" s="196"/>
      <c r="AC340" s="196"/>
      <c r="AD340" s="196"/>
      <c r="AE340" s="196"/>
      <c r="AF340" s="196"/>
      <c r="AG340" s="201" t="s">
        <v>304</v>
      </c>
      <c r="AH340" s="201" t="s">
        <v>304</v>
      </c>
      <c r="AI340" s="195"/>
      <c r="AJ340" s="196"/>
      <c r="AK340" s="196"/>
      <c r="AL340" s="196"/>
      <c r="AM340" s="196"/>
      <c r="AN340" s="196"/>
      <c r="AO340" s="196"/>
      <c r="AP340" s="196"/>
      <c r="AQ340" s="196"/>
      <c r="AR340" s="196"/>
      <c r="AS340" s="196"/>
      <c r="AT340" s="196"/>
      <c r="AU340" s="196"/>
      <c r="AV340" s="196"/>
      <c r="AW340" s="196"/>
      <c r="AX340" s="196"/>
      <c r="AY340" s="196"/>
      <c r="AZ340" s="196"/>
      <c r="BA340" s="196"/>
      <c r="BB340" s="196"/>
      <c r="BC340" s="196"/>
      <c r="BD340" s="196"/>
      <c r="BE340" s="196"/>
      <c r="BF340" s="196"/>
    </row>
    <row r="341">
      <c r="A341" s="197"/>
      <c r="B341" s="201" t="s">
        <v>147</v>
      </c>
      <c r="C341" s="201" t="s">
        <v>147</v>
      </c>
      <c r="D341" s="201" t="s">
        <v>147</v>
      </c>
      <c r="E341" s="201" t="s">
        <v>147</v>
      </c>
      <c r="F341" s="201" t="s">
        <v>147</v>
      </c>
      <c r="G341" s="201" t="s">
        <v>152</v>
      </c>
      <c r="H341" s="201" t="s">
        <v>152</v>
      </c>
      <c r="I341" s="201" t="s">
        <v>157</v>
      </c>
      <c r="J341" s="201" t="s">
        <v>157</v>
      </c>
      <c r="K341" s="201" t="s">
        <v>157</v>
      </c>
      <c r="L341" s="196"/>
      <c r="M341" s="196"/>
      <c r="N341" s="196"/>
      <c r="O341" s="196"/>
      <c r="P341" s="196"/>
      <c r="Q341" s="201" t="s">
        <v>160</v>
      </c>
      <c r="R341" s="201" t="s">
        <v>160</v>
      </c>
      <c r="S341" s="196"/>
      <c r="T341" s="196"/>
      <c r="U341" s="196"/>
      <c r="V341" s="196"/>
      <c r="W341" s="196"/>
      <c r="X341" s="196"/>
      <c r="Y341" s="196"/>
      <c r="Z341" s="196"/>
      <c r="AA341" s="196"/>
      <c r="AB341" s="196"/>
      <c r="AC341" s="196"/>
      <c r="AD341" s="196"/>
      <c r="AE341" s="196"/>
      <c r="AF341" s="196"/>
      <c r="AG341" s="201" t="s">
        <v>164</v>
      </c>
      <c r="AH341" s="201" t="s">
        <v>164</v>
      </c>
      <c r="AI341" s="196"/>
      <c r="AJ341" s="196"/>
      <c r="AK341" s="196"/>
      <c r="AL341" s="196"/>
      <c r="AM341" s="196"/>
      <c r="AN341" s="196"/>
      <c r="AO341" s="196"/>
      <c r="AP341" s="196"/>
      <c r="AQ341" s="196"/>
      <c r="AR341" s="196"/>
      <c r="AS341" s="196"/>
      <c r="AT341" s="196"/>
      <c r="AU341" s="196"/>
      <c r="AV341" s="196"/>
      <c r="AW341" s="196"/>
      <c r="AX341" s="196"/>
      <c r="AY341" s="196"/>
      <c r="AZ341" s="196"/>
      <c r="BA341" s="196"/>
      <c r="BB341" s="196"/>
      <c r="BC341" s="196"/>
      <c r="BD341" s="196"/>
      <c r="BE341" s="196"/>
      <c r="BF341" s="196"/>
    </row>
    <row r="342">
      <c r="A342" s="194" t="s">
        <v>311</v>
      </c>
      <c r="B342" s="195" t="s">
        <v>176</v>
      </c>
      <c r="C342" s="195" t="s">
        <v>177</v>
      </c>
      <c r="D342" s="195" t="s">
        <v>178</v>
      </c>
      <c r="E342" s="195" t="s">
        <v>179</v>
      </c>
      <c r="F342" s="195" t="s">
        <v>246</v>
      </c>
      <c r="G342" s="195" t="s">
        <v>548</v>
      </c>
      <c r="H342" s="195" t="s">
        <v>549</v>
      </c>
      <c r="I342" s="195" t="s">
        <v>550</v>
      </c>
      <c r="J342" s="195" t="s">
        <v>551</v>
      </c>
      <c r="K342" s="195" t="s">
        <v>181</v>
      </c>
      <c r="L342" s="195" t="s">
        <v>182</v>
      </c>
      <c r="M342" s="195" t="s">
        <v>183</v>
      </c>
      <c r="N342" s="195" t="s">
        <v>274</v>
      </c>
      <c r="O342" s="195" t="s">
        <v>192</v>
      </c>
      <c r="P342" s="196"/>
      <c r="Q342" s="195" t="s">
        <v>552</v>
      </c>
      <c r="R342" s="195" t="s">
        <v>553</v>
      </c>
      <c r="S342" s="195" t="s">
        <v>554</v>
      </c>
      <c r="T342" s="195" t="s">
        <v>555</v>
      </c>
      <c r="U342" s="195"/>
      <c r="V342" s="196"/>
      <c r="W342" s="196"/>
      <c r="X342" s="196"/>
      <c r="Y342" s="196"/>
      <c r="Z342" s="196"/>
      <c r="AA342" s="196"/>
      <c r="AB342" s="196"/>
      <c r="AC342" s="196"/>
      <c r="AD342" s="196"/>
      <c r="AE342" s="196"/>
      <c r="AF342" s="196"/>
      <c r="AG342" s="194" t="s">
        <v>556</v>
      </c>
      <c r="AH342" s="194" t="s">
        <v>277</v>
      </c>
      <c r="AI342" s="195" t="s">
        <v>189</v>
      </c>
      <c r="AJ342" s="195" t="s">
        <v>253</v>
      </c>
      <c r="AK342" s="196"/>
      <c r="AL342" s="196"/>
      <c r="AM342" s="196"/>
      <c r="AN342" s="196"/>
      <c r="AO342" s="196"/>
      <c r="AP342" s="196"/>
      <c r="AQ342" s="196"/>
      <c r="AR342" s="196"/>
      <c r="AS342" s="196"/>
      <c r="AT342" s="196"/>
      <c r="AU342" s="196"/>
      <c r="AV342" s="196"/>
      <c r="AW342" s="196"/>
      <c r="AX342" s="196"/>
      <c r="AY342" s="196"/>
      <c r="AZ342" s="196"/>
      <c r="BA342" s="196"/>
      <c r="BB342" s="196"/>
      <c r="BC342" s="196"/>
      <c r="BD342" s="196"/>
      <c r="BE342" s="196"/>
      <c r="BF342" s="196"/>
    </row>
    <row r="343">
      <c r="A343" s="197"/>
      <c r="B343" s="195" t="s">
        <v>529</v>
      </c>
      <c r="C343" s="195" t="s">
        <v>529</v>
      </c>
      <c r="D343" s="195" t="s">
        <v>529</v>
      </c>
      <c r="E343" s="195" t="s">
        <v>529</v>
      </c>
      <c r="F343" s="195" t="s">
        <v>529</v>
      </c>
      <c r="G343" s="195" t="s">
        <v>529</v>
      </c>
      <c r="H343" s="195" t="s">
        <v>529</v>
      </c>
      <c r="I343" s="195" t="s">
        <v>529</v>
      </c>
      <c r="J343" s="195" t="s">
        <v>529</v>
      </c>
      <c r="K343" s="195" t="s">
        <v>529</v>
      </c>
      <c r="L343" s="195" t="s">
        <v>529</v>
      </c>
      <c r="M343" s="195" t="s">
        <v>529</v>
      </c>
      <c r="N343" s="195" t="s">
        <v>531</v>
      </c>
      <c r="O343" s="195" t="s">
        <v>531</v>
      </c>
      <c r="P343" s="196"/>
      <c r="Q343" s="195" t="s">
        <v>530</v>
      </c>
      <c r="R343" s="195" t="s">
        <v>530</v>
      </c>
      <c r="S343" s="195" t="s">
        <v>530</v>
      </c>
      <c r="T343" s="195" t="s">
        <v>530</v>
      </c>
      <c r="U343" s="195"/>
      <c r="V343" s="196"/>
      <c r="W343" s="196"/>
      <c r="X343" s="196"/>
      <c r="Y343" s="196"/>
      <c r="Z343" s="196"/>
      <c r="AA343" s="196"/>
      <c r="AB343" s="196"/>
      <c r="AC343" s="196"/>
      <c r="AD343" s="196"/>
      <c r="AE343" s="196"/>
      <c r="AF343" s="196"/>
      <c r="AG343" s="195" t="s">
        <v>530</v>
      </c>
      <c r="AH343" s="195" t="s">
        <v>530</v>
      </c>
      <c r="AI343" s="195" t="s">
        <v>531</v>
      </c>
      <c r="AJ343" s="195" t="s">
        <v>531</v>
      </c>
      <c r="AK343" s="196"/>
      <c r="AL343" s="196"/>
      <c r="AM343" s="196"/>
      <c r="AN343" s="196"/>
      <c r="AO343" s="196"/>
      <c r="AP343" s="196"/>
      <c r="AQ343" s="196"/>
      <c r="AR343" s="196"/>
      <c r="AS343" s="196"/>
      <c r="AT343" s="196"/>
      <c r="AU343" s="196"/>
      <c r="AV343" s="196"/>
      <c r="AW343" s="196"/>
      <c r="AX343" s="196"/>
      <c r="AY343" s="196"/>
      <c r="AZ343" s="196"/>
      <c r="BA343" s="196"/>
      <c r="BB343" s="196"/>
      <c r="BC343" s="196"/>
      <c r="BD343" s="196"/>
      <c r="BE343" s="196"/>
      <c r="BF343" s="196"/>
    </row>
    <row r="344">
      <c r="A344" s="197"/>
      <c r="B344" s="198">
        <v>0.4446</v>
      </c>
      <c r="C344" s="198">
        <v>0.4343</v>
      </c>
      <c r="D344" s="198">
        <v>0.5298</v>
      </c>
      <c r="E344" s="198">
        <v>0.5831</v>
      </c>
      <c r="F344" s="198">
        <v>0.7078</v>
      </c>
      <c r="G344" s="198">
        <v>0.559</v>
      </c>
      <c r="H344" s="198">
        <v>0.6072</v>
      </c>
      <c r="I344" s="198">
        <v>0.559</v>
      </c>
      <c r="J344" s="198">
        <v>0.7224</v>
      </c>
      <c r="K344" s="198">
        <v>0.6393</v>
      </c>
      <c r="L344" s="198">
        <v>1.2786</v>
      </c>
      <c r="M344" s="198">
        <v>1.5983</v>
      </c>
      <c r="N344" s="199">
        <v>0.6</v>
      </c>
      <c r="O344" s="199">
        <v>0.02</v>
      </c>
      <c r="P344" s="196"/>
      <c r="Q344" s="198">
        <v>0.12</v>
      </c>
      <c r="R344" s="198">
        <v>0.168</v>
      </c>
      <c r="S344" s="198">
        <v>1.76</v>
      </c>
      <c r="T344" s="198">
        <v>1.92</v>
      </c>
      <c r="U344" s="199"/>
      <c r="V344" s="196"/>
      <c r="W344" s="196"/>
      <c r="X344" s="196"/>
      <c r="Y344" s="196"/>
      <c r="Z344" s="196"/>
      <c r="AA344" s="196"/>
      <c r="AB344" s="196"/>
      <c r="AC344" s="196"/>
      <c r="AD344" s="196"/>
      <c r="AE344" s="196"/>
      <c r="AF344" s="196"/>
      <c r="AG344" s="198">
        <v>0.808</v>
      </c>
      <c r="AH344" s="198">
        <v>0.248</v>
      </c>
      <c r="AI344" s="199">
        <v>0.16</v>
      </c>
      <c r="AJ344" s="199">
        <v>-0.2</v>
      </c>
      <c r="AK344" s="196"/>
      <c r="AL344" s="196"/>
      <c r="AM344" s="196"/>
      <c r="AN344" s="196"/>
      <c r="AO344" s="196"/>
      <c r="AP344" s="196"/>
      <c r="AQ344" s="196"/>
      <c r="AR344" s="196"/>
      <c r="AS344" s="196"/>
      <c r="AT344" s="196"/>
      <c r="AU344" s="196"/>
      <c r="AV344" s="196"/>
      <c r="AW344" s="196"/>
      <c r="AX344" s="196"/>
      <c r="AY344" s="196"/>
      <c r="AZ344" s="196"/>
      <c r="BA344" s="196"/>
      <c r="BB344" s="196"/>
      <c r="BC344" s="196"/>
      <c r="BD344" s="196"/>
      <c r="BE344" s="196"/>
      <c r="BF344" s="196"/>
    </row>
    <row r="345">
      <c r="A345" s="197"/>
      <c r="B345" s="201" t="s">
        <v>304</v>
      </c>
      <c r="C345" s="201" t="s">
        <v>304</v>
      </c>
      <c r="D345" s="201" t="s">
        <v>304</v>
      </c>
      <c r="E345" s="201" t="s">
        <v>304</v>
      </c>
      <c r="F345" s="201" t="s">
        <v>304</v>
      </c>
      <c r="G345" s="201" t="s">
        <v>304</v>
      </c>
      <c r="H345" s="201" t="s">
        <v>304</v>
      </c>
      <c r="I345" s="201" t="s">
        <v>304</v>
      </c>
      <c r="J345" s="201" t="s">
        <v>304</v>
      </c>
      <c r="K345" s="201" t="s">
        <v>304</v>
      </c>
      <c r="L345" s="201" t="s">
        <v>304</v>
      </c>
      <c r="M345" s="201" t="s">
        <v>304</v>
      </c>
      <c r="N345" s="195" t="s">
        <v>304</v>
      </c>
      <c r="O345" s="195" t="s">
        <v>303</v>
      </c>
      <c r="P345" s="196"/>
      <c r="Q345" s="201" t="s">
        <v>304</v>
      </c>
      <c r="R345" s="201" t="s">
        <v>304</v>
      </c>
      <c r="S345" s="201" t="s">
        <v>304</v>
      </c>
      <c r="T345" s="201" t="s">
        <v>304</v>
      </c>
      <c r="U345" s="195"/>
      <c r="V345" s="196"/>
      <c r="W345" s="196"/>
      <c r="X345" s="196"/>
      <c r="Y345" s="196"/>
      <c r="Z345" s="196"/>
      <c r="AA345" s="196"/>
      <c r="AB345" s="196"/>
      <c r="AC345" s="196"/>
      <c r="AD345" s="196"/>
      <c r="AE345" s="196"/>
      <c r="AF345" s="196"/>
      <c r="AG345" s="201" t="s">
        <v>304</v>
      </c>
      <c r="AH345" s="201" t="s">
        <v>304</v>
      </c>
      <c r="AI345" s="196"/>
      <c r="AJ345" s="196"/>
      <c r="AK345" s="196"/>
      <c r="AL345" s="196"/>
      <c r="AM345" s="196"/>
      <c r="AN345" s="196"/>
      <c r="AO345" s="196"/>
      <c r="AP345" s="196"/>
      <c r="AQ345" s="196"/>
      <c r="AR345" s="196"/>
      <c r="AS345" s="196"/>
      <c r="AT345" s="196"/>
      <c r="AU345" s="196"/>
      <c r="AV345" s="196"/>
      <c r="AW345" s="196"/>
      <c r="AX345" s="196"/>
      <c r="AY345" s="196"/>
      <c r="AZ345" s="196"/>
      <c r="BA345" s="196"/>
      <c r="BB345" s="196"/>
      <c r="BC345" s="196"/>
      <c r="BD345" s="196"/>
      <c r="BE345" s="196"/>
      <c r="BF345" s="196"/>
    </row>
    <row r="346">
      <c r="A346" s="197"/>
      <c r="B346" s="201" t="s">
        <v>147</v>
      </c>
      <c r="C346" s="201" t="s">
        <v>147</v>
      </c>
      <c r="D346" s="201" t="s">
        <v>147</v>
      </c>
      <c r="E346" s="201" t="s">
        <v>147</v>
      </c>
      <c r="F346" s="201" t="s">
        <v>147</v>
      </c>
      <c r="G346" s="201" t="s">
        <v>152</v>
      </c>
      <c r="H346" s="201" t="s">
        <v>152</v>
      </c>
      <c r="I346" s="201" t="s">
        <v>152</v>
      </c>
      <c r="J346" s="201" t="s">
        <v>152</v>
      </c>
      <c r="K346" s="201" t="s">
        <v>157</v>
      </c>
      <c r="L346" s="201" t="s">
        <v>157</v>
      </c>
      <c r="M346" s="201" t="s">
        <v>157</v>
      </c>
      <c r="N346" s="195" t="s">
        <v>147</v>
      </c>
      <c r="O346" s="196"/>
      <c r="P346" s="196"/>
      <c r="Q346" s="201" t="s">
        <v>160</v>
      </c>
      <c r="R346" s="201" t="s">
        <v>160</v>
      </c>
      <c r="S346" s="201" t="s">
        <v>160</v>
      </c>
      <c r="T346" s="201" t="s">
        <v>160</v>
      </c>
      <c r="U346" s="196"/>
      <c r="V346" s="196"/>
      <c r="W346" s="196"/>
      <c r="X346" s="196"/>
      <c r="Y346" s="196"/>
      <c r="Z346" s="196"/>
      <c r="AA346" s="196"/>
      <c r="AB346" s="196"/>
      <c r="AC346" s="196"/>
      <c r="AD346" s="196"/>
      <c r="AE346" s="196"/>
      <c r="AF346" s="196"/>
      <c r="AG346" s="201" t="s">
        <v>164</v>
      </c>
      <c r="AH346" s="201" t="s">
        <v>164</v>
      </c>
      <c r="AI346" s="196"/>
      <c r="AJ346" s="196"/>
      <c r="AK346" s="196"/>
      <c r="AL346" s="196"/>
      <c r="AM346" s="196"/>
      <c r="AN346" s="196"/>
      <c r="AO346" s="196"/>
      <c r="AP346" s="196"/>
      <c r="AQ346" s="196"/>
      <c r="AR346" s="196"/>
      <c r="AS346" s="196"/>
      <c r="AT346" s="196"/>
      <c r="AU346" s="196"/>
      <c r="AV346" s="196"/>
      <c r="AW346" s="196"/>
      <c r="AX346" s="196"/>
      <c r="AY346" s="196"/>
      <c r="AZ346" s="196"/>
      <c r="BA346" s="196"/>
      <c r="BB346" s="196"/>
      <c r="BC346" s="196"/>
      <c r="BD346" s="196"/>
      <c r="BE346" s="196"/>
      <c r="BF346" s="196"/>
    </row>
    <row r="347">
      <c r="A347" s="194" t="s">
        <v>312</v>
      </c>
      <c r="B347" s="195" t="s">
        <v>176</v>
      </c>
      <c r="C347" s="195" t="s">
        <v>177</v>
      </c>
      <c r="D347" s="195" t="s">
        <v>178</v>
      </c>
      <c r="E347" s="195" t="s">
        <v>557</v>
      </c>
      <c r="F347" s="195" t="s">
        <v>246</v>
      </c>
      <c r="G347" s="195" t="s">
        <v>558</v>
      </c>
      <c r="H347" s="195" t="s">
        <v>181</v>
      </c>
      <c r="I347" s="195" t="s">
        <v>182</v>
      </c>
      <c r="J347" s="195" t="s">
        <v>183</v>
      </c>
      <c r="K347" s="195" t="s">
        <v>253</v>
      </c>
      <c r="L347" s="196"/>
      <c r="M347" s="196"/>
      <c r="N347" s="196"/>
      <c r="O347" s="196"/>
      <c r="P347" s="196"/>
      <c r="Q347" s="195" t="s">
        <v>294</v>
      </c>
      <c r="R347" s="195" t="s">
        <v>274</v>
      </c>
      <c r="S347" s="196"/>
      <c r="T347" s="196"/>
      <c r="U347" s="196"/>
      <c r="V347" s="196"/>
      <c r="W347" s="196"/>
      <c r="X347" s="196"/>
      <c r="Y347" s="196"/>
      <c r="Z347" s="196"/>
      <c r="AA347" s="196"/>
      <c r="AB347" s="196"/>
      <c r="AC347" s="196"/>
      <c r="AD347" s="196"/>
      <c r="AE347" s="196"/>
      <c r="AF347" s="196"/>
      <c r="AG347" s="195" t="s">
        <v>559</v>
      </c>
      <c r="AH347" s="195" t="s">
        <v>560</v>
      </c>
      <c r="AI347" s="195" t="s">
        <v>189</v>
      </c>
      <c r="AJ347" s="195" t="s">
        <v>293</v>
      </c>
      <c r="AK347" s="195" t="s">
        <v>192</v>
      </c>
      <c r="AL347" s="196"/>
      <c r="AM347" s="196"/>
      <c r="AN347" s="196"/>
      <c r="AO347" s="196"/>
      <c r="AP347" s="196"/>
      <c r="AQ347" s="196"/>
      <c r="AR347" s="196"/>
      <c r="AS347" s="196"/>
      <c r="AT347" s="196"/>
      <c r="AU347" s="196"/>
      <c r="AV347" s="196"/>
      <c r="AW347" s="196"/>
      <c r="AX347" s="196"/>
      <c r="AY347" s="196"/>
      <c r="AZ347" s="196"/>
      <c r="BA347" s="196"/>
      <c r="BB347" s="196"/>
      <c r="BC347" s="196"/>
      <c r="BD347" s="196"/>
      <c r="BE347" s="196"/>
      <c r="BF347" s="196"/>
    </row>
    <row r="348">
      <c r="A348" s="197"/>
      <c r="B348" s="195" t="s">
        <v>529</v>
      </c>
      <c r="C348" s="195" t="s">
        <v>529</v>
      </c>
      <c r="D348" s="195" t="s">
        <v>529</v>
      </c>
      <c r="E348" s="195" t="s">
        <v>529</v>
      </c>
      <c r="F348" s="195" t="s">
        <v>529</v>
      </c>
      <c r="G348" s="195" t="s">
        <v>529</v>
      </c>
      <c r="H348" s="195" t="s">
        <v>529</v>
      </c>
      <c r="I348" s="195" t="s">
        <v>529</v>
      </c>
      <c r="J348" s="195" t="s">
        <v>529</v>
      </c>
      <c r="K348" s="195" t="s">
        <v>531</v>
      </c>
      <c r="L348" s="196"/>
      <c r="M348" s="196"/>
      <c r="N348" s="196"/>
      <c r="O348" s="196"/>
      <c r="P348" s="196"/>
      <c r="Q348" s="195" t="s">
        <v>530</v>
      </c>
      <c r="R348" s="195" t="s">
        <v>531</v>
      </c>
      <c r="S348" s="196"/>
      <c r="T348" s="196"/>
      <c r="U348" s="196"/>
      <c r="V348" s="196"/>
      <c r="W348" s="196"/>
      <c r="X348" s="196"/>
      <c r="Y348" s="196"/>
      <c r="Z348" s="196"/>
      <c r="AA348" s="196"/>
      <c r="AB348" s="196"/>
      <c r="AC348" s="196"/>
      <c r="AD348" s="196"/>
      <c r="AE348" s="196"/>
      <c r="AF348" s="196"/>
      <c r="AG348" s="195" t="s">
        <v>530</v>
      </c>
      <c r="AH348" s="195" t="s">
        <v>530</v>
      </c>
      <c r="AI348" s="195" t="s">
        <v>531</v>
      </c>
      <c r="AJ348" s="195" t="s">
        <v>531</v>
      </c>
      <c r="AK348" s="195" t="s">
        <v>531</v>
      </c>
      <c r="AL348" s="196"/>
      <c r="AM348" s="196"/>
      <c r="AN348" s="196"/>
      <c r="AO348" s="196"/>
      <c r="AP348" s="196"/>
      <c r="AQ348" s="196"/>
      <c r="AR348" s="196"/>
      <c r="AS348" s="196"/>
      <c r="AT348" s="196"/>
      <c r="AU348" s="196"/>
      <c r="AV348" s="196"/>
      <c r="AW348" s="196"/>
      <c r="AX348" s="196"/>
      <c r="AY348" s="196"/>
      <c r="AZ348" s="196"/>
      <c r="BA348" s="196"/>
      <c r="BB348" s="196"/>
      <c r="BC348" s="196"/>
      <c r="BD348" s="196"/>
      <c r="BE348" s="196"/>
      <c r="BF348" s="196"/>
    </row>
    <row r="349">
      <c r="A349" s="197"/>
      <c r="B349" s="198">
        <v>0.4573</v>
      </c>
      <c r="C349" s="198">
        <v>0.4868</v>
      </c>
      <c r="D349" s="198">
        <v>0.6262</v>
      </c>
      <c r="E349" s="198">
        <v>0.2265</v>
      </c>
      <c r="F349" s="198">
        <v>0.7818</v>
      </c>
      <c r="G349" s="198">
        <v>0.5513</v>
      </c>
      <c r="H349" s="198">
        <v>0.6393</v>
      </c>
      <c r="I349" s="198">
        <v>1.2786</v>
      </c>
      <c r="J349" s="198">
        <v>1.5983</v>
      </c>
      <c r="K349" s="199">
        <v>2.98</v>
      </c>
      <c r="L349" s="196"/>
      <c r="M349" s="196"/>
      <c r="N349" s="196"/>
      <c r="O349" s="196"/>
      <c r="P349" s="196"/>
      <c r="Q349" s="198">
        <v>2.392</v>
      </c>
      <c r="R349" s="199">
        <v>0.3</v>
      </c>
      <c r="S349" s="196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6"/>
      <c r="AD349" s="196"/>
      <c r="AE349" s="196"/>
      <c r="AF349" s="196"/>
      <c r="AG349" s="198">
        <v>1.123</v>
      </c>
      <c r="AH349" s="198">
        <v>1.6845</v>
      </c>
      <c r="AI349" s="199">
        <v>0.2</v>
      </c>
      <c r="AJ349" s="199">
        <v>-0.3</v>
      </c>
      <c r="AK349" s="199">
        <v>0.18</v>
      </c>
      <c r="AL349" s="196"/>
      <c r="AM349" s="196"/>
      <c r="AN349" s="196"/>
      <c r="AO349" s="196"/>
      <c r="AP349" s="196"/>
      <c r="AQ349" s="196"/>
      <c r="AR349" s="196"/>
      <c r="AS349" s="196"/>
      <c r="AT349" s="196"/>
      <c r="AU349" s="196"/>
      <c r="AV349" s="196"/>
      <c r="AW349" s="196"/>
      <c r="AX349" s="196"/>
      <c r="AY349" s="196"/>
      <c r="AZ349" s="196"/>
      <c r="BA349" s="196"/>
      <c r="BB349" s="196"/>
      <c r="BC349" s="196"/>
      <c r="BD349" s="196"/>
      <c r="BE349" s="196"/>
      <c r="BF349" s="196"/>
    </row>
    <row r="350">
      <c r="A350" s="197"/>
      <c r="B350" s="201" t="s">
        <v>304</v>
      </c>
      <c r="C350" s="201" t="s">
        <v>304</v>
      </c>
      <c r="D350" s="201" t="s">
        <v>304</v>
      </c>
      <c r="E350" s="201" t="s">
        <v>304</v>
      </c>
      <c r="F350" s="201" t="s">
        <v>304</v>
      </c>
      <c r="G350" s="201" t="s">
        <v>304</v>
      </c>
      <c r="H350" s="201" t="s">
        <v>304</v>
      </c>
      <c r="I350" s="201" t="s">
        <v>304</v>
      </c>
      <c r="J350" s="201" t="s">
        <v>304</v>
      </c>
      <c r="K350" s="196"/>
      <c r="L350" s="196"/>
      <c r="M350" s="196"/>
      <c r="N350" s="196"/>
      <c r="O350" s="196"/>
      <c r="P350" s="196"/>
      <c r="Q350" s="201" t="s">
        <v>304</v>
      </c>
      <c r="R350" s="196"/>
      <c r="S350" s="196"/>
      <c r="T350" s="196"/>
      <c r="U350" s="196"/>
      <c r="V350" s="196"/>
      <c r="W350" s="196"/>
      <c r="X350" s="196"/>
      <c r="Y350" s="196"/>
      <c r="Z350" s="196"/>
      <c r="AA350" s="196"/>
      <c r="AB350" s="196"/>
      <c r="AC350" s="196"/>
      <c r="AD350" s="196"/>
      <c r="AE350" s="196"/>
      <c r="AF350" s="196"/>
      <c r="AG350" s="201" t="s">
        <v>304</v>
      </c>
      <c r="AH350" s="201" t="s">
        <v>304</v>
      </c>
      <c r="AI350" s="195"/>
      <c r="AJ350" s="196"/>
      <c r="AK350" s="196"/>
      <c r="AL350" s="196"/>
      <c r="AM350" s="196"/>
      <c r="AN350" s="196"/>
      <c r="AO350" s="196"/>
      <c r="AP350" s="196"/>
      <c r="AQ350" s="196"/>
      <c r="AR350" s="196"/>
      <c r="AS350" s="196"/>
      <c r="AT350" s="196"/>
      <c r="AU350" s="196"/>
      <c r="AV350" s="196"/>
      <c r="AW350" s="196"/>
      <c r="AX350" s="196"/>
      <c r="AY350" s="196"/>
      <c r="AZ350" s="196"/>
      <c r="BA350" s="196"/>
      <c r="BB350" s="196"/>
      <c r="BC350" s="196"/>
      <c r="BD350" s="196"/>
      <c r="BE350" s="196"/>
      <c r="BF350" s="196"/>
    </row>
    <row r="351">
      <c r="A351" s="197"/>
      <c r="B351" s="201" t="s">
        <v>147</v>
      </c>
      <c r="C351" s="201" t="s">
        <v>147</v>
      </c>
      <c r="D351" s="201" t="s">
        <v>147</v>
      </c>
      <c r="E351" s="201" t="s">
        <v>147</v>
      </c>
      <c r="F351" s="201" t="s">
        <v>147</v>
      </c>
      <c r="G351" s="201" t="s">
        <v>152</v>
      </c>
      <c r="H351" s="201" t="s">
        <v>157</v>
      </c>
      <c r="I351" s="201" t="s">
        <v>157</v>
      </c>
      <c r="J351" s="201" t="s">
        <v>157</v>
      </c>
      <c r="K351" s="196"/>
      <c r="L351" s="196"/>
      <c r="M351" s="196"/>
      <c r="N351" s="196"/>
      <c r="O351" s="196"/>
      <c r="P351" s="196"/>
      <c r="Q351" s="201" t="s">
        <v>160</v>
      </c>
      <c r="R351" s="196"/>
      <c r="S351" s="196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/>
      <c r="AF351" s="196"/>
      <c r="AG351" s="201" t="s">
        <v>164</v>
      </c>
      <c r="AH351" s="201" t="s">
        <v>164</v>
      </c>
      <c r="AI351" s="196"/>
      <c r="AJ351" s="196"/>
      <c r="AK351" s="196"/>
      <c r="AL351" s="196"/>
      <c r="AM351" s="196"/>
      <c r="AN351" s="196"/>
      <c r="AO351" s="196"/>
      <c r="AP351" s="196"/>
      <c r="AQ351" s="196"/>
      <c r="AR351" s="196"/>
      <c r="AS351" s="196"/>
      <c r="AT351" s="196"/>
      <c r="AU351" s="196"/>
      <c r="AV351" s="196"/>
      <c r="AW351" s="196"/>
      <c r="AX351" s="196"/>
      <c r="AY351" s="196"/>
      <c r="AZ351" s="196"/>
      <c r="BA351" s="196"/>
      <c r="BB351" s="196"/>
      <c r="BC351" s="196"/>
      <c r="BD351" s="196"/>
      <c r="BE351" s="196"/>
      <c r="BF351" s="196"/>
    </row>
    <row r="352">
      <c r="A352" s="194" t="s">
        <v>313</v>
      </c>
      <c r="B352" s="195" t="s">
        <v>176</v>
      </c>
      <c r="C352" s="195" t="s">
        <v>177</v>
      </c>
      <c r="D352" s="195" t="s">
        <v>178</v>
      </c>
      <c r="E352" s="195" t="s">
        <v>561</v>
      </c>
      <c r="F352" s="195" t="s">
        <v>246</v>
      </c>
      <c r="G352" s="195" t="s">
        <v>180</v>
      </c>
      <c r="H352" s="195" t="s">
        <v>181</v>
      </c>
      <c r="I352" s="195" t="s">
        <v>182</v>
      </c>
      <c r="J352" s="195" t="s">
        <v>183</v>
      </c>
      <c r="K352" s="196"/>
      <c r="L352" s="196"/>
      <c r="M352" s="196"/>
      <c r="N352" s="196"/>
      <c r="O352" s="196"/>
      <c r="P352" s="196"/>
      <c r="Q352" s="201" t="s">
        <v>562</v>
      </c>
      <c r="R352" s="201" t="s">
        <v>563</v>
      </c>
      <c r="S352" s="201" t="s">
        <v>564</v>
      </c>
      <c r="T352" s="195" t="s">
        <v>565</v>
      </c>
      <c r="U352" s="195" t="s">
        <v>566</v>
      </c>
      <c r="V352" s="195" t="s">
        <v>248</v>
      </c>
      <c r="W352" s="195" t="s">
        <v>189</v>
      </c>
      <c r="X352" s="195" t="s">
        <v>253</v>
      </c>
      <c r="Y352" s="196"/>
      <c r="Z352" s="196"/>
      <c r="AA352" s="196"/>
      <c r="AB352" s="196"/>
      <c r="AC352" s="196"/>
      <c r="AD352" s="196"/>
      <c r="AE352" s="196"/>
      <c r="AF352" s="196"/>
      <c r="AG352" s="201" t="s">
        <v>567</v>
      </c>
      <c r="AH352" s="201" t="s">
        <v>568</v>
      </c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196"/>
      <c r="AT352" s="196"/>
      <c r="AU352" s="196"/>
      <c r="AV352" s="196"/>
      <c r="AW352" s="196"/>
      <c r="AX352" s="196"/>
      <c r="AY352" s="196"/>
      <c r="AZ352" s="196"/>
      <c r="BA352" s="196"/>
      <c r="BB352" s="196"/>
      <c r="BC352" s="196"/>
      <c r="BD352" s="196"/>
      <c r="BE352" s="196"/>
      <c r="BF352" s="196"/>
    </row>
    <row r="353">
      <c r="A353" s="197"/>
      <c r="B353" s="201" t="s">
        <v>529</v>
      </c>
      <c r="C353" s="201" t="s">
        <v>529</v>
      </c>
      <c r="D353" s="201" t="s">
        <v>529</v>
      </c>
      <c r="E353" s="201" t="s">
        <v>529</v>
      </c>
      <c r="F353" s="201" t="s">
        <v>529</v>
      </c>
      <c r="G353" s="201" t="s">
        <v>529</v>
      </c>
      <c r="H353" s="201" t="s">
        <v>529</v>
      </c>
      <c r="I353" s="201" t="s">
        <v>529</v>
      </c>
      <c r="J353" s="201" t="s">
        <v>529</v>
      </c>
      <c r="K353" s="196"/>
      <c r="L353" s="196"/>
      <c r="M353" s="196"/>
      <c r="N353" s="196"/>
      <c r="O353" s="196"/>
      <c r="P353" s="196"/>
      <c r="Q353" s="201" t="s">
        <v>529</v>
      </c>
      <c r="R353" s="201" t="s">
        <v>529</v>
      </c>
      <c r="S353" s="201" t="s">
        <v>529</v>
      </c>
      <c r="T353" s="201" t="s">
        <v>529</v>
      </c>
      <c r="U353" s="201" t="s">
        <v>529</v>
      </c>
      <c r="V353" s="195" t="s">
        <v>531</v>
      </c>
      <c r="W353" s="195" t="s">
        <v>531</v>
      </c>
      <c r="X353" s="195" t="s">
        <v>531</v>
      </c>
      <c r="Y353" s="196"/>
      <c r="Z353" s="196"/>
      <c r="AA353" s="196"/>
      <c r="AB353" s="196"/>
      <c r="AC353" s="196"/>
      <c r="AD353" s="196"/>
      <c r="AE353" s="196"/>
      <c r="AF353" s="196"/>
      <c r="AG353" s="201" t="s">
        <v>530</v>
      </c>
      <c r="AH353" s="201" t="s">
        <v>569</v>
      </c>
      <c r="AI353" s="196"/>
      <c r="AJ353" s="196"/>
      <c r="AK353" s="196"/>
      <c r="AL353" s="196"/>
      <c r="AM353" s="196"/>
      <c r="AN353" s="196"/>
      <c r="AO353" s="196"/>
      <c r="AP353" s="196"/>
      <c r="AQ353" s="196"/>
      <c r="AR353" s="196"/>
      <c r="AS353" s="196"/>
      <c r="AT353" s="196"/>
      <c r="AU353" s="196"/>
      <c r="AV353" s="196"/>
      <c r="AW353" s="196"/>
      <c r="AX353" s="196"/>
      <c r="AY353" s="196"/>
      <c r="AZ353" s="196"/>
      <c r="BA353" s="196"/>
      <c r="BB353" s="196"/>
      <c r="BC353" s="196"/>
      <c r="BD353" s="196"/>
      <c r="BE353" s="196"/>
      <c r="BF353" s="196"/>
    </row>
    <row r="354">
      <c r="A354" s="197"/>
      <c r="B354" s="193">
        <v>0.4496</v>
      </c>
      <c r="C354" s="193">
        <v>0.4716</v>
      </c>
      <c r="D354" s="193">
        <v>0.5861</v>
      </c>
      <c r="E354" s="193">
        <v>0.2945</v>
      </c>
      <c r="F354" s="193">
        <v>0.756</v>
      </c>
      <c r="G354" s="193">
        <v>1.2953</v>
      </c>
      <c r="H354" s="193">
        <v>0.6393</v>
      </c>
      <c r="I354" s="193">
        <v>1.2784</v>
      </c>
      <c r="J354" s="193">
        <v>1.5968</v>
      </c>
      <c r="K354" s="196"/>
      <c r="L354" s="196"/>
      <c r="M354" s="196"/>
      <c r="N354" s="196"/>
      <c r="O354" s="196"/>
      <c r="P354" s="196"/>
      <c r="Q354" s="201">
        <v>0.5289</v>
      </c>
      <c r="R354" s="195">
        <v>0.5891</v>
      </c>
      <c r="S354" s="195">
        <v>0.6493</v>
      </c>
      <c r="T354" s="195">
        <v>0.0056</v>
      </c>
      <c r="U354" s="195">
        <v>1.0148</v>
      </c>
      <c r="V354" s="199">
        <v>0.4</v>
      </c>
      <c r="W354" s="199">
        <v>0.5</v>
      </c>
      <c r="X354" s="199">
        <v>4.5</v>
      </c>
      <c r="Y354" s="196"/>
      <c r="Z354" s="196"/>
      <c r="AA354" s="196"/>
      <c r="AB354" s="196"/>
      <c r="AC354" s="196"/>
      <c r="AD354" s="196"/>
      <c r="AE354" s="196"/>
      <c r="AF354" s="196"/>
      <c r="AG354" s="198">
        <v>0.6646</v>
      </c>
      <c r="AH354" s="209">
        <v>0.11</v>
      </c>
      <c r="AI354" s="196"/>
      <c r="AJ354" s="196"/>
      <c r="AK354" s="196"/>
      <c r="AL354" s="196"/>
      <c r="AM354" s="196"/>
      <c r="AN354" s="196"/>
      <c r="AO354" s="196"/>
      <c r="AP354" s="196"/>
      <c r="AQ354" s="196"/>
      <c r="AR354" s="196"/>
      <c r="AS354" s="196"/>
      <c r="AT354" s="196"/>
      <c r="AU354" s="196"/>
      <c r="AV354" s="196"/>
      <c r="AW354" s="196"/>
      <c r="AX354" s="196"/>
      <c r="AY354" s="196"/>
      <c r="AZ354" s="196"/>
      <c r="BA354" s="196"/>
      <c r="BB354" s="196"/>
      <c r="BC354" s="196"/>
      <c r="BD354" s="196"/>
      <c r="BE354" s="196"/>
      <c r="BF354" s="196"/>
    </row>
    <row r="355">
      <c r="A355" s="197"/>
      <c r="B355" s="201" t="s">
        <v>304</v>
      </c>
      <c r="C355" s="201" t="s">
        <v>304</v>
      </c>
      <c r="D355" s="201" t="s">
        <v>304</v>
      </c>
      <c r="E355" s="201" t="s">
        <v>304</v>
      </c>
      <c r="F355" s="201" t="s">
        <v>304</v>
      </c>
      <c r="G355" s="201" t="s">
        <v>304</v>
      </c>
      <c r="H355" s="201" t="s">
        <v>304</v>
      </c>
      <c r="I355" s="201" t="s">
        <v>304</v>
      </c>
      <c r="J355" s="201" t="s">
        <v>304</v>
      </c>
      <c r="K355" s="196"/>
      <c r="L355" s="196"/>
      <c r="M355" s="196"/>
      <c r="N355" s="196"/>
      <c r="O355" s="196"/>
      <c r="P355" s="196"/>
      <c r="Q355" s="201" t="s">
        <v>304</v>
      </c>
      <c r="R355" s="201" t="s">
        <v>304</v>
      </c>
      <c r="S355" s="201" t="s">
        <v>304</v>
      </c>
      <c r="T355" s="201" t="s">
        <v>303</v>
      </c>
      <c r="U355" s="201" t="s">
        <v>304</v>
      </c>
      <c r="V355" s="195"/>
      <c r="W355" s="195"/>
      <c r="X355" s="195" t="s">
        <v>304</v>
      </c>
      <c r="Y355" s="196"/>
      <c r="Z355" s="196"/>
      <c r="AA355" s="196"/>
      <c r="AB355" s="196"/>
      <c r="AC355" s="196"/>
      <c r="AD355" s="196"/>
      <c r="AE355" s="196"/>
      <c r="AF355" s="196"/>
      <c r="AG355" s="201" t="s">
        <v>304</v>
      </c>
      <c r="AH355" s="201" t="s">
        <v>390</v>
      </c>
      <c r="AI355" s="196"/>
      <c r="AJ355" s="196"/>
      <c r="AK355" s="196"/>
      <c r="AL355" s="196"/>
      <c r="AM355" s="196"/>
      <c r="AN355" s="196"/>
      <c r="AO355" s="196"/>
      <c r="AP355" s="196"/>
      <c r="AQ355" s="196"/>
      <c r="AR355" s="196"/>
      <c r="AS355" s="196"/>
      <c r="AT355" s="196"/>
      <c r="AU355" s="196"/>
      <c r="AV355" s="196"/>
      <c r="AW355" s="196"/>
      <c r="AX355" s="196"/>
      <c r="AY355" s="196"/>
      <c r="AZ355" s="196"/>
      <c r="BA355" s="196"/>
      <c r="BB355" s="196"/>
      <c r="BC355" s="196"/>
      <c r="BD355" s="196"/>
      <c r="BE355" s="196"/>
      <c r="BF355" s="196"/>
    </row>
    <row r="356">
      <c r="A356" s="197"/>
      <c r="B356" s="201" t="s">
        <v>147</v>
      </c>
      <c r="C356" s="201" t="s">
        <v>147</v>
      </c>
      <c r="D356" s="201" t="s">
        <v>147</v>
      </c>
      <c r="E356" s="201" t="s">
        <v>147</v>
      </c>
      <c r="F356" s="201" t="s">
        <v>147</v>
      </c>
      <c r="G356" s="201" t="s">
        <v>152</v>
      </c>
      <c r="H356" s="201" t="s">
        <v>157</v>
      </c>
      <c r="I356" s="201" t="s">
        <v>157</v>
      </c>
      <c r="J356" s="201" t="s">
        <v>157</v>
      </c>
      <c r="K356" s="196"/>
      <c r="L356" s="196"/>
      <c r="M356" s="196"/>
      <c r="N356" s="196"/>
      <c r="O356" s="196"/>
      <c r="P356" s="196"/>
      <c r="Q356" s="201" t="s">
        <v>147</v>
      </c>
      <c r="R356" s="201" t="s">
        <v>147</v>
      </c>
      <c r="S356" s="201" t="s">
        <v>147</v>
      </c>
      <c r="T356" s="201" t="s">
        <v>147</v>
      </c>
      <c r="U356" s="201" t="s">
        <v>160</v>
      </c>
      <c r="V356" s="195"/>
      <c r="W356" s="195"/>
      <c r="X356" s="195" t="s">
        <v>147</v>
      </c>
      <c r="Y356" s="196"/>
      <c r="Z356" s="196"/>
      <c r="AA356" s="196"/>
      <c r="AB356" s="196"/>
      <c r="AC356" s="196"/>
      <c r="AD356" s="196"/>
      <c r="AE356" s="196"/>
      <c r="AF356" s="196"/>
      <c r="AG356" s="201" t="s">
        <v>164</v>
      </c>
      <c r="AH356" s="201"/>
      <c r="AI356" s="196"/>
      <c r="AJ356" s="196"/>
      <c r="AK356" s="196"/>
      <c r="AL356" s="196"/>
      <c r="AM356" s="196"/>
      <c r="AN356" s="196"/>
      <c r="AO356" s="196"/>
      <c r="AP356" s="196"/>
      <c r="AQ356" s="196"/>
      <c r="AR356" s="196"/>
      <c r="AS356" s="196"/>
      <c r="AT356" s="196"/>
      <c r="AU356" s="196"/>
      <c r="AV356" s="196"/>
      <c r="AW356" s="196"/>
      <c r="AX356" s="196"/>
      <c r="AY356" s="196"/>
      <c r="AZ356" s="196"/>
      <c r="BA356" s="196"/>
      <c r="BB356" s="196"/>
      <c r="BC356" s="196"/>
      <c r="BD356" s="196"/>
      <c r="BE356" s="196"/>
      <c r="BF356" s="196"/>
    </row>
    <row r="357">
      <c r="A357" s="194" t="s">
        <v>314</v>
      </c>
      <c r="B357" s="195" t="s">
        <v>176</v>
      </c>
      <c r="C357" s="195" t="s">
        <v>177</v>
      </c>
      <c r="D357" s="195" t="s">
        <v>178</v>
      </c>
      <c r="E357" s="195" t="s">
        <v>179</v>
      </c>
      <c r="F357" s="195" t="s">
        <v>180</v>
      </c>
      <c r="G357" s="195" t="s">
        <v>181</v>
      </c>
      <c r="H357" s="195" t="s">
        <v>182</v>
      </c>
      <c r="I357" s="195" t="s">
        <v>183</v>
      </c>
      <c r="J357" s="196"/>
      <c r="K357" s="196"/>
      <c r="L357" s="196"/>
      <c r="M357" s="196"/>
      <c r="N357" s="196"/>
      <c r="O357" s="196"/>
      <c r="P357" s="196"/>
      <c r="Q357" s="195" t="s">
        <v>570</v>
      </c>
      <c r="R357" s="195" t="s">
        <v>571</v>
      </c>
      <c r="S357" s="195" t="s">
        <v>572</v>
      </c>
      <c r="T357" s="195" t="s">
        <v>573</v>
      </c>
      <c r="U357" s="195" t="s">
        <v>574</v>
      </c>
      <c r="V357" s="195" t="s">
        <v>189</v>
      </c>
      <c r="W357" s="196"/>
      <c r="X357" s="196"/>
      <c r="Y357" s="196"/>
      <c r="Z357" s="196"/>
      <c r="AA357" s="196"/>
      <c r="AB357" s="196"/>
      <c r="AC357" s="196"/>
      <c r="AD357" s="196"/>
      <c r="AE357" s="196"/>
      <c r="AF357" s="196"/>
      <c r="AG357" s="195" t="s">
        <v>575</v>
      </c>
      <c r="AH357" s="195" t="s">
        <v>576</v>
      </c>
      <c r="AI357" s="196"/>
      <c r="AJ357" s="196"/>
      <c r="AK357" s="196"/>
      <c r="AL357" s="196"/>
      <c r="AM357" s="196"/>
      <c r="AN357" s="196"/>
      <c r="AO357" s="196"/>
      <c r="AP357" s="196"/>
      <c r="AQ357" s="196"/>
      <c r="AR357" s="196"/>
      <c r="AS357" s="196"/>
      <c r="AT357" s="196"/>
      <c r="AU357" s="196"/>
      <c r="AV357" s="196"/>
      <c r="AW357" s="196"/>
      <c r="AX357" s="196"/>
      <c r="AY357" s="196"/>
      <c r="AZ357" s="196"/>
      <c r="BA357" s="196"/>
      <c r="BB357" s="196"/>
      <c r="BC357" s="196"/>
      <c r="BD357" s="196"/>
      <c r="BE357" s="196"/>
      <c r="BF357" s="196"/>
    </row>
    <row r="358">
      <c r="A358" s="197"/>
      <c r="B358" s="195" t="s">
        <v>530</v>
      </c>
      <c r="C358" s="195" t="s">
        <v>530</v>
      </c>
      <c r="D358" s="195" t="s">
        <v>530</v>
      </c>
      <c r="E358" s="195" t="s">
        <v>530</v>
      </c>
      <c r="F358" s="195" t="s">
        <v>530</v>
      </c>
      <c r="G358" s="195" t="s">
        <v>529</v>
      </c>
      <c r="H358" s="195" t="s">
        <v>529</v>
      </c>
      <c r="I358" s="195" t="s">
        <v>529</v>
      </c>
      <c r="J358" s="196"/>
      <c r="K358" s="196"/>
      <c r="L358" s="196"/>
      <c r="M358" s="196"/>
      <c r="N358" s="196"/>
      <c r="O358" s="196"/>
      <c r="P358" s="196"/>
      <c r="Q358" s="195" t="s">
        <v>530</v>
      </c>
      <c r="R358" s="195" t="s">
        <v>577</v>
      </c>
      <c r="S358" s="195" t="s">
        <v>530</v>
      </c>
      <c r="T358" s="195" t="s">
        <v>577</v>
      </c>
      <c r="U358" s="195" t="s">
        <v>530</v>
      </c>
      <c r="V358" s="195" t="s">
        <v>531</v>
      </c>
      <c r="W358" s="196"/>
      <c r="X358" s="196"/>
      <c r="Y358" s="196"/>
      <c r="Z358" s="196"/>
      <c r="AA358" s="196"/>
      <c r="AB358" s="196"/>
      <c r="AC358" s="196"/>
      <c r="AD358" s="196"/>
      <c r="AE358" s="196"/>
      <c r="AF358" s="196"/>
      <c r="AG358" s="195" t="s">
        <v>530</v>
      </c>
      <c r="AH358" s="195" t="s">
        <v>577</v>
      </c>
      <c r="AI358" s="196"/>
      <c r="AJ358" s="196"/>
      <c r="AK358" s="196"/>
      <c r="AL358" s="196"/>
      <c r="AM358" s="196"/>
      <c r="AN358" s="196"/>
      <c r="AO358" s="196"/>
      <c r="AP358" s="196"/>
      <c r="AQ358" s="196"/>
      <c r="AR358" s="196"/>
      <c r="AS358" s="196"/>
      <c r="AT358" s="196"/>
      <c r="AU358" s="196"/>
      <c r="AV358" s="196"/>
      <c r="AW358" s="196"/>
      <c r="AX358" s="196"/>
      <c r="AY358" s="196"/>
      <c r="AZ358" s="196"/>
      <c r="BA358" s="196"/>
      <c r="BB358" s="196"/>
      <c r="BC358" s="196"/>
      <c r="BD358" s="196"/>
      <c r="BE358" s="196"/>
      <c r="BF358" s="196"/>
    </row>
    <row r="359">
      <c r="A359" s="197"/>
      <c r="B359" s="198">
        <v>0.3784</v>
      </c>
      <c r="C359" s="198">
        <v>0.3552</v>
      </c>
      <c r="D359" s="198">
        <v>0.4104</v>
      </c>
      <c r="E359" s="198">
        <v>0.552</v>
      </c>
      <c r="F359" s="198">
        <v>1.6624</v>
      </c>
      <c r="G359" s="198">
        <v>0.5683</v>
      </c>
      <c r="H359" s="198">
        <v>1.1366</v>
      </c>
      <c r="I359" s="198">
        <v>1.4208</v>
      </c>
      <c r="J359" s="196"/>
      <c r="K359" s="196"/>
      <c r="L359" s="196"/>
      <c r="M359" s="196"/>
      <c r="N359" s="196"/>
      <c r="O359" s="196"/>
      <c r="P359" s="196"/>
      <c r="Q359" s="198">
        <v>0.0075</v>
      </c>
      <c r="R359" s="201">
        <v>720.0</v>
      </c>
      <c r="S359" s="198">
        <v>0.04</v>
      </c>
      <c r="T359" s="201">
        <v>385.0</v>
      </c>
      <c r="U359" s="198">
        <v>0.584</v>
      </c>
      <c r="V359" s="199">
        <v>0.15</v>
      </c>
      <c r="W359" s="196"/>
      <c r="X359" s="196"/>
      <c r="Y359" s="196"/>
      <c r="Z359" s="196"/>
      <c r="AA359" s="196"/>
      <c r="AB359" s="196"/>
      <c r="AC359" s="196"/>
      <c r="AD359" s="196"/>
      <c r="AE359" s="196"/>
      <c r="AF359" s="196"/>
      <c r="AG359" s="198">
        <v>0.176</v>
      </c>
      <c r="AH359" s="198">
        <v>1694.0</v>
      </c>
      <c r="AI359" s="196"/>
      <c r="AJ359" s="196"/>
      <c r="AK359" s="196"/>
      <c r="AL359" s="196"/>
      <c r="AM359" s="196"/>
      <c r="AN359" s="196"/>
      <c r="AO359" s="196"/>
      <c r="AP359" s="196"/>
      <c r="AQ359" s="196"/>
      <c r="AR359" s="196"/>
      <c r="AS359" s="196"/>
      <c r="AT359" s="196"/>
      <c r="AU359" s="196"/>
      <c r="AV359" s="196"/>
      <c r="AW359" s="196"/>
      <c r="AX359" s="196"/>
      <c r="AY359" s="196"/>
      <c r="AZ359" s="196"/>
      <c r="BA359" s="196"/>
      <c r="BB359" s="196"/>
      <c r="BC359" s="196"/>
      <c r="BD359" s="196"/>
      <c r="BE359" s="196"/>
      <c r="BF359" s="196"/>
    </row>
    <row r="360">
      <c r="A360" s="197"/>
      <c r="B360" s="201" t="s">
        <v>304</v>
      </c>
      <c r="C360" s="201" t="s">
        <v>304</v>
      </c>
      <c r="D360" s="201" t="s">
        <v>304</v>
      </c>
      <c r="E360" s="201" t="s">
        <v>304</v>
      </c>
      <c r="F360" s="201" t="s">
        <v>304</v>
      </c>
      <c r="G360" s="201" t="s">
        <v>304</v>
      </c>
      <c r="H360" s="201" t="s">
        <v>304</v>
      </c>
      <c r="I360" s="201" t="s">
        <v>304</v>
      </c>
      <c r="J360" s="196"/>
      <c r="K360" s="196"/>
      <c r="L360" s="196"/>
      <c r="M360" s="196"/>
      <c r="N360" s="196"/>
      <c r="O360" s="196"/>
      <c r="P360" s="196"/>
      <c r="Q360" s="201" t="s">
        <v>303</v>
      </c>
      <c r="R360" s="201"/>
      <c r="S360" s="201" t="s">
        <v>303</v>
      </c>
      <c r="T360" s="201" t="s">
        <v>390</v>
      </c>
      <c r="U360" s="201" t="s">
        <v>304</v>
      </c>
      <c r="V360" s="196"/>
      <c r="W360" s="196"/>
      <c r="X360" s="196"/>
      <c r="Y360" s="196"/>
      <c r="Z360" s="196"/>
      <c r="AA360" s="196"/>
      <c r="AB360" s="196"/>
      <c r="AC360" s="196"/>
      <c r="AD360" s="196"/>
      <c r="AE360" s="196"/>
      <c r="AF360" s="196"/>
      <c r="AG360" s="201" t="s">
        <v>303</v>
      </c>
      <c r="AH360" s="201" t="s">
        <v>390</v>
      </c>
      <c r="AI360" s="196"/>
      <c r="AJ360" s="196"/>
      <c r="AK360" s="196"/>
      <c r="AL360" s="196"/>
      <c r="AM360" s="196"/>
      <c r="AN360" s="196"/>
      <c r="AO360" s="196"/>
      <c r="AP360" s="196"/>
      <c r="AQ360" s="196"/>
      <c r="AR360" s="196"/>
      <c r="AS360" s="196"/>
      <c r="AT360" s="196"/>
      <c r="AU360" s="196"/>
      <c r="AV360" s="196"/>
      <c r="AW360" s="196"/>
      <c r="AX360" s="196"/>
      <c r="AY360" s="196"/>
      <c r="AZ360" s="196"/>
      <c r="BA360" s="196"/>
      <c r="BB360" s="196"/>
      <c r="BC360" s="196"/>
      <c r="BD360" s="196"/>
      <c r="BE360" s="196"/>
      <c r="BF360" s="196"/>
    </row>
    <row r="361">
      <c r="A361" s="197"/>
      <c r="B361" s="201" t="s">
        <v>147</v>
      </c>
      <c r="C361" s="201" t="s">
        <v>147</v>
      </c>
      <c r="D361" s="201" t="s">
        <v>147</v>
      </c>
      <c r="E361" s="201" t="s">
        <v>147</v>
      </c>
      <c r="F361" s="201" t="s">
        <v>152</v>
      </c>
      <c r="G361" s="201" t="s">
        <v>157</v>
      </c>
      <c r="H361" s="201" t="s">
        <v>157</v>
      </c>
      <c r="I361" s="201" t="s">
        <v>157</v>
      </c>
      <c r="J361" s="196"/>
      <c r="K361" s="196"/>
      <c r="L361" s="196"/>
      <c r="M361" s="196"/>
      <c r="N361" s="196"/>
      <c r="O361" s="196"/>
      <c r="P361" s="196"/>
      <c r="Q361" s="198"/>
      <c r="R361" s="201"/>
      <c r="S361" s="198"/>
      <c r="T361" s="201"/>
      <c r="U361" s="201" t="s">
        <v>160</v>
      </c>
      <c r="V361" s="196"/>
      <c r="W361" s="196"/>
      <c r="X361" s="196"/>
      <c r="Y361" s="196"/>
      <c r="Z361" s="196"/>
      <c r="AA361" s="196"/>
      <c r="AB361" s="196"/>
      <c r="AC361" s="196"/>
      <c r="AD361" s="196"/>
      <c r="AE361" s="196"/>
      <c r="AF361" s="196"/>
      <c r="AG361" s="198"/>
      <c r="AH361" s="198"/>
      <c r="AI361" s="196"/>
      <c r="AJ361" s="196"/>
      <c r="AK361" s="196"/>
      <c r="AL361" s="196"/>
      <c r="AM361" s="196"/>
      <c r="AN361" s="196"/>
      <c r="AO361" s="196"/>
      <c r="AP361" s="196"/>
      <c r="AQ361" s="196"/>
      <c r="AR361" s="196"/>
      <c r="AS361" s="196"/>
      <c r="AT361" s="196"/>
      <c r="AU361" s="196"/>
      <c r="AV361" s="196"/>
      <c r="AW361" s="196"/>
      <c r="AX361" s="196"/>
      <c r="AY361" s="196"/>
      <c r="AZ361" s="196"/>
      <c r="BA361" s="196"/>
      <c r="BB361" s="196"/>
      <c r="BC361" s="196"/>
      <c r="BD361" s="196"/>
      <c r="BE361" s="196"/>
      <c r="BF361" s="196"/>
    </row>
    <row r="362">
      <c r="A362" s="194" t="s">
        <v>315</v>
      </c>
      <c r="B362" s="195" t="s">
        <v>176</v>
      </c>
      <c r="C362" s="195" t="s">
        <v>177</v>
      </c>
      <c r="D362" s="195" t="s">
        <v>178</v>
      </c>
      <c r="E362" s="195" t="s">
        <v>179</v>
      </c>
      <c r="F362" s="195" t="s">
        <v>246</v>
      </c>
      <c r="G362" s="195" t="s">
        <v>578</v>
      </c>
      <c r="H362" s="195" t="s">
        <v>579</v>
      </c>
      <c r="I362" s="195" t="s">
        <v>181</v>
      </c>
      <c r="J362" s="195" t="s">
        <v>182</v>
      </c>
      <c r="K362" s="195" t="s">
        <v>183</v>
      </c>
      <c r="L362" s="195" t="s">
        <v>293</v>
      </c>
      <c r="M362" s="196"/>
      <c r="N362" s="196"/>
      <c r="O362" s="196"/>
      <c r="P362" s="196"/>
      <c r="Q362" s="195" t="s">
        <v>580</v>
      </c>
      <c r="R362" s="195" t="s">
        <v>581</v>
      </c>
      <c r="S362" s="195" t="s">
        <v>582</v>
      </c>
      <c r="T362" s="195" t="s">
        <v>583</v>
      </c>
      <c r="U362" s="195" t="s">
        <v>192</v>
      </c>
      <c r="V362" s="196"/>
      <c r="W362" s="196"/>
      <c r="X362" s="196"/>
      <c r="Y362" s="196"/>
      <c r="Z362" s="196"/>
      <c r="AA362" s="196"/>
      <c r="AB362" s="196"/>
      <c r="AC362" s="196"/>
      <c r="AD362" s="196"/>
      <c r="AE362" s="196"/>
      <c r="AF362" s="196"/>
      <c r="AG362" s="195" t="s">
        <v>294</v>
      </c>
      <c r="AH362" s="195" t="s">
        <v>584</v>
      </c>
      <c r="AI362" s="195" t="s">
        <v>585</v>
      </c>
      <c r="AJ362" s="195" t="s">
        <v>248</v>
      </c>
      <c r="AK362" s="195" t="s">
        <v>253</v>
      </c>
      <c r="AL362" s="196"/>
      <c r="AM362" s="196"/>
      <c r="AN362" s="196"/>
      <c r="AO362" s="196"/>
      <c r="AP362" s="196"/>
      <c r="AQ362" s="196"/>
      <c r="AR362" s="196"/>
      <c r="AS362" s="196"/>
      <c r="AT362" s="196"/>
      <c r="AU362" s="196"/>
      <c r="AV362" s="196"/>
      <c r="AW362" s="196"/>
      <c r="AX362" s="196"/>
      <c r="AY362" s="196"/>
      <c r="AZ362" s="196"/>
      <c r="BA362" s="196"/>
      <c r="BB362" s="196"/>
      <c r="BC362" s="196"/>
      <c r="BD362" s="196"/>
      <c r="BE362" s="196"/>
      <c r="BF362" s="196"/>
    </row>
    <row r="363">
      <c r="A363" s="197"/>
      <c r="B363" s="195" t="s">
        <v>528</v>
      </c>
      <c r="C363" s="195" t="s">
        <v>528</v>
      </c>
      <c r="D363" s="195" t="s">
        <v>528</v>
      </c>
      <c r="E363" s="195" t="s">
        <v>528</v>
      </c>
      <c r="F363" s="195" t="s">
        <v>528</v>
      </c>
      <c r="G363" s="195" t="s">
        <v>528</v>
      </c>
      <c r="H363" s="195" t="s">
        <v>528</v>
      </c>
      <c r="I363" s="195" t="s">
        <v>529</v>
      </c>
      <c r="J363" s="195" t="s">
        <v>529</v>
      </c>
      <c r="K363" s="195" t="s">
        <v>529</v>
      </c>
      <c r="L363" s="195" t="s">
        <v>531</v>
      </c>
      <c r="M363" s="196"/>
      <c r="N363" s="196"/>
      <c r="O363" s="196"/>
      <c r="P363" s="196"/>
      <c r="Q363" s="195" t="s">
        <v>530</v>
      </c>
      <c r="R363" s="195" t="s">
        <v>577</v>
      </c>
      <c r="S363" s="195" t="s">
        <v>530</v>
      </c>
      <c r="T363" s="195" t="s">
        <v>530</v>
      </c>
      <c r="U363" s="195" t="s">
        <v>531</v>
      </c>
      <c r="V363" s="196"/>
      <c r="W363" s="196"/>
      <c r="X363" s="196"/>
      <c r="Y363" s="196"/>
      <c r="Z363" s="196"/>
      <c r="AA363" s="196"/>
      <c r="AB363" s="196"/>
      <c r="AC363" s="196"/>
      <c r="AD363" s="196"/>
      <c r="AE363" s="196"/>
      <c r="AF363" s="196"/>
      <c r="AG363" s="195" t="s">
        <v>530</v>
      </c>
      <c r="AH363" s="195" t="s">
        <v>530</v>
      </c>
      <c r="AI363" s="195" t="s">
        <v>586</v>
      </c>
      <c r="AJ363" s="195" t="s">
        <v>531</v>
      </c>
      <c r="AK363" s="195" t="s">
        <v>531</v>
      </c>
      <c r="AL363" s="196"/>
      <c r="AM363" s="196"/>
      <c r="AN363" s="196"/>
      <c r="AO363" s="196"/>
      <c r="AP363" s="196"/>
      <c r="AQ363" s="196"/>
      <c r="AR363" s="196"/>
      <c r="AS363" s="196"/>
      <c r="AT363" s="196"/>
      <c r="AU363" s="196"/>
      <c r="AV363" s="196"/>
      <c r="AW363" s="196"/>
      <c r="AX363" s="196"/>
      <c r="AY363" s="196"/>
      <c r="AZ363" s="196"/>
      <c r="BA363" s="196"/>
      <c r="BB363" s="196"/>
      <c r="BC363" s="196"/>
      <c r="BD363" s="196"/>
      <c r="BE363" s="196"/>
      <c r="BF363" s="196"/>
    </row>
    <row r="364">
      <c r="A364" s="197"/>
      <c r="B364" s="198">
        <v>0.7112</v>
      </c>
      <c r="C364" s="198">
        <v>0.7086</v>
      </c>
      <c r="D364" s="198">
        <v>0.8832</v>
      </c>
      <c r="E364" s="198">
        <v>0.8652</v>
      </c>
      <c r="F364" s="198">
        <v>1.1214</v>
      </c>
      <c r="G364" s="198">
        <v>0.5624</v>
      </c>
      <c r="H364" s="198">
        <v>1.0182</v>
      </c>
      <c r="I364" s="198">
        <v>0.7459</v>
      </c>
      <c r="J364" s="198">
        <v>1.4918</v>
      </c>
      <c r="K364" s="198">
        <v>1.8648</v>
      </c>
      <c r="L364" s="200">
        <v>0.2</v>
      </c>
      <c r="M364" s="196"/>
      <c r="N364" s="196"/>
      <c r="O364" s="196"/>
      <c r="P364" s="196"/>
      <c r="Q364" s="198">
        <v>0.144</v>
      </c>
      <c r="R364" s="201">
        <v>1386.0</v>
      </c>
      <c r="S364" s="198">
        <v>1.216</v>
      </c>
      <c r="T364" s="198">
        <v>1.6</v>
      </c>
      <c r="U364" s="199">
        <v>0.15</v>
      </c>
      <c r="V364" s="196"/>
      <c r="W364" s="196"/>
      <c r="X364" s="196"/>
      <c r="Y364" s="196"/>
      <c r="Z364" s="196"/>
      <c r="AA364" s="196"/>
      <c r="AB364" s="196"/>
      <c r="AC364" s="196"/>
      <c r="AD364" s="196"/>
      <c r="AE364" s="196"/>
      <c r="AF364" s="196"/>
      <c r="AG364" s="198">
        <v>1.216</v>
      </c>
      <c r="AH364" s="198">
        <v>0.96</v>
      </c>
      <c r="AI364" s="198">
        <v>0.2</v>
      </c>
      <c r="AJ364" s="199">
        <v>0.16</v>
      </c>
      <c r="AK364" s="199">
        <v>-0.15</v>
      </c>
      <c r="AL364" s="196"/>
      <c r="AM364" s="196"/>
      <c r="AN364" s="196"/>
      <c r="AO364" s="196"/>
      <c r="AP364" s="196"/>
      <c r="AQ364" s="196"/>
      <c r="AR364" s="196"/>
      <c r="AS364" s="196"/>
      <c r="AT364" s="196"/>
      <c r="AU364" s="196"/>
      <c r="AV364" s="196"/>
      <c r="AW364" s="196"/>
      <c r="AX364" s="196"/>
      <c r="AY364" s="196"/>
      <c r="AZ364" s="196"/>
      <c r="BA364" s="196"/>
      <c r="BB364" s="196"/>
      <c r="BC364" s="196"/>
      <c r="BD364" s="196"/>
      <c r="BE364" s="196"/>
      <c r="BF364" s="196"/>
    </row>
    <row r="365">
      <c r="A365" s="197"/>
      <c r="B365" s="201" t="s">
        <v>304</v>
      </c>
      <c r="C365" s="201" t="s">
        <v>304</v>
      </c>
      <c r="D365" s="201" t="s">
        <v>304</v>
      </c>
      <c r="E365" s="201" t="s">
        <v>304</v>
      </c>
      <c r="F365" s="201" t="s">
        <v>304</v>
      </c>
      <c r="G365" s="201" t="s">
        <v>304</v>
      </c>
      <c r="H365" s="201" t="s">
        <v>304</v>
      </c>
      <c r="I365" s="201" t="s">
        <v>304</v>
      </c>
      <c r="J365" s="201" t="s">
        <v>304</v>
      </c>
      <c r="K365" s="201" t="s">
        <v>304</v>
      </c>
      <c r="L365" s="195" t="s">
        <v>304</v>
      </c>
      <c r="M365" s="196"/>
      <c r="N365" s="196"/>
      <c r="O365" s="196"/>
      <c r="P365" s="196"/>
      <c r="Q365" s="201" t="s">
        <v>303</v>
      </c>
      <c r="R365" s="201"/>
      <c r="S365" s="201" t="s">
        <v>304</v>
      </c>
      <c r="T365" s="201" t="s">
        <v>304</v>
      </c>
      <c r="U365" s="195"/>
      <c r="V365" s="196"/>
      <c r="W365" s="196"/>
      <c r="X365" s="196"/>
      <c r="Y365" s="196"/>
      <c r="Z365" s="196"/>
      <c r="AA365" s="196"/>
      <c r="AB365" s="196"/>
      <c r="AC365" s="196"/>
      <c r="AD365" s="196"/>
      <c r="AE365" s="196"/>
      <c r="AF365" s="196"/>
      <c r="AG365" s="201" t="s">
        <v>304</v>
      </c>
      <c r="AH365" s="201" t="s">
        <v>304</v>
      </c>
      <c r="AI365" s="201"/>
      <c r="AJ365" s="195" t="s">
        <v>303</v>
      </c>
      <c r="AK365" s="196"/>
      <c r="AL365" s="196"/>
      <c r="AM365" s="196"/>
      <c r="AN365" s="196"/>
      <c r="AO365" s="196"/>
      <c r="AP365" s="196"/>
      <c r="AQ365" s="196"/>
      <c r="AR365" s="196"/>
      <c r="AS365" s="196"/>
      <c r="AT365" s="196"/>
      <c r="AU365" s="196"/>
      <c r="AV365" s="196"/>
      <c r="AW365" s="196"/>
      <c r="AX365" s="196"/>
      <c r="AY365" s="196"/>
      <c r="AZ365" s="196"/>
      <c r="BA365" s="196"/>
      <c r="BB365" s="196"/>
      <c r="BC365" s="196"/>
      <c r="BD365" s="196"/>
      <c r="BE365" s="196"/>
      <c r="BF365" s="196"/>
    </row>
    <row r="366">
      <c r="A366" s="197"/>
      <c r="B366" s="201" t="s">
        <v>147</v>
      </c>
      <c r="C366" s="201" t="s">
        <v>147</v>
      </c>
      <c r="D366" s="201" t="s">
        <v>147</v>
      </c>
      <c r="E366" s="201" t="s">
        <v>147</v>
      </c>
      <c r="F366" s="201" t="s">
        <v>147</v>
      </c>
      <c r="G366" s="201" t="s">
        <v>152</v>
      </c>
      <c r="H366" s="201" t="s">
        <v>152</v>
      </c>
      <c r="I366" s="201" t="s">
        <v>157</v>
      </c>
      <c r="J366" s="201" t="s">
        <v>157</v>
      </c>
      <c r="K366" s="201" t="s">
        <v>157</v>
      </c>
      <c r="L366" s="196"/>
      <c r="M366" s="196"/>
      <c r="N366" s="196"/>
      <c r="O366" s="196"/>
      <c r="P366" s="196"/>
      <c r="Q366" s="198"/>
      <c r="R366" s="201"/>
      <c r="S366" s="201" t="s">
        <v>160</v>
      </c>
      <c r="T366" s="201" t="s">
        <v>160</v>
      </c>
      <c r="U366" s="196"/>
      <c r="V366" s="196"/>
      <c r="W366" s="196"/>
      <c r="X366" s="196"/>
      <c r="Y366" s="196"/>
      <c r="Z366" s="196"/>
      <c r="AA366" s="196"/>
      <c r="AB366" s="196"/>
      <c r="AC366" s="196"/>
      <c r="AD366" s="196"/>
      <c r="AE366" s="196"/>
      <c r="AF366" s="196"/>
      <c r="AG366" s="201" t="s">
        <v>164</v>
      </c>
      <c r="AH366" s="201" t="s">
        <v>164</v>
      </c>
      <c r="AI366" s="198"/>
      <c r="AJ366" s="196"/>
      <c r="AK366" s="196"/>
      <c r="AL366" s="196"/>
      <c r="AM366" s="196"/>
      <c r="AN366" s="196"/>
      <c r="AO366" s="196"/>
      <c r="AP366" s="196"/>
      <c r="AQ366" s="196"/>
      <c r="AR366" s="196"/>
      <c r="AS366" s="196"/>
      <c r="AT366" s="196"/>
      <c r="AU366" s="196"/>
      <c r="AV366" s="196"/>
      <c r="AW366" s="196"/>
      <c r="AX366" s="196"/>
      <c r="AY366" s="196"/>
      <c r="AZ366" s="196"/>
      <c r="BA366" s="196"/>
      <c r="BB366" s="196"/>
      <c r="BC366" s="196"/>
      <c r="BD366" s="196"/>
      <c r="BE366" s="196"/>
      <c r="BF366" s="196"/>
    </row>
    <row r="367">
      <c r="A367" s="194" t="s">
        <v>75</v>
      </c>
      <c r="B367" s="195" t="s">
        <v>176</v>
      </c>
      <c r="C367" s="195" t="s">
        <v>177</v>
      </c>
      <c r="D367" s="195" t="s">
        <v>178</v>
      </c>
      <c r="E367" s="195" t="s">
        <v>179</v>
      </c>
      <c r="F367" s="195" t="s">
        <v>246</v>
      </c>
      <c r="G367" s="195" t="s">
        <v>270</v>
      </c>
      <c r="H367" s="195" t="s">
        <v>271</v>
      </c>
      <c r="I367" s="195" t="s">
        <v>181</v>
      </c>
      <c r="J367" s="195" t="s">
        <v>182</v>
      </c>
      <c r="K367" s="195" t="s">
        <v>183</v>
      </c>
      <c r="L367" s="196"/>
      <c r="M367" s="196"/>
      <c r="N367" s="196"/>
      <c r="O367" s="196"/>
      <c r="P367" s="196"/>
      <c r="Q367" s="195" t="s">
        <v>184</v>
      </c>
      <c r="R367" s="195" t="s">
        <v>288</v>
      </c>
      <c r="S367" s="195" t="s">
        <v>289</v>
      </c>
      <c r="T367" s="195" t="s">
        <v>290</v>
      </c>
      <c r="U367" s="195" t="s">
        <v>291</v>
      </c>
      <c r="V367" s="195" t="s">
        <v>292</v>
      </c>
      <c r="W367" s="195" t="s">
        <v>293</v>
      </c>
      <c r="X367" s="196"/>
      <c r="Y367" s="196"/>
      <c r="Z367" s="196"/>
      <c r="AA367" s="196"/>
      <c r="AB367" s="196"/>
      <c r="AC367" s="196"/>
      <c r="AD367" s="196"/>
      <c r="AE367" s="196"/>
      <c r="AF367" s="196"/>
      <c r="AG367" s="195" t="s">
        <v>294</v>
      </c>
      <c r="AH367" s="195" t="s">
        <v>295</v>
      </c>
      <c r="AI367" s="195" t="s">
        <v>296</v>
      </c>
      <c r="AJ367" s="195" t="s">
        <v>297</v>
      </c>
      <c r="AK367" s="195" t="s">
        <v>248</v>
      </c>
      <c r="AL367" s="195" t="s">
        <v>189</v>
      </c>
      <c r="AM367" s="195" t="s">
        <v>253</v>
      </c>
      <c r="AN367" s="196"/>
      <c r="AO367" s="196"/>
      <c r="AP367" s="196"/>
      <c r="AQ367" s="196"/>
      <c r="AR367" s="196"/>
      <c r="AS367" s="196"/>
      <c r="AT367" s="196"/>
      <c r="AU367" s="196"/>
      <c r="AV367" s="196"/>
      <c r="AW367" s="196"/>
      <c r="AX367" s="196"/>
      <c r="AY367" s="196"/>
      <c r="AZ367" s="196"/>
      <c r="BA367" s="196"/>
      <c r="BB367" s="196"/>
      <c r="BC367" s="196"/>
      <c r="BD367" s="196"/>
      <c r="BE367" s="196"/>
      <c r="BF367" s="196"/>
    </row>
    <row r="368">
      <c r="A368" s="197"/>
      <c r="B368" s="195" t="s">
        <v>529</v>
      </c>
      <c r="C368" s="195" t="s">
        <v>529</v>
      </c>
      <c r="D368" s="195" t="s">
        <v>529</v>
      </c>
      <c r="E368" s="195" t="s">
        <v>529</v>
      </c>
      <c r="F368" s="195" t="s">
        <v>529</v>
      </c>
      <c r="G368" s="195" t="s">
        <v>529</v>
      </c>
      <c r="H368" s="195" t="s">
        <v>529</v>
      </c>
      <c r="I368" s="195" t="s">
        <v>529</v>
      </c>
      <c r="J368" s="195" t="s">
        <v>529</v>
      </c>
      <c r="K368" s="195" t="s">
        <v>529</v>
      </c>
      <c r="L368" s="196"/>
      <c r="M368" s="196"/>
      <c r="N368" s="196"/>
      <c r="O368" s="196"/>
      <c r="P368" s="196"/>
      <c r="Q368" s="195" t="s">
        <v>530</v>
      </c>
      <c r="R368" s="195" t="s">
        <v>530</v>
      </c>
      <c r="S368" s="195" t="s">
        <v>530</v>
      </c>
      <c r="T368" s="195" t="s">
        <v>530</v>
      </c>
      <c r="U368" s="195" t="s">
        <v>530</v>
      </c>
      <c r="V368" s="195" t="s">
        <v>530</v>
      </c>
      <c r="W368" s="195" t="s">
        <v>531</v>
      </c>
      <c r="X368" s="196"/>
      <c r="Y368" s="196"/>
      <c r="Z368" s="196"/>
      <c r="AA368" s="196"/>
      <c r="AB368" s="196"/>
      <c r="AC368" s="196"/>
      <c r="AD368" s="196"/>
      <c r="AE368" s="196"/>
      <c r="AF368" s="196"/>
      <c r="AG368" s="195" t="s">
        <v>530</v>
      </c>
      <c r="AH368" s="195" t="s">
        <v>530</v>
      </c>
      <c r="AI368" s="195" t="s">
        <v>577</v>
      </c>
      <c r="AJ368" s="195" t="s">
        <v>530</v>
      </c>
      <c r="AK368" s="195" t="s">
        <v>531</v>
      </c>
      <c r="AL368" s="195" t="s">
        <v>531</v>
      </c>
      <c r="AM368" s="195" t="s">
        <v>531</v>
      </c>
      <c r="AN368" s="196"/>
      <c r="AO368" s="196"/>
      <c r="AP368" s="196"/>
      <c r="AQ368" s="196"/>
      <c r="AR368" s="196"/>
      <c r="AS368" s="196"/>
      <c r="AT368" s="196"/>
      <c r="AU368" s="196"/>
      <c r="AV368" s="196"/>
      <c r="AW368" s="196"/>
      <c r="AX368" s="196"/>
      <c r="AY368" s="196"/>
      <c r="AZ368" s="196"/>
      <c r="BA368" s="196"/>
      <c r="BB368" s="196"/>
      <c r="BC368" s="196"/>
      <c r="BD368" s="196"/>
      <c r="BE368" s="196"/>
      <c r="BF368" s="196"/>
    </row>
    <row r="369">
      <c r="A369" s="197"/>
      <c r="B369" s="198">
        <v>0.4455</v>
      </c>
      <c r="C369" s="198">
        <v>0.4274</v>
      </c>
      <c r="D369" s="198">
        <v>0.5461</v>
      </c>
      <c r="E369" s="198">
        <v>0.5968</v>
      </c>
      <c r="F369" s="198">
        <v>0.719</v>
      </c>
      <c r="G369" s="198">
        <v>0.559</v>
      </c>
      <c r="H369" s="198">
        <v>0.6072</v>
      </c>
      <c r="I369" s="198">
        <v>0.6393</v>
      </c>
      <c r="J369" s="198">
        <v>1.2786</v>
      </c>
      <c r="K369" s="198">
        <v>1.5983</v>
      </c>
      <c r="L369" s="196"/>
      <c r="M369" s="196"/>
      <c r="N369" s="196"/>
      <c r="O369" s="196"/>
      <c r="P369" s="196"/>
      <c r="Q369" s="198">
        <v>1.376</v>
      </c>
      <c r="R369" s="201">
        <v>0.84</v>
      </c>
      <c r="S369" s="198">
        <v>0.92</v>
      </c>
      <c r="T369" s="201">
        <v>0.88</v>
      </c>
      <c r="U369" s="198">
        <v>0.96</v>
      </c>
      <c r="V369" s="198">
        <v>1.32</v>
      </c>
      <c r="W369" s="199">
        <v>1.35</v>
      </c>
      <c r="X369" s="196"/>
      <c r="Y369" s="196"/>
      <c r="Z369" s="196"/>
      <c r="AA369" s="196"/>
      <c r="AB369" s="196"/>
      <c r="AC369" s="196"/>
      <c r="AD369" s="196"/>
      <c r="AE369" s="196"/>
      <c r="AF369" s="196"/>
      <c r="AG369" s="198">
        <v>2.328</v>
      </c>
      <c r="AH369" s="198">
        <v>0.06</v>
      </c>
      <c r="AI369" s="198">
        <v>577.0</v>
      </c>
      <c r="AJ369" s="198">
        <v>0.56</v>
      </c>
      <c r="AK369" s="199">
        <v>0.2</v>
      </c>
      <c r="AL369" s="199">
        <v>0.3</v>
      </c>
      <c r="AM369" s="199">
        <v>0.15</v>
      </c>
      <c r="AN369" s="196"/>
      <c r="AO369" s="196"/>
      <c r="AP369" s="196"/>
      <c r="AQ369" s="196"/>
      <c r="AR369" s="196"/>
      <c r="AS369" s="196"/>
      <c r="AT369" s="196"/>
      <c r="AU369" s="196"/>
      <c r="AV369" s="196"/>
      <c r="AW369" s="196"/>
      <c r="AX369" s="196"/>
      <c r="AY369" s="196"/>
      <c r="AZ369" s="196"/>
      <c r="BA369" s="196"/>
      <c r="BB369" s="196"/>
      <c r="BC369" s="196"/>
      <c r="BD369" s="196"/>
      <c r="BE369" s="196"/>
      <c r="BF369" s="196"/>
    </row>
    <row r="370">
      <c r="A370" s="197"/>
      <c r="B370" s="201" t="s">
        <v>304</v>
      </c>
      <c r="C370" s="201" t="s">
        <v>304</v>
      </c>
      <c r="D370" s="201" t="s">
        <v>304</v>
      </c>
      <c r="E370" s="201" t="s">
        <v>304</v>
      </c>
      <c r="F370" s="201" t="s">
        <v>304</v>
      </c>
      <c r="G370" s="201" t="s">
        <v>304</v>
      </c>
      <c r="H370" s="201" t="s">
        <v>304</v>
      </c>
      <c r="I370" s="201" t="s">
        <v>304</v>
      </c>
      <c r="J370" s="201" t="s">
        <v>304</v>
      </c>
      <c r="K370" s="201" t="s">
        <v>304</v>
      </c>
      <c r="L370" s="196"/>
      <c r="M370" s="196"/>
      <c r="N370" s="196"/>
      <c r="O370" s="196"/>
      <c r="P370" s="196"/>
      <c r="Q370" s="201" t="s">
        <v>304</v>
      </c>
      <c r="R370" s="201" t="s">
        <v>304</v>
      </c>
      <c r="S370" s="201" t="s">
        <v>304</v>
      </c>
      <c r="T370" s="201" t="s">
        <v>304</v>
      </c>
      <c r="U370" s="201" t="s">
        <v>304</v>
      </c>
      <c r="V370" s="201" t="s">
        <v>304</v>
      </c>
      <c r="W370" s="196"/>
      <c r="X370" s="196"/>
      <c r="Y370" s="196"/>
      <c r="Z370" s="196"/>
      <c r="AA370" s="196"/>
      <c r="AB370" s="196"/>
      <c r="AC370" s="196"/>
      <c r="AD370" s="196"/>
      <c r="AE370" s="196"/>
      <c r="AF370" s="196"/>
      <c r="AG370" s="201" t="s">
        <v>304</v>
      </c>
      <c r="AH370" s="201" t="s">
        <v>303</v>
      </c>
      <c r="AI370" s="201"/>
      <c r="AJ370" s="201"/>
      <c r="AK370" s="196"/>
      <c r="AL370" s="196"/>
      <c r="AM370" s="196"/>
      <c r="AN370" s="196"/>
      <c r="AO370" s="196"/>
      <c r="AP370" s="196"/>
      <c r="AQ370" s="196"/>
      <c r="AR370" s="196"/>
      <c r="AS370" s="196"/>
      <c r="AT370" s="196"/>
      <c r="AU370" s="196"/>
      <c r="AV370" s="196"/>
      <c r="AW370" s="196"/>
      <c r="AX370" s="196"/>
      <c r="AY370" s="196"/>
      <c r="AZ370" s="196"/>
      <c r="BA370" s="196"/>
      <c r="BB370" s="196"/>
      <c r="BC370" s="196"/>
      <c r="BD370" s="196"/>
      <c r="BE370" s="196"/>
      <c r="BF370" s="196"/>
    </row>
    <row r="371">
      <c r="A371" s="197"/>
      <c r="B371" s="201" t="s">
        <v>147</v>
      </c>
      <c r="C371" s="201" t="s">
        <v>147</v>
      </c>
      <c r="D371" s="201" t="s">
        <v>147</v>
      </c>
      <c r="E371" s="201" t="s">
        <v>147</v>
      </c>
      <c r="F371" s="201" t="s">
        <v>147</v>
      </c>
      <c r="G371" s="201" t="s">
        <v>152</v>
      </c>
      <c r="H371" s="201" t="s">
        <v>152</v>
      </c>
      <c r="I371" s="201" t="s">
        <v>157</v>
      </c>
      <c r="J371" s="201" t="s">
        <v>157</v>
      </c>
      <c r="K371" s="201" t="s">
        <v>157</v>
      </c>
      <c r="L371" s="196"/>
      <c r="M371" s="196"/>
      <c r="N371" s="196"/>
      <c r="O371" s="196"/>
      <c r="P371" s="196"/>
      <c r="Q371" s="201" t="s">
        <v>160</v>
      </c>
      <c r="R371" s="201" t="s">
        <v>160</v>
      </c>
      <c r="S371" s="201" t="s">
        <v>160</v>
      </c>
      <c r="T371" s="201" t="s">
        <v>160</v>
      </c>
      <c r="U371" s="201" t="s">
        <v>160</v>
      </c>
      <c r="V371" s="201" t="s">
        <v>160</v>
      </c>
      <c r="W371" s="196"/>
      <c r="X371" s="196"/>
      <c r="Y371" s="196"/>
      <c r="Z371" s="196"/>
      <c r="AA371" s="196"/>
      <c r="AB371" s="196"/>
      <c r="AC371" s="196"/>
      <c r="AD371" s="196"/>
      <c r="AE371" s="196"/>
      <c r="AF371" s="196"/>
      <c r="AG371" s="201" t="s">
        <v>164</v>
      </c>
      <c r="AH371" s="198"/>
      <c r="AI371" s="198"/>
      <c r="AJ371" s="198"/>
      <c r="AK371" s="196"/>
      <c r="AL371" s="196"/>
      <c r="AM371" s="196"/>
      <c r="AN371" s="196"/>
      <c r="AO371" s="196"/>
      <c r="AP371" s="196"/>
      <c r="AQ371" s="196"/>
      <c r="AR371" s="196"/>
      <c r="AS371" s="196"/>
      <c r="AT371" s="196"/>
      <c r="AU371" s="196"/>
      <c r="AV371" s="196"/>
      <c r="AW371" s="196"/>
      <c r="AX371" s="196"/>
      <c r="AY371" s="196"/>
      <c r="AZ371" s="196"/>
      <c r="BA371" s="196"/>
      <c r="BB371" s="196"/>
      <c r="BC371" s="196"/>
      <c r="BD371" s="196"/>
      <c r="BE371" s="196"/>
      <c r="BF371" s="196"/>
    </row>
    <row r="372">
      <c r="A372" s="194" t="s">
        <v>316</v>
      </c>
      <c r="B372" s="195" t="s">
        <v>176</v>
      </c>
      <c r="C372" s="195" t="s">
        <v>177</v>
      </c>
      <c r="D372" s="195" t="s">
        <v>178</v>
      </c>
      <c r="E372" s="195" t="s">
        <v>179</v>
      </c>
      <c r="F372" s="195" t="s">
        <v>578</v>
      </c>
      <c r="G372" s="195" t="s">
        <v>579</v>
      </c>
      <c r="H372" s="195" t="s">
        <v>181</v>
      </c>
      <c r="I372" s="195" t="s">
        <v>182</v>
      </c>
      <c r="J372" s="195" t="s">
        <v>183</v>
      </c>
      <c r="K372" s="195" t="s">
        <v>587</v>
      </c>
      <c r="L372" s="196"/>
      <c r="M372" s="196"/>
      <c r="N372" s="196"/>
      <c r="O372" s="196"/>
      <c r="P372" s="196"/>
      <c r="Q372" s="195" t="s">
        <v>588</v>
      </c>
      <c r="R372" s="195" t="s">
        <v>192</v>
      </c>
      <c r="S372" s="196"/>
      <c r="T372" s="196"/>
      <c r="U372" s="196"/>
      <c r="V372" s="196"/>
      <c r="W372" s="196"/>
      <c r="X372" s="196"/>
      <c r="Y372" s="196"/>
      <c r="Z372" s="196"/>
      <c r="AA372" s="196"/>
      <c r="AB372" s="196"/>
      <c r="AC372" s="196"/>
      <c r="AD372" s="196"/>
      <c r="AE372" s="196"/>
      <c r="AF372" s="196"/>
      <c r="AG372" s="195" t="s">
        <v>542</v>
      </c>
      <c r="AH372" s="195" t="s">
        <v>253</v>
      </c>
      <c r="AI372" s="196"/>
      <c r="AJ372" s="196"/>
      <c r="AK372" s="196"/>
      <c r="AL372" s="196"/>
      <c r="AM372" s="196"/>
      <c r="AN372" s="196"/>
      <c r="AO372" s="196"/>
      <c r="AP372" s="196"/>
      <c r="AQ372" s="196"/>
      <c r="AR372" s="196"/>
      <c r="AS372" s="196"/>
      <c r="AT372" s="196"/>
      <c r="AU372" s="196"/>
      <c r="AV372" s="196"/>
      <c r="AW372" s="196"/>
      <c r="AX372" s="196"/>
      <c r="AY372" s="196"/>
      <c r="AZ372" s="196"/>
      <c r="BA372" s="196"/>
      <c r="BB372" s="196"/>
      <c r="BC372" s="196"/>
      <c r="BD372" s="196"/>
      <c r="BE372" s="196"/>
      <c r="BF372" s="196"/>
    </row>
    <row r="373">
      <c r="A373" s="197"/>
      <c r="B373" s="195" t="s">
        <v>529</v>
      </c>
      <c r="C373" s="195" t="s">
        <v>529</v>
      </c>
      <c r="D373" s="195" t="s">
        <v>529</v>
      </c>
      <c r="E373" s="195" t="s">
        <v>529</v>
      </c>
      <c r="F373" s="195" t="s">
        <v>529</v>
      </c>
      <c r="G373" s="195" t="s">
        <v>529</v>
      </c>
      <c r="H373" s="195" t="s">
        <v>529</v>
      </c>
      <c r="I373" s="195" t="s">
        <v>529</v>
      </c>
      <c r="J373" s="195" t="s">
        <v>529</v>
      </c>
      <c r="K373" s="195" t="s">
        <v>531</v>
      </c>
      <c r="L373" s="196"/>
      <c r="M373" s="196"/>
      <c r="N373" s="196"/>
      <c r="O373" s="196"/>
      <c r="P373" s="196"/>
      <c r="Q373" s="195" t="s">
        <v>530</v>
      </c>
      <c r="R373" s="195" t="s">
        <v>531</v>
      </c>
      <c r="S373" s="196"/>
      <c r="T373" s="196"/>
      <c r="U373" s="196"/>
      <c r="V373" s="196"/>
      <c r="W373" s="196"/>
      <c r="X373" s="196"/>
      <c r="Y373" s="196"/>
      <c r="Z373" s="196"/>
      <c r="AA373" s="196"/>
      <c r="AB373" s="196"/>
      <c r="AC373" s="196"/>
      <c r="AD373" s="196"/>
      <c r="AE373" s="196"/>
      <c r="AF373" s="196"/>
      <c r="AG373" s="195" t="s">
        <v>530</v>
      </c>
      <c r="AH373" s="195" t="s">
        <v>589</v>
      </c>
      <c r="AI373" s="196"/>
      <c r="AJ373" s="196"/>
      <c r="AK373" s="196"/>
      <c r="AL373" s="196"/>
      <c r="AM373" s="196"/>
      <c r="AN373" s="196"/>
      <c r="AO373" s="196"/>
      <c r="AP373" s="196"/>
      <c r="AQ373" s="196"/>
      <c r="AR373" s="196"/>
      <c r="AS373" s="196"/>
      <c r="AT373" s="196"/>
      <c r="AU373" s="196"/>
      <c r="AV373" s="196"/>
      <c r="AW373" s="196"/>
      <c r="AX373" s="196"/>
      <c r="AY373" s="196"/>
      <c r="AZ373" s="196"/>
      <c r="BA373" s="196"/>
      <c r="BB373" s="196"/>
      <c r="BC373" s="196"/>
      <c r="BD373" s="196"/>
      <c r="BE373" s="196"/>
      <c r="BF373" s="196"/>
    </row>
    <row r="374">
      <c r="A374" s="197"/>
      <c r="B374" s="198">
        <v>0.7</v>
      </c>
      <c r="C374" s="198">
        <v>0.6312</v>
      </c>
      <c r="D374" s="198">
        <v>0.8032</v>
      </c>
      <c r="E374" s="198">
        <v>1.0122</v>
      </c>
      <c r="F374" s="198">
        <v>0.5629</v>
      </c>
      <c r="G374" s="198">
        <v>1.0178</v>
      </c>
      <c r="H374" s="198">
        <v>0.7459</v>
      </c>
      <c r="I374" s="198">
        <v>1.4918</v>
      </c>
      <c r="J374" s="198">
        <v>1.8648</v>
      </c>
      <c r="K374" s="200">
        <v>0.5</v>
      </c>
      <c r="L374" s="196"/>
      <c r="M374" s="196"/>
      <c r="N374" s="196"/>
      <c r="O374" s="196"/>
      <c r="P374" s="196"/>
      <c r="Q374" s="198">
        <v>1.7204</v>
      </c>
      <c r="R374" s="199">
        <v>-0.1</v>
      </c>
      <c r="S374" s="196"/>
      <c r="T374" s="196"/>
      <c r="U374" s="196"/>
      <c r="V374" s="196"/>
      <c r="W374" s="196"/>
      <c r="X374" s="196"/>
      <c r="Y374" s="196"/>
      <c r="Z374" s="196"/>
      <c r="AA374" s="196"/>
      <c r="AB374" s="196"/>
      <c r="AC374" s="196"/>
      <c r="AD374" s="196"/>
      <c r="AE374" s="196"/>
      <c r="AF374" s="196"/>
      <c r="AG374" s="198">
        <v>1.424</v>
      </c>
      <c r="AH374" s="199">
        <v>0.15</v>
      </c>
      <c r="AI374" s="196"/>
      <c r="AJ374" s="196"/>
      <c r="AK374" s="196"/>
      <c r="AL374" s="196"/>
      <c r="AM374" s="196"/>
      <c r="AN374" s="196"/>
      <c r="AO374" s="196"/>
      <c r="AP374" s="196"/>
      <c r="AQ374" s="196"/>
      <c r="AR374" s="196"/>
      <c r="AS374" s="196"/>
      <c r="AT374" s="196"/>
      <c r="AU374" s="196"/>
      <c r="AV374" s="196"/>
      <c r="AW374" s="196"/>
      <c r="AX374" s="196"/>
      <c r="AY374" s="196"/>
      <c r="AZ374" s="196"/>
      <c r="BA374" s="196"/>
      <c r="BB374" s="196"/>
      <c r="BC374" s="196"/>
      <c r="BD374" s="196"/>
      <c r="BE374" s="196"/>
      <c r="BF374" s="196"/>
    </row>
    <row r="375">
      <c r="A375" s="197"/>
      <c r="B375" s="201" t="s">
        <v>304</v>
      </c>
      <c r="C375" s="201" t="s">
        <v>304</v>
      </c>
      <c r="D375" s="201" t="s">
        <v>304</v>
      </c>
      <c r="E375" s="201" t="s">
        <v>304</v>
      </c>
      <c r="F375" s="201" t="s">
        <v>304</v>
      </c>
      <c r="G375" s="201" t="s">
        <v>304</v>
      </c>
      <c r="H375" s="201" t="s">
        <v>304</v>
      </c>
      <c r="I375" s="201" t="s">
        <v>304</v>
      </c>
      <c r="J375" s="201" t="s">
        <v>304</v>
      </c>
      <c r="K375" s="195" t="s">
        <v>304</v>
      </c>
      <c r="L375" s="196"/>
      <c r="M375" s="196"/>
      <c r="N375" s="196"/>
      <c r="O375" s="196"/>
      <c r="P375" s="196"/>
      <c r="Q375" s="201" t="s">
        <v>304</v>
      </c>
      <c r="R375" s="196"/>
      <c r="S375" s="196"/>
      <c r="T375" s="196"/>
      <c r="U375" s="196"/>
      <c r="V375" s="196"/>
      <c r="W375" s="196"/>
      <c r="X375" s="196"/>
      <c r="Y375" s="196"/>
      <c r="Z375" s="196"/>
      <c r="AA375" s="196"/>
      <c r="AB375" s="196"/>
      <c r="AC375" s="196"/>
      <c r="AD375" s="196"/>
      <c r="AE375" s="196"/>
      <c r="AF375" s="196"/>
      <c r="AG375" s="201" t="s">
        <v>304</v>
      </c>
      <c r="AH375" s="196"/>
      <c r="AI375" s="196"/>
      <c r="AJ375" s="196"/>
      <c r="AK375" s="196"/>
      <c r="AL375" s="196"/>
      <c r="AM375" s="196"/>
      <c r="AN375" s="196"/>
      <c r="AO375" s="196"/>
      <c r="AP375" s="196"/>
      <c r="AQ375" s="196"/>
      <c r="AR375" s="196"/>
      <c r="AS375" s="196"/>
      <c r="AT375" s="196"/>
      <c r="AU375" s="196"/>
      <c r="AV375" s="196"/>
      <c r="AW375" s="196"/>
      <c r="AX375" s="196"/>
      <c r="AY375" s="196"/>
      <c r="AZ375" s="196"/>
      <c r="BA375" s="196"/>
      <c r="BB375" s="196"/>
      <c r="BC375" s="196"/>
      <c r="BD375" s="196"/>
      <c r="BE375" s="196"/>
      <c r="BF375" s="196"/>
    </row>
    <row r="376">
      <c r="A376" s="197"/>
      <c r="B376" s="201" t="s">
        <v>147</v>
      </c>
      <c r="C376" s="201" t="s">
        <v>147</v>
      </c>
      <c r="D376" s="201" t="s">
        <v>147</v>
      </c>
      <c r="E376" s="201" t="s">
        <v>147</v>
      </c>
      <c r="F376" s="201" t="s">
        <v>152</v>
      </c>
      <c r="G376" s="201" t="s">
        <v>152</v>
      </c>
      <c r="H376" s="201" t="s">
        <v>157</v>
      </c>
      <c r="I376" s="201" t="s">
        <v>157</v>
      </c>
      <c r="J376" s="201" t="s">
        <v>157</v>
      </c>
      <c r="K376" s="196"/>
      <c r="L376" s="196"/>
      <c r="M376" s="196"/>
      <c r="N376" s="196"/>
      <c r="O376" s="196"/>
      <c r="P376" s="196"/>
      <c r="Q376" s="201" t="s">
        <v>160</v>
      </c>
      <c r="R376" s="196"/>
      <c r="S376" s="196"/>
      <c r="T376" s="196"/>
      <c r="U376" s="196"/>
      <c r="V376" s="196"/>
      <c r="W376" s="196"/>
      <c r="X376" s="196"/>
      <c r="Y376" s="196"/>
      <c r="Z376" s="196"/>
      <c r="AA376" s="196"/>
      <c r="AB376" s="196"/>
      <c r="AC376" s="196"/>
      <c r="AD376" s="196"/>
      <c r="AE376" s="196"/>
      <c r="AF376" s="196"/>
      <c r="AG376" s="201" t="s">
        <v>164</v>
      </c>
      <c r="AH376" s="196"/>
      <c r="AI376" s="196"/>
      <c r="AJ376" s="196"/>
      <c r="AK376" s="196"/>
      <c r="AL376" s="196"/>
      <c r="AM376" s="196"/>
      <c r="AN376" s="196"/>
      <c r="AO376" s="196"/>
      <c r="AP376" s="196"/>
      <c r="AQ376" s="196"/>
      <c r="AR376" s="196"/>
      <c r="AS376" s="196"/>
      <c r="AT376" s="196"/>
      <c r="AU376" s="196"/>
      <c r="AV376" s="196"/>
      <c r="AW376" s="196"/>
      <c r="AX376" s="196"/>
      <c r="AY376" s="196"/>
      <c r="AZ376" s="196"/>
      <c r="BA376" s="196"/>
      <c r="BB376" s="196"/>
      <c r="BC376" s="196"/>
      <c r="BD376" s="196"/>
      <c r="BE376" s="196"/>
      <c r="BF376" s="196"/>
    </row>
    <row r="377">
      <c r="A377" s="194" t="s">
        <v>317</v>
      </c>
      <c r="B377" s="195" t="s">
        <v>176</v>
      </c>
      <c r="C377" s="195" t="s">
        <v>177</v>
      </c>
      <c r="D377" s="195" t="s">
        <v>178</v>
      </c>
      <c r="E377" s="195" t="s">
        <v>179</v>
      </c>
      <c r="F377" s="195" t="s">
        <v>578</v>
      </c>
      <c r="G377" s="195" t="s">
        <v>579</v>
      </c>
      <c r="H377" s="195" t="s">
        <v>181</v>
      </c>
      <c r="I377" s="195" t="s">
        <v>182</v>
      </c>
      <c r="J377" s="195" t="s">
        <v>183</v>
      </c>
      <c r="K377" s="195" t="s">
        <v>253</v>
      </c>
      <c r="L377" s="196"/>
      <c r="M377" s="196"/>
      <c r="N377" s="196"/>
      <c r="O377" s="196"/>
      <c r="P377" s="196"/>
      <c r="Q377" s="195" t="s">
        <v>590</v>
      </c>
      <c r="R377" s="195" t="s">
        <v>591</v>
      </c>
      <c r="S377" s="195" t="s">
        <v>592</v>
      </c>
      <c r="T377" s="195" t="s">
        <v>293</v>
      </c>
      <c r="U377" s="196"/>
      <c r="V377" s="196"/>
      <c r="W377" s="196"/>
      <c r="X377" s="196"/>
      <c r="Y377" s="196"/>
      <c r="Z377" s="196"/>
      <c r="AA377" s="196"/>
      <c r="AB377" s="196"/>
      <c r="AC377" s="196"/>
      <c r="AD377" s="196"/>
      <c r="AE377" s="196"/>
      <c r="AF377" s="196"/>
      <c r="AG377" s="195" t="s">
        <v>275</v>
      </c>
      <c r="AH377" s="195" t="s">
        <v>276</v>
      </c>
      <c r="AI377" s="195" t="s">
        <v>292</v>
      </c>
      <c r="AJ377" s="195" t="s">
        <v>192</v>
      </c>
      <c r="AK377" s="195" t="s">
        <v>248</v>
      </c>
      <c r="AL377" s="195" t="s">
        <v>189</v>
      </c>
      <c r="AM377" s="196"/>
      <c r="AN377" s="196"/>
      <c r="AO377" s="196"/>
      <c r="AP377" s="196"/>
      <c r="AQ377" s="196"/>
      <c r="AR377" s="196"/>
      <c r="AS377" s="196"/>
      <c r="AT377" s="196"/>
      <c r="AU377" s="196"/>
      <c r="AV377" s="196"/>
      <c r="AW377" s="196"/>
      <c r="AX377" s="196"/>
      <c r="AY377" s="196"/>
      <c r="AZ377" s="196"/>
      <c r="BA377" s="196"/>
      <c r="BB377" s="196"/>
      <c r="BC377" s="196"/>
      <c r="BD377" s="196"/>
      <c r="BE377" s="196"/>
      <c r="BF377" s="196"/>
    </row>
    <row r="378">
      <c r="A378" s="197"/>
      <c r="B378" s="195" t="s">
        <v>528</v>
      </c>
      <c r="C378" s="195" t="s">
        <v>528</v>
      </c>
      <c r="D378" s="195" t="s">
        <v>528</v>
      </c>
      <c r="E378" s="195" t="s">
        <v>528</v>
      </c>
      <c r="F378" s="195" t="s">
        <v>528</v>
      </c>
      <c r="G378" s="195" t="s">
        <v>528</v>
      </c>
      <c r="H378" s="195" t="s">
        <v>529</v>
      </c>
      <c r="I378" s="195" t="s">
        <v>529</v>
      </c>
      <c r="J378" s="195" t="s">
        <v>529</v>
      </c>
      <c r="K378" s="195" t="s">
        <v>531</v>
      </c>
      <c r="L378" s="196"/>
      <c r="M378" s="196"/>
      <c r="N378" s="196"/>
      <c r="O378" s="196"/>
      <c r="P378" s="196"/>
      <c r="Q378" s="195" t="s">
        <v>530</v>
      </c>
      <c r="R378" s="195" t="s">
        <v>530</v>
      </c>
      <c r="S378" s="195" t="s">
        <v>530</v>
      </c>
      <c r="T378" s="195" t="s">
        <v>531</v>
      </c>
      <c r="U378" s="196"/>
      <c r="V378" s="196"/>
      <c r="W378" s="196"/>
      <c r="X378" s="196"/>
      <c r="Y378" s="196"/>
      <c r="Z378" s="196"/>
      <c r="AA378" s="196"/>
      <c r="AB378" s="196"/>
      <c r="AC378" s="196"/>
      <c r="AD378" s="196"/>
      <c r="AE378" s="196"/>
      <c r="AF378" s="196"/>
      <c r="AG378" s="195" t="s">
        <v>530</v>
      </c>
      <c r="AH378" s="195" t="s">
        <v>530</v>
      </c>
      <c r="AI378" s="195" t="s">
        <v>530</v>
      </c>
      <c r="AJ378" s="195" t="s">
        <v>531</v>
      </c>
      <c r="AK378" s="195" t="s">
        <v>531</v>
      </c>
      <c r="AL378" s="195" t="s">
        <v>531</v>
      </c>
      <c r="AM378" s="196"/>
      <c r="AN378" s="196"/>
      <c r="AO378" s="196"/>
      <c r="AP378" s="196"/>
      <c r="AQ378" s="196"/>
      <c r="AR378" s="196"/>
      <c r="AS378" s="196"/>
      <c r="AT378" s="196"/>
      <c r="AU378" s="196"/>
      <c r="AV378" s="196"/>
      <c r="AW378" s="196"/>
      <c r="AX378" s="196"/>
      <c r="AY378" s="196"/>
      <c r="AZ378" s="196"/>
      <c r="BA378" s="196"/>
      <c r="BB378" s="196"/>
      <c r="BC378" s="196"/>
      <c r="BD378" s="196"/>
      <c r="BE378" s="196"/>
      <c r="BF378" s="196"/>
    </row>
    <row r="379">
      <c r="A379" s="197"/>
      <c r="B379" s="198">
        <v>0.897</v>
      </c>
      <c r="C379" s="198">
        <v>0.8763</v>
      </c>
      <c r="D379" s="198">
        <v>0.9881</v>
      </c>
      <c r="E379" s="198">
        <v>1.3399</v>
      </c>
      <c r="F379" s="198">
        <v>0.688</v>
      </c>
      <c r="G379" s="198">
        <v>1.247</v>
      </c>
      <c r="H379" s="198">
        <v>0.8951</v>
      </c>
      <c r="I379" s="198">
        <v>1.7902</v>
      </c>
      <c r="J379" s="198">
        <v>2.2378</v>
      </c>
      <c r="K379" s="199">
        <v>0.3</v>
      </c>
      <c r="L379" s="196"/>
      <c r="M379" s="196"/>
      <c r="N379" s="196"/>
      <c r="O379" s="196"/>
      <c r="P379" s="196"/>
      <c r="Q379" s="198">
        <v>0.944</v>
      </c>
      <c r="R379" s="201">
        <v>0.976</v>
      </c>
      <c r="S379" s="198">
        <v>1.288</v>
      </c>
      <c r="T379" s="199">
        <v>0.4</v>
      </c>
      <c r="U379" s="196"/>
      <c r="V379" s="196"/>
      <c r="W379" s="196"/>
      <c r="X379" s="196"/>
      <c r="Y379" s="196"/>
      <c r="Z379" s="196"/>
      <c r="AA379" s="196"/>
      <c r="AB379" s="196"/>
      <c r="AC379" s="196"/>
      <c r="AD379" s="196"/>
      <c r="AE379" s="196"/>
      <c r="AF379" s="196"/>
      <c r="AG379" s="198">
        <v>2.04</v>
      </c>
      <c r="AH379" s="198">
        <v>0.6</v>
      </c>
      <c r="AI379" s="198">
        <v>2.04</v>
      </c>
      <c r="AJ379" s="199">
        <v>0.2</v>
      </c>
      <c r="AK379" s="199">
        <v>0.15</v>
      </c>
      <c r="AL379" s="199">
        <v>0.1</v>
      </c>
      <c r="AM379" s="196"/>
      <c r="AN379" s="196"/>
      <c r="AO379" s="196"/>
      <c r="AP379" s="196"/>
      <c r="AQ379" s="196"/>
      <c r="AR379" s="196"/>
      <c r="AS379" s="196"/>
      <c r="AT379" s="196"/>
      <c r="AU379" s="196"/>
      <c r="AV379" s="196"/>
      <c r="AW379" s="196"/>
      <c r="AX379" s="196"/>
      <c r="AY379" s="196"/>
      <c r="AZ379" s="196"/>
      <c r="BA379" s="196"/>
      <c r="BB379" s="196"/>
      <c r="BC379" s="196"/>
      <c r="BD379" s="196"/>
      <c r="BE379" s="196"/>
      <c r="BF379" s="196"/>
    </row>
    <row r="380">
      <c r="A380" s="197"/>
      <c r="B380" s="201" t="s">
        <v>304</v>
      </c>
      <c r="C380" s="201" t="s">
        <v>304</v>
      </c>
      <c r="D380" s="201" t="s">
        <v>304</v>
      </c>
      <c r="E380" s="201" t="s">
        <v>304</v>
      </c>
      <c r="F380" s="201" t="s">
        <v>304</v>
      </c>
      <c r="G380" s="201" t="s">
        <v>304</v>
      </c>
      <c r="H380" s="201" t="s">
        <v>304</v>
      </c>
      <c r="I380" s="201" t="s">
        <v>304</v>
      </c>
      <c r="J380" s="201" t="s">
        <v>304</v>
      </c>
      <c r="K380" s="196"/>
      <c r="L380" s="196"/>
      <c r="M380" s="196"/>
      <c r="N380" s="196"/>
      <c r="O380" s="196"/>
      <c r="P380" s="196"/>
      <c r="Q380" s="201" t="s">
        <v>304</v>
      </c>
      <c r="R380" s="201" t="s">
        <v>304</v>
      </c>
      <c r="S380" s="201" t="s">
        <v>304</v>
      </c>
      <c r="T380" s="196"/>
      <c r="U380" s="196"/>
      <c r="V380" s="196"/>
      <c r="W380" s="196"/>
      <c r="X380" s="196"/>
      <c r="Y380" s="196"/>
      <c r="Z380" s="196"/>
      <c r="AA380" s="196"/>
      <c r="AB380" s="196"/>
      <c r="AC380" s="196"/>
      <c r="AD380" s="196"/>
      <c r="AE380" s="196"/>
      <c r="AF380" s="196"/>
      <c r="AG380" s="201" t="s">
        <v>304</v>
      </c>
      <c r="AH380" s="201" t="s">
        <v>304</v>
      </c>
      <c r="AI380" s="201" t="s">
        <v>304</v>
      </c>
      <c r="AJ380" s="196"/>
      <c r="AK380" s="196"/>
      <c r="AL380" s="196"/>
      <c r="AM380" s="196"/>
      <c r="AN380" s="196"/>
      <c r="AO380" s="196"/>
      <c r="AP380" s="196"/>
      <c r="AQ380" s="196"/>
      <c r="AR380" s="196"/>
      <c r="AS380" s="196"/>
      <c r="AT380" s="196"/>
      <c r="AU380" s="196"/>
      <c r="AV380" s="196"/>
      <c r="AW380" s="196"/>
      <c r="AX380" s="196"/>
      <c r="AY380" s="196"/>
      <c r="AZ380" s="196"/>
      <c r="BA380" s="196"/>
      <c r="BB380" s="196"/>
      <c r="BC380" s="196"/>
      <c r="BD380" s="196"/>
      <c r="BE380" s="196"/>
      <c r="BF380" s="196"/>
    </row>
    <row r="381">
      <c r="A381" s="197"/>
      <c r="B381" s="201" t="s">
        <v>147</v>
      </c>
      <c r="C381" s="201" t="s">
        <v>147</v>
      </c>
      <c r="D381" s="201" t="s">
        <v>147</v>
      </c>
      <c r="E381" s="201" t="s">
        <v>147</v>
      </c>
      <c r="F381" s="201" t="s">
        <v>152</v>
      </c>
      <c r="G381" s="201" t="s">
        <v>152</v>
      </c>
      <c r="H381" s="201" t="s">
        <v>157</v>
      </c>
      <c r="I381" s="201" t="s">
        <v>157</v>
      </c>
      <c r="J381" s="201" t="s">
        <v>157</v>
      </c>
      <c r="K381" s="196"/>
      <c r="L381" s="196"/>
      <c r="M381" s="196"/>
      <c r="N381" s="196"/>
      <c r="O381" s="196"/>
      <c r="P381" s="196"/>
      <c r="Q381" s="201" t="s">
        <v>160</v>
      </c>
      <c r="R381" s="201" t="s">
        <v>160</v>
      </c>
      <c r="S381" s="201" t="s">
        <v>160</v>
      </c>
      <c r="T381" s="196"/>
      <c r="U381" s="196"/>
      <c r="V381" s="196"/>
      <c r="W381" s="196"/>
      <c r="X381" s="196"/>
      <c r="Y381" s="196"/>
      <c r="Z381" s="196"/>
      <c r="AA381" s="196"/>
      <c r="AB381" s="196"/>
      <c r="AC381" s="196"/>
      <c r="AD381" s="196"/>
      <c r="AE381" s="196"/>
      <c r="AF381" s="196"/>
      <c r="AG381" s="201" t="s">
        <v>164</v>
      </c>
      <c r="AH381" s="201" t="s">
        <v>164</v>
      </c>
      <c r="AI381" s="201" t="s">
        <v>164</v>
      </c>
      <c r="AJ381" s="196"/>
      <c r="AK381" s="196"/>
      <c r="AL381" s="196"/>
      <c r="AM381" s="196"/>
      <c r="AN381" s="196"/>
      <c r="AO381" s="196"/>
      <c r="AP381" s="196"/>
      <c r="AQ381" s="196"/>
      <c r="AR381" s="196"/>
      <c r="AS381" s="196"/>
      <c r="AT381" s="196"/>
      <c r="AU381" s="196"/>
      <c r="AV381" s="196"/>
      <c r="AW381" s="196"/>
      <c r="AX381" s="196"/>
      <c r="AY381" s="196"/>
      <c r="AZ381" s="196"/>
      <c r="BA381" s="196"/>
      <c r="BB381" s="196"/>
      <c r="BC381" s="196"/>
      <c r="BD381" s="196"/>
      <c r="BE381" s="196"/>
      <c r="BF381" s="196"/>
    </row>
    <row r="382">
      <c r="A382" s="194" t="s">
        <v>318</v>
      </c>
      <c r="B382" s="195" t="s">
        <v>176</v>
      </c>
      <c r="C382" s="195" t="s">
        <v>177</v>
      </c>
      <c r="D382" s="195" t="s">
        <v>178</v>
      </c>
      <c r="E382" s="195" t="s">
        <v>179</v>
      </c>
      <c r="F382" s="195" t="s">
        <v>246</v>
      </c>
      <c r="G382" s="195" t="s">
        <v>534</v>
      </c>
      <c r="H382" s="195" t="s">
        <v>535</v>
      </c>
      <c r="I382" s="195" t="s">
        <v>181</v>
      </c>
      <c r="J382" s="195" t="s">
        <v>182</v>
      </c>
      <c r="K382" s="195" t="s">
        <v>183</v>
      </c>
      <c r="L382" s="196"/>
      <c r="M382" s="196"/>
      <c r="N382" s="196"/>
      <c r="O382" s="196"/>
      <c r="P382" s="196"/>
      <c r="Q382" s="194" t="s">
        <v>593</v>
      </c>
      <c r="R382" s="194" t="s">
        <v>594</v>
      </c>
      <c r="S382" s="194" t="s">
        <v>595</v>
      </c>
      <c r="T382" s="195" t="s">
        <v>189</v>
      </c>
      <c r="U382" s="196"/>
      <c r="V382" s="196"/>
      <c r="W382" s="196"/>
      <c r="X382" s="196"/>
      <c r="Y382" s="196"/>
      <c r="Z382" s="196"/>
      <c r="AA382" s="196"/>
      <c r="AB382" s="196"/>
      <c r="AC382" s="196"/>
      <c r="AD382" s="196"/>
      <c r="AE382" s="196"/>
      <c r="AF382" s="196"/>
      <c r="AG382" s="195" t="s">
        <v>294</v>
      </c>
      <c r="AH382" s="195" t="s">
        <v>596</v>
      </c>
      <c r="AI382" s="195" t="s">
        <v>597</v>
      </c>
      <c r="AJ382" s="195" t="s">
        <v>598</v>
      </c>
      <c r="AK382" s="195" t="s">
        <v>599</v>
      </c>
      <c r="AL382" s="195" t="s">
        <v>600</v>
      </c>
      <c r="AM382" s="196"/>
      <c r="AN382" s="196"/>
      <c r="AO382" s="196"/>
      <c r="AP382" s="196"/>
      <c r="AQ382" s="196"/>
      <c r="AR382" s="196"/>
      <c r="AS382" s="196"/>
      <c r="AT382" s="196"/>
      <c r="AU382" s="196"/>
      <c r="AV382" s="196"/>
      <c r="AW382" s="196"/>
      <c r="AX382" s="196"/>
      <c r="AY382" s="196"/>
      <c r="AZ382" s="196"/>
      <c r="BA382" s="196"/>
      <c r="BB382" s="196"/>
      <c r="BC382" s="196"/>
      <c r="BD382" s="196"/>
      <c r="BE382" s="196"/>
      <c r="BF382" s="196"/>
    </row>
    <row r="383">
      <c r="A383" s="197"/>
      <c r="B383" s="195" t="s">
        <v>528</v>
      </c>
      <c r="C383" s="195" t="s">
        <v>528</v>
      </c>
      <c r="D383" s="195" t="s">
        <v>528</v>
      </c>
      <c r="E383" s="195" t="s">
        <v>528</v>
      </c>
      <c r="F383" s="195" t="s">
        <v>528</v>
      </c>
      <c r="G383" s="195" t="s">
        <v>601</v>
      </c>
      <c r="H383" s="195" t="s">
        <v>601</v>
      </c>
      <c r="I383" s="195" t="s">
        <v>529</v>
      </c>
      <c r="J383" s="195" t="s">
        <v>529</v>
      </c>
      <c r="K383" s="195" t="s">
        <v>529</v>
      </c>
      <c r="L383" s="196"/>
      <c r="M383" s="196"/>
      <c r="N383" s="196"/>
      <c r="O383" s="196"/>
      <c r="P383" s="196"/>
      <c r="Q383" s="195" t="s">
        <v>530</v>
      </c>
      <c r="R383" s="195" t="s">
        <v>530</v>
      </c>
      <c r="S383" s="195" t="s">
        <v>577</v>
      </c>
      <c r="T383" s="195" t="s">
        <v>531</v>
      </c>
      <c r="U383" s="196"/>
      <c r="V383" s="196"/>
      <c r="W383" s="196"/>
      <c r="X383" s="196"/>
      <c r="Y383" s="196"/>
      <c r="Z383" s="196"/>
      <c r="AA383" s="196"/>
      <c r="AB383" s="196"/>
      <c r="AC383" s="196"/>
      <c r="AD383" s="196"/>
      <c r="AE383" s="196"/>
      <c r="AF383" s="196"/>
      <c r="AG383" s="195" t="s">
        <v>530</v>
      </c>
      <c r="AH383" s="195" t="s">
        <v>530</v>
      </c>
      <c r="AI383" s="195" t="s">
        <v>530</v>
      </c>
      <c r="AJ383" s="195" t="s">
        <v>530</v>
      </c>
      <c r="AK383" s="195" t="s">
        <v>531</v>
      </c>
      <c r="AL383" s="195" t="s">
        <v>531</v>
      </c>
      <c r="AM383" s="196"/>
      <c r="AN383" s="196"/>
      <c r="AO383" s="196"/>
      <c r="AP383" s="196"/>
      <c r="AQ383" s="196"/>
      <c r="AR383" s="196"/>
      <c r="AS383" s="196"/>
      <c r="AT383" s="196"/>
      <c r="AU383" s="196"/>
      <c r="AV383" s="196"/>
      <c r="AW383" s="196"/>
      <c r="AX383" s="196"/>
      <c r="AY383" s="196"/>
      <c r="AZ383" s="196"/>
      <c r="BA383" s="196"/>
      <c r="BB383" s="196"/>
      <c r="BC383" s="196"/>
      <c r="BD383" s="196"/>
      <c r="BE383" s="196"/>
      <c r="BF383" s="196"/>
    </row>
    <row r="384">
      <c r="A384" s="197"/>
      <c r="B384" s="198">
        <v>0.3612</v>
      </c>
      <c r="C384" s="198">
        <v>0.3354</v>
      </c>
      <c r="D384" s="198">
        <v>0.4558</v>
      </c>
      <c r="E384" s="198">
        <v>0.43</v>
      </c>
      <c r="F384" s="198">
        <v>0.5375</v>
      </c>
      <c r="G384" s="198">
        <v>0.4386</v>
      </c>
      <c r="H384" s="198">
        <v>1.24</v>
      </c>
      <c r="I384" s="198">
        <v>0.5683</v>
      </c>
      <c r="J384" s="198">
        <v>1.1366</v>
      </c>
      <c r="K384" s="198">
        <v>1.4208</v>
      </c>
      <c r="L384" s="196"/>
      <c r="M384" s="196"/>
      <c r="N384" s="196"/>
      <c r="O384" s="196"/>
      <c r="P384" s="196"/>
      <c r="Q384" s="198">
        <v>0.4192</v>
      </c>
      <c r="R384" s="198">
        <v>0.072</v>
      </c>
      <c r="S384" s="201">
        <v>693.0</v>
      </c>
      <c r="T384" s="199">
        <v>0.15</v>
      </c>
      <c r="U384" s="196"/>
      <c r="V384" s="196"/>
      <c r="W384" s="196"/>
      <c r="X384" s="196"/>
      <c r="Y384" s="196"/>
      <c r="Z384" s="196"/>
      <c r="AA384" s="196"/>
      <c r="AB384" s="196"/>
      <c r="AC384" s="196"/>
      <c r="AD384" s="196"/>
      <c r="AE384" s="196"/>
      <c r="AF384" s="196"/>
      <c r="AG384" s="198">
        <v>0.8</v>
      </c>
      <c r="AH384" s="198">
        <v>0.5264</v>
      </c>
      <c r="AI384" s="198">
        <v>0.0534</v>
      </c>
      <c r="AJ384" s="210">
        <v>513.0</v>
      </c>
      <c r="AK384" s="199">
        <v>0.3</v>
      </c>
      <c r="AL384" s="195">
        <v>200.0</v>
      </c>
      <c r="AM384" s="196"/>
      <c r="AN384" s="196"/>
      <c r="AO384" s="196"/>
      <c r="AP384" s="196"/>
      <c r="AQ384" s="196"/>
      <c r="AR384" s="196"/>
      <c r="AS384" s="196"/>
      <c r="AT384" s="196"/>
      <c r="AU384" s="196"/>
      <c r="AV384" s="196"/>
      <c r="AW384" s="196"/>
      <c r="AX384" s="196"/>
      <c r="AY384" s="196"/>
      <c r="AZ384" s="196"/>
      <c r="BA384" s="196"/>
      <c r="BB384" s="196"/>
      <c r="BC384" s="196"/>
      <c r="BD384" s="196"/>
      <c r="BE384" s="196"/>
      <c r="BF384" s="196"/>
    </row>
    <row r="385">
      <c r="A385" s="197"/>
      <c r="B385" s="201" t="s">
        <v>304</v>
      </c>
      <c r="C385" s="201" t="s">
        <v>304</v>
      </c>
      <c r="D385" s="201" t="s">
        <v>304</v>
      </c>
      <c r="E385" s="201" t="s">
        <v>304</v>
      </c>
      <c r="F385" s="201" t="s">
        <v>304</v>
      </c>
      <c r="G385" s="201" t="s">
        <v>304</v>
      </c>
      <c r="H385" s="201" t="s">
        <v>304</v>
      </c>
      <c r="I385" s="201" t="s">
        <v>304</v>
      </c>
      <c r="J385" s="201" t="s">
        <v>304</v>
      </c>
      <c r="K385" s="201" t="s">
        <v>304</v>
      </c>
      <c r="L385" s="196"/>
      <c r="M385" s="196"/>
      <c r="N385" s="196"/>
      <c r="O385" s="196"/>
      <c r="P385" s="196"/>
      <c r="Q385" s="201" t="s">
        <v>304</v>
      </c>
      <c r="R385" s="201" t="s">
        <v>303</v>
      </c>
      <c r="S385" s="201" t="s">
        <v>390</v>
      </c>
      <c r="T385" s="196"/>
      <c r="U385" s="196"/>
      <c r="V385" s="196"/>
      <c r="W385" s="196"/>
      <c r="X385" s="196"/>
      <c r="Y385" s="196"/>
      <c r="Z385" s="196"/>
      <c r="AA385" s="196"/>
      <c r="AB385" s="196"/>
      <c r="AC385" s="196"/>
      <c r="AD385" s="196"/>
      <c r="AE385" s="196"/>
      <c r="AF385" s="196"/>
      <c r="AG385" s="201" t="s">
        <v>304</v>
      </c>
      <c r="AH385" s="201" t="s">
        <v>304</v>
      </c>
      <c r="AI385" s="201" t="s">
        <v>303</v>
      </c>
      <c r="AJ385" s="201"/>
      <c r="AK385" s="196"/>
      <c r="AL385" s="196"/>
      <c r="AM385" s="196"/>
      <c r="AN385" s="196"/>
      <c r="AO385" s="196"/>
      <c r="AP385" s="196"/>
      <c r="AQ385" s="196"/>
      <c r="AR385" s="196"/>
      <c r="AS385" s="196"/>
      <c r="AT385" s="196"/>
      <c r="AU385" s="196"/>
      <c r="AV385" s="196"/>
      <c r="AW385" s="196"/>
      <c r="AX385" s="196"/>
      <c r="AY385" s="196"/>
      <c r="AZ385" s="196"/>
      <c r="BA385" s="196"/>
      <c r="BB385" s="196"/>
      <c r="BC385" s="196"/>
      <c r="BD385" s="196"/>
      <c r="BE385" s="196"/>
      <c r="BF385" s="196"/>
    </row>
    <row r="386">
      <c r="A386" s="197"/>
      <c r="B386" s="201" t="s">
        <v>147</v>
      </c>
      <c r="C386" s="201" t="s">
        <v>147</v>
      </c>
      <c r="D386" s="201" t="s">
        <v>147</v>
      </c>
      <c r="E386" s="201" t="s">
        <v>147</v>
      </c>
      <c r="F386" s="201" t="s">
        <v>147</v>
      </c>
      <c r="G386" s="201" t="s">
        <v>152</v>
      </c>
      <c r="H386" s="201" t="s">
        <v>152</v>
      </c>
      <c r="I386" s="201" t="s">
        <v>157</v>
      </c>
      <c r="J386" s="201" t="s">
        <v>157</v>
      </c>
      <c r="K386" s="201" t="s">
        <v>157</v>
      </c>
      <c r="L386" s="196"/>
      <c r="M386" s="196"/>
      <c r="N386" s="196"/>
      <c r="O386" s="196"/>
      <c r="P386" s="196"/>
      <c r="Q386" s="201" t="s">
        <v>160</v>
      </c>
      <c r="R386" s="198"/>
      <c r="S386" s="201"/>
      <c r="T386" s="196"/>
      <c r="U386" s="196"/>
      <c r="V386" s="196"/>
      <c r="W386" s="196"/>
      <c r="X386" s="196"/>
      <c r="Y386" s="196"/>
      <c r="Z386" s="196"/>
      <c r="AA386" s="196"/>
      <c r="AB386" s="196"/>
      <c r="AC386" s="196"/>
      <c r="AD386" s="196"/>
      <c r="AE386" s="196"/>
      <c r="AF386" s="196"/>
      <c r="AG386" s="201" t="s">
        <v>164</v>
      </c>
      <c r="AH386" s="201" t="s">
        <v>164</v>
      </c>
      <c r="AI386" s="198"/>
      <c r="AJ386" s="198"/>
      <c r="AK386" s="196"/>
      <c r="AL386" s="196"/>
      <c r="AM386" s="196"/>
      <c r="AN386" s="196"/>
      <c r="AO386" s="196"/>
      <c r="AP386" s="196"/>
      <c r="AQ386" s="196"/>
      <c r="AR386" s="196"/>
      <c r="AS386" s="196"/>
      <c r="AT386" s="196"/>
      <c r="AU386" s="196"/>
      <c r="AV386" s="196"/>
      <c r="AW386" s="196"/>
      <c r="AX386" s="196"/>
      <c r="AY386" s="196"/>
      <c r="AZ386" s="196"/>
      <c r="BA386" s="196"/>
      <c r="BB386" s="196"/>
      <c r="BC386" s="196"/>
      <c r="BD386" s="196"/>
      <c r="BE386" s="196"/>
      <c r="BF386" s="196"/>
    </row>
    <row r="387">
      <c r="A387" s="194" t="s">
        <v>319</v>
      </c>
      <c r="B387" s="195" t="s">
        <v>176</v>
      </c>
      <c r="C387" s="195" t="s">
        <v>177</v>
      </c>
      <c r="D387" s="195" t="s">
        <v>178</v>
      </c>
      <c r="E387" s="195" t="s">
        <v>179</v>
      </c>
      <c r="F387" s="195" t="s">
        <v>246</v>
      </c>
      <c r="G387" s="195" t="s">
        <v>548</v>
      </c>
      <c r="H387" s="195" t="s">
        <v>549</v>
      </c>
      <c r="I387" s="195" t="s">
        <v>550</v>
      </c>
      <c r="J387" s="195" t="s">
        <v>551</v>
      </c>
      <c r="K387" s="195" t="s">
        <v>181</v>
      </c>
      <c r="L387" s="195" t="s">
        <v>182</v>
      </c>
      <c r="M387" s="195" t="s">
        <v>183</v>
      </c>
      <c r="N387" s="196"/>
      <c r="O387" s="196"/>
      <c r="P387" s="196"/>
      <c r="Q387" s="195" t="s">
        <v>588</v>
      </c>
      <c r="R387" s="195" t="s">
        <v>602</v>
      </c>
      <c r="S387" s="195" t="s">
        <v>192</v>
      </c>
      <c r="T387" s="196"/>
      <c r="U387" s="196"/>
      <c r="V387" s="196"/>
      <c r="W387" s="196"/>
      <c r="X387" s="196"/>
      <c r="Y387" s="196"/>
      <c r="Z387" s="196"/>
      <c r="AA387" s="196"/>
      <c r="AB387" s="196"/>
      <c r="AC387" s="196"/>
      <c r="AD387" s="196"/>
      <c r="AE387" s="196"/>
      <c r="AF387" s="196"/>
      <c r="AG387" s="195" t="s">
        <v>542</v>
      </c>
      <c r="AH387" s="195" t="s">
        <v>603</v>
      </c>
      <c r="AI387" s="195" t="s">
        <v>189</v>
      </c>
      <c r="AJ387" s="195" t="s">
        <v>253</v>
      </c>
      <c r="AK387" s="196"/>
      <c r="AL387" s="196"/>
      <c r="AM387" s="196"/>
      <c r="AN387" s="196"/>
      <c r="AO387" s="196"/>
      <c r="AP387" s="196"/>
      <c r="AQ387" s="196"/>
      <c r="AR387" s="196"/>
      <c r="AS387" s="196"/>
      <c r="AT387" s="196"/>
      <c r="AU387" s="196"/>
      <c r="AV387" s="196"/>
      <c r="AW387" s="196"/>
      <c r="AX387" s="196"/>
      <c r="AY387" s="196"/>
      <c r="AZ387" s="196"/>
      <c r="BA387" s="196"/>
      <c r="BB387" s="196"/>
      <c r="BC387" s="196"/>
      <c r="BD387" s="196"/>
      <c r="BE387" s="196"/>
      <c r="BF387" s="196"/>
    </row>
    <row r="388">
      <c r="A388" s="197"/>
      <c r="B388" s="195" t="s">
        <v>529</v>
      </c>
      <c r="C388" s="195" t="s">
        <v>529</v>
      </c>
      <c r="D388" s="195" t="s">
        <v>529</v>
      </c>
      <c r="E388" s="195" t="s">
        <v>529</v>
      </c>
      <c r="F388" s="195" t="s">
        <v>529</v>
      </c>
      <c r="G388" s="195" t="s">
        <v>529</v>
      </c>
      <c r="H388" s="195" t="s">
        <v>529</v>
      </c>
      <c r="I388" s="195" t="s">
        <v>529</v>
      </c>
      <c r="J388" s="195" t="s">
        <v>529</v>
      </c>
      <c r="K388" s="195" t="s">
        <v>529</v>
      </c>
      <c r="L388" s="195" t="s">
        <v>529</v>
      </c>
      <c r="M388" s="195" t="s">
        <v>529</v>
      </c>
      <c r="N388" s="196"/>
      <c r="O388" s="196"/>
      <c r="P388" s="196"/>
      <c r="Q388" s="195" t="s">
        <v>530</v>
      </c>
      <c r="R388" s="195" t="s">
        <v>531</v>
      </c>
      <c r="S388" s="195" t="s">
        <v>531</v>
      </c>
      <c r="T388" s="196"/>
      <c r="U388" s="196"/>
      <c r="V388" s="196"/>
      <c r="W388" s="196"/>
      <c r="X388" s="196"/>
      <c r="Y388" s="196"/>
      <c r="Z388" s="196"/>
      <c r="AA388" s="196"/>
      <c r="AB388" s="196"/>
      <c r="AC388" s="196"/>
      <c r="AD388" s="196"/>
      <c r="AE388" s="196"/>
      <c r="AF388" s="196"/>
      <c r="AG388" s="195" t="s">
        <v>530</v>
      </c>
      <c r="AH388" s="195" t="s">
        <v>530</v>
      </c>
      <c r="AI388" s="195" t="s">
        <v>531</v>
      </c>
      <c r="AJ388" s="195" t="s">
        <v>531</v>
      </c>
      <c r="AK388" s="196"/>
      <c r="AL388" s="196"/>
      <c r="AM388" s="196"/>
      <c r="AN388" s="196"/>
      <c r="AO388" s="196"/>
      <c r="AP388" s="196"/>
      <c r="AQ388" s="196"/>
      <c r="AR388" s="196"/>
      <c r="AS388" s="196"/>
      <c r="AT388" s="196"/>
      <c r="AU388" s="196"/>
      <c r="AV388" s="196"/>
      <c r="AW388" s="196"/>
      <c r="AX388" s="196"/>
      <c r="AY388" s="196"/>
      <c r="AZ388" s="196"/>
      <c r="BA388" s="196"/>
      <c r="BB388" s="196"/>
      <c r="BC388" s="196"/>
      <c r="BD388" s="196"/>
      <c r="BE388" s="196"/>
      <c r="BF388" s="196"/>
    </row>
    <row r="389">
      <c r="A389" s="197"/>
      <c r="B389" s="198">
        <v>0.4446</v>
      </c>
      <c r="C389" s="198">
        <v>0.4343</v>
      </c>
      <c r="D389" s="198">
        <v>0.5298</v>
      </c>
      <c r="E389" s="198">
        <v>0.5831</v>
      </c>
      <c r="F389" s="198">
        <v>0.7078</v>
      </c>
      <c r="G389" s="198">
        <v>0.559</v>
      </c>
      <c r="H389" s="198">
        <v>0.6072</v>
      </c>
      <c r="I389" s="198">
        <v>0.559</v>
      </c>
      <c r="J389" s="198">
        <v>0.7224</v>
      </c>
      <c r="K389" s="198">
        <v>0.6393</v>
      </c>
      <c r="L389" s="198">
        <v>1.2786</v>
      </c>
      <c r="M389" s="198">
        <v>1.5983</v>
      </c>
      <c r="N389" s="196"/>
      <c r="O389" s="196"/>
      <c r="P389" s="196"/>
      <c r="Q389" s="198">
        <v>0.7866</v>
      </c>
      <c r="R389" s="198">
        <v>0.2</v>
      </c>
      <c r="S389" s="199">
        <v>0.1</v>
      </c>
      <c r="T389" s="196"/>
      <c r="U389" s="196"/>
      <c r="V389" s="196"/>
      <c r="W389" s="196"/>
      <c r="X389" s="196"/>
      <c r="Y389" s="196"/>
      <c r="Z389" s="196"/>
      <c r="AA389" s="196"/>
      <c r="AB389" s="196"/>
      <c r="AC389" s="196"/>
      <c r="AD389" s="196"/>
      <c r="AE389" s="196"/>
      <c r="AF389" s="196"/>
      <c r="AG389" s="198">
        <v>1.144</v>
      </c>
      <c r="AH389" s="198">
        <v>0.328</v>
      </c>
      <c r="AI389" s="199">
        <v>-0.15</v>
      </c>
      <c r="AJ389" s="199">
        <v>2.0</v>
      </c>
      <c r="AK389" s="196"/>
      <c r="AL389" s="196"/>
      <c r="AM389" s="196"/>
      <c r="AN389" s="196"/>
      <c r="AO389" s="196"/>
      <c r="AP389" s="196"/>
      <c r="AQ389" s="196"/>
      <c r="AR389" s="196"/>
      <c r="AS389" s="196"/>
      <c r="AT389" s="196"/>
      <c r="AU389" s="196"/>
      <c r="AV389" s="196"/>
      <c r="AW389" s="196"/>
      <c r="AX389" s="196"/>
      <c r="AY389" s="196"/>
      <c r="AZ389" s="196"/>
      <c r="BA389" s="196"/>
      <c r="BB389" s="196"/>
      <c r="BC389" s="196"/>
      <c r="BD389" s="196"/>
      <c r="BE389" s="196"/>
      <c r="BF389" s="196"/>
    </row>
    <row r="390">
      <c r="A390" s="197"/>
      <c r="B390" s="201" t="s">
        <v>304</v>
      </c>
      <c r="C390" s="201" t="s">
        <v>304</v>
      </c>
      <c r="D390" s="201" t="s">
        <v>304</v>
      </c>
      <c r="E390" s="201" t="s">
        <v>304</v>
      </c>
      <c r="F390" s="201" t="s">
        <v>304</v>
      </c>
      <c r="G390" s="201" t="s">
        <v>304</v>
      </c>
      <c r="H390" s="201" t="s">
        <v>304</v>
      </c>
      <c r="I390" s="201" t="s">
        <v>304</v>
      </c>
      <c r="J390" s="201" t="s">
        <v>304</v>
      </c>
      <c r="K390" s="201" t="s">
        <v>304</v>
      </c>
      <c r="L390" s="201" t="s">
        <v>304</v>
      </c>
      <c r="M390" s="201" t="s">
        <v>304</v>
      </c>
      <c r="N390" s="196"/>
      <c r="O390" s="196"/>
      <c r="P390" s="196"/>
      <c r="Q390" s="201" t="s">
        <v>304</v>
      </c>
      <c r="R390" s="201"/>
      <c r="S390" s="196"/>
      <c r="T390" s="196"/>
      <c r="U390" s="196"/>
      <c r="V390" s="196"/>
      <c r="W390" s="196"/>
      <c r="X390" s="196"/>
      <c r="Y390" s="196"/>
      <c r="Z390" s="196"/>
      <c r="AA390" s="196"/>
      <c r="AB390" s="196"/>
      <c r="AC390" s="196"/>
      <c r="AD390" s="196"/>
      <c r="AE390" s="196"/>
      <c r="AF390" s="196"/>
      <c r="AG390" s="201" t="s">
        <v>304</v>
      </c>
      <c r="AH390" s="201" t="s">
        <v>304</v>
      </c>
      <c r="AI390" s="196"/>
      <c r="AJ390" s="196"/>
      <c r="AK390" s="196"/>
      <c r="AL390" s="196"/>
      <c r="AM390" s="196"/>
      <c r="AN390" s="196"/>
      <c r="AO390" s="196"/>
      <c r="AP390" s="196"/>
      <c r="AQ390" s="196"/>
      <c r="AR390" s="196"/>
      <c r="AS390" s="196"/>
      <c r="AT390" s="196"/>
      <c r="AU390" s="196"/>
      <c r="AV390" s="196"/>
      <c r="AW390" s="196"/>
      <c r="AX390" s="196"/>
      <c r="AY390" s="196"/>
      <c r="AZ390" s="196"/>
      <c r="BA390" s="196"/>
      <c r="BB390" s="196"/>
      <c r="BC390" s="196"/>
      <c r="BD390" s="196"/>
      <c r="BE390" s="196"/>
      <c r="BF390" s="196"/>
    </row>
    <row r="391">
      <c r="A391" s="197"/>
      <c r="B391" s="201" t="s">
        <v>147</v>
      </c>
      <c r="C391" s="201" t="s">
        <v>147</v>
      </c>
      <c r="D391" s="201" t="s">
        <v>147</v>
      </c>
      <c r="E391" s="201" t="s">
        <v>147</v>
      </c>
      <c r="F391" s="201" t="s">
        <v>147</v>
      </c>
      <c r="G391" s="201" t="s">
        <v>152</v>
      </c>
      <c r="H391" s="201" t="s">
        <v>152</v>
      </c>
      <c r="I391" s="201" t="s">
        <v>152</v>
      </c>
      <c r="J391" s="201" t="s">
        <v>152</v>
      </c>
      <c r="K391" s="201" t="s">
        <v>157</v>
      </c>
      <c r="L391" s="201" t="s">
        <v>157</v>
      </c>
      <c r="M391" s="201" t="s">
        <v>157</v>
      </c>
      <c r="N391" s="196"/>
      <c r="O391" s="196"/>
      <c r="P391" s="196"/>
      <c r="Q391" s="201" t="s">
        <v>160</v>
      </c>
      <c r="R391" s="198"/>
      <c r="S391" s="196"/>
      <c r="T391" s="196"/>
      <c r="U391" s="196"/>
      <c r="V391" s="196"/>
      <c r="W391" s="196"/>
      <c r="X391" s="196"/>
      <c r="Y391" s="196"/>
      <c r="Z391" s="196"/>
      <c r="AA391" s="196"/>
      <c r="AB391" s="196"/>
      <c r="AC391" s="196"/>
      <c r="AD391" s="196"/>
      <c r="AE391" s="196"/>
      <c r="AF391" s="196"/>
      <c r="AG391" s="201" t="s">
        <v>164</v>
      </c>
      <c r="AH391" s="201" t="s">
        <v>164</v>
      </c>
      <c r="AI391" s="196"/>
      <c r="AJ391" s="196"/>
      <c r="AK391" s="196"/>
      <c r="AL391" s="196"/>
      <c r="AM391" s="196"/>
      <c r="AN391" s="196"/>
      <c r="AO391" s="196"/>
      <c r="AP391" s="196"/>
      <c r="AQ391" s="196"/>
      <c r="AR391" s="196"/>
      <c r="AS391" s="196"/>
      <c r="AT391" s="196"/>
      <c r="AU391" s="196"/>
      <c r="AV391" s="196"/>
      <c r="AW391" s="196"/>
      <c r="AX391" s="196"/>
      <c r="AY391" s="196"/>
      <c r="AZ391" s="196"/>
      <c r="BA391" s="196"/>
      <c r="BB391" s="196"/>
      <c r="BC391" s="196"/>
      <c r="BD391" s="196"/>
      <c r="BE391" s="196"/>
      <c r="BF391" s="196"/>
    </row>
    <row r="392">
      <c r="A392" s="194" t="s">
        <v>320</v>
      </c>
      <c r="B392" s="195" t="s">
        <v>176</v>
      </c>
      <c r="C392" s="195" t="s">
        <v>177</v>
      </c>
      <c r="D392" s="195" t="s">
        <v>244</v>
      </c>
      <c r="E392" s="195" t="s">
        <v>179</v>
      </c>
      <c r="F392" s="195" t="s">
        <v>604</v>
      </c>
      <c r="G392" s="195" t="s">
        <v>578</v>
      </c>
      <c r="H392" s="195" t="s">
        <v>579</v>
      </c>
      <c r="I392" s="195" t="s">
        <v>181</v>
      </c>
      <c r="J392" s="195" t="s">
        <v>182</v>
      </c>
      <c r="K392" s="195" t="s">
        <v>183</v>
      </c>
      <c r="L392" s="196"/>
      <c r="M392" s="196"/>
      <c r="N392" s="196"/>
      <c r="O392" s="196"/>
      <c r="P392" s="196"/>
      <c r="Q392" s="195" t="s">
        <v>184</v>
      </c>
      <c r="R392" s="195" t="s">
        <v>605</v>
      </c>
      <c r="S392" s="195" t="s">
        <v>606</v>
      </c>
      <c r="T392" s="195" t="s">
        <v>607</v>
      </c>
      <c r="U392" s="195" t="s">
        <v>608</v>
      </c>
      <c r="V392" s="195" t="s">
        <v>274</v>
      </c>
      <c r="W392" s="195" t="s">
        <v>248</v>
      </c>
      <c r="X392" s="196"/>
      <c r="Y392" s="196"/>
      <c r="Z392" s="196"/>
      <c r="AA392" s="196"/>
      <c r="AB392" s="196"/>
      <c r="AC392" s="196"/>
      <c r="AD392" s="196"/>
      <c r="AE392" s="196"/>
      <c r="AF392" s="196"/>
      <c r="AG392" s="195" t="s">
        <v>294</v>
      </c>
      <c r="AH392" s="195" t="s">
        <v>609</v>
      </c>
      <c r="AI392" s="195" t="s">
        <v>610</v>
      </c>
      <c r="AJ392" s="195" t="s">
        <v>293</v>
      </c>
      <c r="AK392" s="196"/>
      <c r="AL392" s="196"/>
      <c r="AM392" s="196"/>
      <c r="AN392" s="196"/>
      <c r="AO392" s="196"/>
      <c r="AP392" s="196"/>
      <c r="AQ392" s="196"/>
      <c r="AR392" s="196"/>
      <c r="AS392" s="196"/>
      <c r="AT392" s="196"/>
      <c r="AU392" s="196"/>
      <c r="AV392" s="196"/>
      <c r="AW392" s="196"/>
      <c r="AX392" s="196"/>
      <c r="AY392" s="196"/>
      <c r="AZ392" s="196"/>
      <c r="BA392" s="196"/>
      <c r="BB392" s="196"/>
      <c r="BC392" s="196"/>
      <c r="BD392" s="196"/>
      <c r="BE392" s="196"/>
      <c r="BF392" s="196"/>
    </row>
    <row r="393">
      <c r="A393" s="197"/>
      <c r="B393" s="195" t="s">
        <v>528</v>
      </c>
      <c r="C393" s="195" t="s">
        <v>528</v>
      </c>
      <c r="D393" s="195" t="s">
        <v>528</v>
      </c>
      <c r="E393" s="195" t="s">
        <v>528</v>
      </c>
      <c r="F393" s="195" t="s">
        <v>528</v>
      </c>
      <c r="G393" s="195" t="s">
        <v>528</v>
      </c>
      <c r="H393" s="195" t="s">
        <v>528</v>
      </c>
      <c r="I393" s="195" t="s">
        <v>528</v>
      </c>
      <c r="J393" s="195" t="s">
        <v>528</v>
      </c>
      <c r="K393" s="195" t="s">
        <v>528</v>
      </c>
      <c r="L393" s="196"/>
      <c r="M393" s="196"/>
      <c r="N393" s="196"/>
      <c r="O393" s="196"/>
      <c r="P393" s="196"/>
      <c r="Q393" s="195" t="s">
        <v>530</v>
      </c>
      <c r="R393" s="195" t="s">
        <v>530</v>
      </c>
      <c r="S393" s="195" t="s">
        <v>530</v>
      </c>
      <c r="T393" s="195" t="s">
        <v>611</v>
      </c>
      <c r="U393" s="195" t="s">
        <v>531</v>
      </c>
      <c r="V393" s="195" t="s">
        <v>531</v>
      </c>
      <c r="W393" s="195" t="s">
        <v>531</v>
      </c>
      <c r="X393" s="196"/>
      <c r="Y393" s="196"/>
      <c r="Z393" s="196"/>
      <c r="AA393" s="196"/>
      <c r="AB393" s="196"/>
      <c r="AC393" s="196"/>
      <c r="AD393" s="196"/>
      <c r="AE393" s="196"/>
      <c r="AF393" s="196"/>
      <c r="AG393" s="195" t="s">
        <v>530</v>
      </c>
      <c r="AH393" s="195" t="s">
        <v>528</v>
      </c>
      <c r="AI393" s="195" t="s">
        <v>528</v>
      </c>
      <c r="AJ393" s="195" t="s">
        <v>531</v>
      </c>
      <c r="AK393" s="196"/>
      <c r="AL393" s="196"/>
      <c r="AM393" s="196"/>
      <c r="AN393" s="196"/>
      <c r="AO393" s="196"/>
      <c r="AP393" s="196"/>
      <c r="AQ393" s="196"/>
      <c r="AR393" s="196"/>
      <c r="AS393" s="196"/>
      <c r="AT393" s="196"/>
      <c r="AU393" s="196"/>
      <c r="AV393" s="196"/>
      <c r="AW393" s="196"/>
      <c r="AX393" s="196"/>
      <c r="AY393" s="196"/>
      <c r="AZ393" s="196"/>
      <c r="BA393" s="196"/>
      <c r="BB393" s="196"/>
      <c r="BC393" s="196"/>
      <c r="BD393" s="196"/>
      <c r="BE393" s="196"/>
      <c r="BF393" s="196"/>
    </row>
    <row r="394">
      <c r="A394" s="197"/>
      <c r="B394" s="198">
        <v>0.8973</v>
      </c>
      <c r="C394" s="198">
        <v>0.9355</v>
      </c>
      <c r="D394" s="198">
        <v>0.568</v>
      </c>
      <c r="E394" s="198">
        <v>1.1264</v>
      </c>
      <c r="F394" s="198">
        <v>0.7183</v>
      </c>
      <c r="G394" s="198">
        <v>0.688</v>
      </c>
      <c r="H394" s="198">
        <v>1.244</v>
      </c>
      <c r="I394" s="198">
        <v>0.7459</v>
      </c>
      <c r="J394" s="198">
        <v>1.4918</v>
      </c>
      <c r="K394" s="198">
        <v>1.8648</v>
      </c>
      <c r="L394" s="196"/>
      <c r="M394" s="196"/>
      <c r="N394" s="196"/>
      <c r="O394" s="196"/>
      <c r="P394" s="196"/>
      <c r="Q394" s="198">
        <v>1.464</v>
      </c>
      <c r="R394" s="198">
        <v>2.456</v>
      </c>
      <c r="S394" s="198">
        <v>0.96</v>
      </c>
      <c r="T394" s="198">
        <v>-0.16</v>
      </c>
      <c r="U394" s="198">
        <v>0.3</v>
      </c>
      <c r="V394" s="199">
        <v>0.5</v>
      </c>
      <c r="W394" s="199">
        <v>0.3</v>
      </c>
      <c r="X394" s="196"/>
      <c r="Y394" s="196"/>
      <c r="Z394" s="196"/>
      <c r="AA394" s="196"/>
      <c r="AB394" s="196"/>
      <c r="AC394" s="196"/>
      <c r="AD394" s="196"/>
      <c r="AE394" s="196"/>
      <c r="AF394" s="196"/>
      <c r="AG394" s="198">
        <v>2.456</v>
      </c>
      <c r="AH394" s="198">
        <v>3.6705</v>
      </c>
      <c r="AI394" s="198">
        <v>0.7499</v>
      </c>
      <c r="AJ394" s="199">
        <v>0.25</v>
      </c>
      <c r="AK394" s="196"/>
      <c r="AL394" s="196"/>
      <c r="AM394" s="196"/>
      <c r="AN394" s="196"/>
      <c r="AO394" s="196"/>
      <c r="AP394" s="196"/>
      <c r="AQ394" s="196"/>
      <c r="AR394" s="196"/>
      <c r="AS394" s="196"/>
      <c r="AT394" s="196"/>
      <c r="AU394" s="196"/>
      <c r="AV394" s="196"/>
      <c r="AW394" s="196"/>
      <c r="AX394" s="196"/>
      <c r="AY394" s="196"/>
      <c r="AZ394" s="196"/>
      <c r="BA394" s="196"/>
      <c r="BB394" s="196"/>
      <c r="BC394" s="196"/>
      <c r="BD394" s="196"/>
      <c r="BE394" s="196"/>
      <c r="BF394" s="196"/>
    </row>
    <row r="395">
      <c r="A395" s="197"/>
      <c r="B395" s="201" t="s">
        <v>304</v>
      </c>
      <c r="C395" s="201" t="s">
        <v>304</v>
      </c>
      <c r="D395" s="201" t="s">
        <v>304</v>
      </c>
      <c r="E395" s="201" t="s">
        <v>304</v>
      </c>
      <c r="F395" s="201" t="s">
        <v>304</v>
      </c>
      <c r="G395" s="201" t="s">
        <v>304</v>
      </c>
      <c r="H395" s="201" t="s">
        <v>304</v>
      </c>
      <c r="I395" s="201" t="s">
        <v>304</v>
      </c>
      <c r="J395" s="201" t="s">
        <v>304</v>
      </c>
      <c r="K395" s="201" t="s">
        <v>304</v>
      </c>
      <c r="L395" s="196"/>
      <c r="M395" s="196"/>
      <c r="N395" s="196"/>
      <c r="O395" s="196"/>
      <c r="P395" s="196"/>
      <c r="Q395" s="201" t="s">
        <v>304</v>
      </c>
      <c r="R395" s="201" t="s">
        <v>304</v>
      </c>
      <c r="S395" s="201" t="s">
        <v>304</v>
      </c>
      <c r="T395" s="201" t="s">
        <v>390</v>
      </c>
      <c r="U395" s="201" t="s">
        <v>390</v>
      </c>
      <c r="V395" s="196"/>
      <c r="W395" s="196"/>
      <c r="X395" s="196"/>
      <c r="Y395" s="196"/>
      <c r="Z395" s="196"/>
      <c r="AA395" s="196"/>
      <c r="AB395" s="196"/>
      <c r="AC395" s="196"/>
      <c r="AD395" s="196"/>
      <c r="AE395" s="196"/>
      <c r="AF395" s="196"/>
      <c r="AG395" s="201" t="s">
        <v>304</v>
      </c>
      <c r="AH395" s="201" t="s">
        <v>304</v>
      </c>
      <c r="AI395" s="201" t="s">
        <v>304</v>
      </c>
      <c r="AJ395" s="196"/>
      <c r="AK395" s="196"/>
      <c r="AL395" s="196"/>
      <c r="AM395" s="196"/>
      <c r="AN395" s="196"/>
      <c r="AO395" s="196"/>
      <c r="AP395" s="196"/>
      <c r="AQ395" s="196"/>
      <c r="AR395" s="196"/>
      <c r="AS395" s="196"/>
      <c r="AT395" s="196"/>
      <c r="AU395" s="196"/>
      <c r="AV395" s="196"/>
      <c r="AW395" s="196"/>
      <c r="AX395" s="196"/>
      <c r="AY395" s="196"/>
      <c r="AZ395" s="196"/>
      <c r="BA395" s="196"/>
      <c r="BB395" s="196"/>
      <c r="BC395" s="196"/>
      <c r="BD395" s="196"/>
      <c r="BE395" s="196"/>
      <c r="BF395" s="196"/>
    </row>
    <row r="396">
      <c r="A396" s="197"/>
      <c r="B396" s="201" t="s">
        <v>147</v>
      </c>
      <c r="C396" s="201" t="s">
        <v>147</v>
      </c>
      <c r="D396" s="201" t="s">
        <v>147</v>
      </c>
      <c r="E396" s="201" t="s">
        <v>147</v>
      </c>
      <c r="F396" s="201" t="s">
        <v>147</v>
      </c>
      <c r="G396" s="201" t="s">
        <v>152</v>
      </c>
      <c r="H396" s="201" t="s">
        <v>152</v>
      </c>
      <c r="I396" s="201" t="s">
        <v>157</v>
      </c>
      <c r="J396" s="201" t="s">
        <v>157</v>
      </c>
      <c r="K396" s="201" t="s">
        <v>157</v>
      </c>
      <c r="L396" s="196"/>
      <c r="M396" s="196"/>
      <c r="N396" s="196"/>
      <c r="O396" s="196"/>
      <c r="P396" s="196"/>
      <c r="Q396" s="201" t="s">
        <v>160</v>
      </c>
      <c r="R396" s="201" t="s">
        <v>160</v>
      </c>
      <c r="S396" s="201" t="s">
        <v>160</v>
      </c>
      <c r="T396" s="198"/>
      <c r="U396" s="198"/>
      <c r="V396" s="196"/>
      <c r="W396" s="196"/>
      <c r="X396" s="196"/>
      <c r="Y396" s="196"/>
      <c r="Z396" s="196"/>
      <c r="AA396" s="196"/>
      <c r="AB396" s="196"/>
      <c r="AC396" s="196"/>
      <c r="AD396" s="196"/>
      <c r="AE396" s="196"/>
      <c r="AF396" s="196"/>
      <c r="AG396" s="201" t="s">
        <v>164</v>
      </c>
      <c r="AH396" s="201" t="s">
        <v>164</v>
      </c>
      <c r="AI396" s="201" t="s">
        <v>164</v>
      </c>
      <c r="AJ396" s="196"/>
      <c r="AK396" s="196"/>
      <c r="AL396" s="196"/>
      <c r="AM396" s="196"/>
      <c r="AN396" s="196"/>
      <c r="AO396" s="196"/>
      <c r="AP396" s="196"/>
      <c r="AQ396" s="196"/>
      <c r="AR396" s="196"/>
      <c r="AS396" s="196"/>
      <c r="AT396" s="196"/>
      <c r="AU396" s="196"/>
      <c r="AV396" s="196"/>
      <c r="AW396" s="196"/>
      <c r="AX396" s="196"/>
      <c r="AY396" s="196"/>
      <c r="AZ396" s="196"/>
      <c r="BA396" s="196"/>
      <c r="BB396" s="196"/>
      <c r="BC396" s="196"/>
      <c r="BD396" s="196"/>
      <c r="BE396" s="196"/>
      <c r="BF396" s="196"/>
    </row>
    <row r="397">
      <c r="A397" s="194" t="s">
        <v>321</v>
      </c>
      <c r="B397" s="195" t="s">
        <v>176</v>
      </c>
      <c r="C397" s="195" t="s">
        <v>177</v>
      </c>
      <c r="D397" s="195" t="s">
        <v>178</v>
      </c>
      <c r="E397" s="195" t="s">
        <v>179</v>
      </c>
      <c r="F397" s="195" t="s">
        <v>246</v>
      </c>
      <c r="G397" s="195" t="s">
        <v>534</v>
      </c>
      <c r="H397" s="195" t="s">
        <v>535</v>
      </c>
      <c r="I397" s="195" t="s">
        <v>181</v>
      </c>
      <c r="J397" s="195" t="s">
        <v>182</v>
      </c>
      <c r="K397" s="195" t="s">
        <v>183</v>
      </c>
      <c r="L397" s="195" t="s">
        <v>248</v>
      </c>
      <c r="M397" s="195" t="s">
        <v>274</v>
      </c>
      <c r="N397" s="196"/>
      <c r="O397" s="196"/>
      <c r="P397" s="196"/>
      <c r="Q397" s="195" t="s">
        <v>612</v>
      </c>
      <c r="R397" s="195" t="s">
        <v>613</v>
      </c>
      <c r="S397" s="195" t="s">
        <v>192</v>
      </c>
      <c r="T397" s="195" t="s">
        <v>189</v>
      </c>
      <c r="U397" s="195" t="s">
        <v>253</v>
      </c>
      <c r="V397" s="196"/>
      <c r="W397" s="196"/>
      <c r="X397" s="196"/>
      <c r="Y397" s="196"/>
      <c r="Z397" s="196"/>
      <c r="AA397" s="196"/>
      <c r="AB397" s="196"/>
      <c r="AC397" s="196"/>
      <c r="AD397" s="196"/>
      <c r="AE397" s="196"/>
      <c r="AF397" s="196"/>
      <c r="AG397" s="195" t="s">
        <v>603</v>
      </c>
      <c r="AH397" s="195" t="s">
        <v>614</v>
      </c>
      <c r="AI397" s="195" t="s">
        <v>615</v>
      </c>
      <c r="AJ397" s="196"/>
      <c r="AK397" s="196"/>
      <c r="AL397" s="196"/>
      <c r="AM397" s="196"/>
      <c r="AN397" s="196"/>
      <c r="AO397" s="196"/>
      <c r="AP397" s="196"/>
      <c r="AQ397" s="196"/>
      <c r="AR397" s="196"/>
      <c r="AS397" s="196"/>
      <c r="AT397" s="196"/>
      <c r="AU397" s="196"/>
      <c r="AV397" s="196"/>
      <c r="AW397" s="196"/>
      <c r="AX397" s="196"/>
      <c r="AY397" s="196"/>
      <c r="AZ397" s="196"/>
      <c r="BA397" s="196"/>
      <c r="BB397" s="196"/>
      <c r="BC397" s="196"/>
      <c r="BD397" s="196"/>
      <c r="BE397" s="196"/>
      <c r="BF397" s="196"/>
    </row>
    <row r="398">
      <c r="A398" s="197"/>
      <c r="B398" s="195" t="s">
        <v>529</v>
      </c>
      <c r="C398" s="195" t="s">
        <v>529</v>
      </c>
      <c r="D398" s="195" t="s">
        <v>529</v>
      </c>
      <c r="E398" s="195" t="s">
        <v>529</v>
      </c>
      <c r="F398" s="195" t="s">
        <v>529</v>
      </c>
      <c r="G398" s="195" t="s">
        <v>530</v>
      </c>
      <c r="H398" s="195" t="s">
        <v>530</v>
      </c>
      <c r="I398" s="195" t="s">
        <v>529</v>
      </c>
      <c r="J398" s="195" t="s">
        <v>529</v>
      </c>
      <c r="K398" s="195" t="s">
        <v>529</v>
      </c>
      <c r="L398" s="195" t="s">
        <v>531</v>
      </c>
      <c r="M398" s="195" t="s">
        <v>531</v>
      </c>
      <c r="N398" s="196"/>
      <c r="O398" s="196"/>
      <c r="P398" s="196"/>
      <c r="Q398" s="195" t="s">
        <v>530</v>
      </c>
      <c r="R398" s="195" t="s">
        <v>530</v>
      </c>
      <c r="S398" s="195" t="s">
        <v>531</v>
      </c>
      <c r="T398" s="195" t="s">
        <v>531</v>
      </c>
      <c r="U398" s="195" t="s">
        <v>531</v>
      </c>
      <c r="V398" s="196"/>
      <c r="W398" s="196"/>
      <c r="X398" s="196"/>
      <c r="Y398" s="196"/>
      <c r="Z398" s="196"/>
      <c r="AA398" s="196"/>
      <c r="AB398" s="196"/>
      <c r="AC398" s="196"/>
      <c r="AD398" s="196"/>
      <c r="AE398" s="196"/>
      <c r="AF398" s="196"/>
      <c r="AG398" s="195" t="s">
        <v>530</v>
      </c>
      <c r="AH398" s="195" t="s">
        <v>531</v>
      </c>
      <c r="AI398" s="195" t="s">
        <v>531</v>
      </c>
      <c r="AJ398" s="196"/>
      <c r="AK398" s="196"/>
      <c r="AL398" s="196"/>
      <c r="AM398" s="196"/>
      <c r="AN398" s="196"/>
      <c r="AO398" s="196"/>
      <c r="AP398" s="196"/>
      <c r="AQ398" s="196"/>
      <c r="AR398" s="196"/>
      <c r="AS398" s="196"/>
      <c r="AT398" s="196"/>
      <c r="AU398" s="196"/>
      <c r="AV398" s="196"/>
      <c r="AW398" s="196"/>
      <c r="AX398" s="196"/>
      <c r="AY398" s="196"/>
      <c r="AZ398" s="196"/>
      <c r="BA398" s="196"/>
      <c r="BB398" s="196"/>
      <c r="BC398" s="196"/>
      <c r="BD398" s="196"/>
      <c r="BE398" s="196"/>
      <c r="BF398" s="196"/>
    </row>
    <row r="399">
      <c r="A399" s="197"/>
      <c r="B399" s="198">
        <v>0.4412</v>
      </c>
      <c r="C399" s="198">
        <v>0.4678</v>
      </c>
      <c r="D399" s="198">
        <v>0.5814</v>
      </c>
      <c r="E399" s="198">
        <v>0.5771</v>
      </c>
      <c r="F399" s="198">
        <v>0.7207</v>
      </c>
      <c r="G399" s="198">
        <v>0.4386</v>
      </c>
      <c r="H399" s="198">
        <v>1.24</v>
      </c>
      <c r="I399" s="198">
        <v>0.5683</v>
      </c>
      <c r="J399" s="198">
        <v>1.1366</v>
      </c>
      <c r="K399" s="198">
        <v>1.4208</v>
      </c>
      <c r="L399" s="200">
        <v>0.22</v>
      </c>
      <c r="M399" s="200">
        <v>1.527</v>
      </c>
      <c r="N399" s="196"/>
      <c r="O399" s="196"/>
      <c r="P399" s="196"/>
      <c r="Q399" s="198">
        <v>0.888</v>
      </c>
      <c r="R399" s="198">
        <v>1.1544</v>
      </c>
      <c r="S399" s="200">
        <v>0.8</v>
      </c>
      <c r="T399" s="199">
        <v>2.0</v>
      </c>
      <c r="U399" s="199">
        <v>0.3</v>
      </c>
      <c r="V399" s="196"/>
      <c r="W399" s="196"/>
      <c r="X399" s="196"/>
      <c r="Y399" s="196"/>
      <c r="Z399" s="196"/>
      <c r="AA399" s="196"/>
      <c r="AB399" s="196"/>
      <c r="AC399" s="196"/>
      <c r="AD399" s="196"/>
      <c r="AE399" s="196"/>
      <c r="AF399" s="196"/>
      <c r="AG399" s="198">
        <v>2.08</v>
      </c>
      <c r="AH399" s="199">
        <v>2.22</v>
      </c>
      <c r="AI399" s="199">
        <v>0.2</v>
      </c>
      <c r="AJ399" s="196"/>
      <c r="AK399" s="196"/>
      <c r="AL399" s="196"/>
      <c r="AM399" s="196"/>
      <c r="AN399" s="196"/>
      <c r="AO399" s="196"/>
      <c r="AP399" s="196"/>
      <c r="AQ399" s="196"/>
      <c r="AR399" s="196"/>
      <c r="AS399" s="196"/>
      <c r="AT399" s="196"/>
      <c r="AU399" s="196"/>
      <c r="AV399" s="196"/>
      <c r="AW399" s="196"/>
      <c r="AX399" s="196"/>
      <c r="AY399" s="196"/>
      <c r="AZ399" s="196"/>
      <c r="BA399" s="196"/>
      <c r="BB399" s="196"/>
      <c r="BC399" s="196"/>
      <c r="BD399" s="196"/>
      <c r="BE399" s="196"/>
      <c r="BF399" s="196"/>
    </row>
    <row r="400">
      <c r="A400" s="197"/>
      <c r="B400" s="201" t="s">
        <v>304</v>
      </c>
      <c r="C400" s="201" t="s">
        <v>304</v>
      </c>
      <c r="D400" s="201" t="s">
        <v>304</v>
      </c>
      <c r="E400" s="201" t="s">
        <v>304</v>
      </c>
      <c r="F400" s="201" t="s">
        <v>304</v>
      </c>
      <c r="G400" s="201" t="s">
        <v>304</v>
      </c>
      <c r="H400" s="201" t="s">
        <v>304</v>
      </c>
      <c r="I400" s="201" t="s">
        <v>304</v>
      </c>
      <c r="J400" s="201" t="s">
        <v>304</v>
      </c>
      <c r="K400" s="201" t="s">
        <v>304</v>
      </c>
      <c r="L400" s="195" t="s">
        <v>304</v>
      </c>
      <c r="M400" s="196"/>
      <c r="N400" s="196"/>
      <c r="O400" s="196"/>
      <c r="P400" s="196"/>
      <c r="Q400" s="201" t="s">
        <v>304</v>
      </c>
      <c r="R400" s="201" t="s">
        <v>304</v>
      </c>
      <c r="S400" s="195" t="s">
        <v>304</v>
      </c>
      <c r="T400" s="195" t="s">
        <v>304</v>
      </c>
      <c r="U400" s="195" t="s">
        <v>304</v>
      </c>
      <c r="V400" s="196"/>
      <c r="W400" s="196"/>
      <c r="X400" s="196"/>
      <c r="Y400" s="196"/>
      <c r="Z400" s="196"/>
      <c r="AA400" s="196"/>
      <c r="AB400" s="196"/>
      <c r="AC400" s="196"/>
      <c r="AD400" s="196"/>
      <c r="AE400" s="196"/>
      <c r="AF400" s="196"/>
      <c r="AG400" s="201" t="s">
        <v>304</v>
      </c>
      <c r="AH400" s="195" t="s">
        <v>304</v>
      </c>
      <c r="AI400" s="195" t="s">
        <v>303</v>
      </c>
      <c r="AJ400" s="196"/>
      <c r="AK400" s="196"/>
      <c r="AL400" s="196"/>
      <c r="AM400" s="196"/>
      <c r="AN400" s="196"/>
      <c r="AO400" s="196"/>
      <c r="AP400" s="196"/>
      <c r="AQ400" s="196"/>
      <c r="AR400" s="196"/>
      <c r="AS400" s="196"/>
      <c r="AT400" s="196"/>
      <c r="AU400" s="196"/>
      <c r="AV400" s="196"/>
      <c r="AW400" s="196"/>
      <c r="AX400" s="196"/>
      <c r="AY400" s="196"/>
      <c r="AZ400" s="196"/>
      <c r="BA400" s="196"/>
      <c r="BB400" s="196"/>
      <c r="BC400" s="196"/>
      <c r="BD400" s="196"/>
      <c r="BE400" s="196"/>
      <c r="BF400" s="196"/>
    </row>
    <row r="401">
      <c r="A401" s="197"/>
      <c r="B401" s="201" t="s">
        <v>147</v>
      </c>
      <c r="C401" s="201" t="s">
        <v>147</v>
      </c>
      <c r="D401" s="201" t="s">
        <v>147</v>
      </c>
      <c r="E401" s="201" t="s">
        <v>147</v>
      </c>
      <c r="F401" s="201" t="s">
        <v>147</v>
      </c>
      <c r="G401" s="201" t="s">
        <v>152</v>
      </c>
      <c r="H401" s="201" t="s">
        <v>152</v>
      </c>
      <c r="I401" s="201" t="s">
        <v>157</v>
      </c>
      <c r="J401" s="201" t="s">
        <v>157</v>
      </c>
      <c r="K401" s="201" t="s">
        <v>157</v>
      </c>
      <c r="L401" s="195" t="s">
        <v>147</v>
      </c>
      <c r="M401" s="196"/>
      <c r="N401" s="196"/>
      <c r="O401" s="196"/>
      <c r="P401" s="196"/>
      <c r="Q401" s="201" t="s">
        <v>160</v>
      </c>
      <c r="R401" s="201" t="s">
        <v>160</v>
      </c>
      <c r="S401" s="195" t="s">
        <v>160</v>
      </c>
      <c r="T401" s="195" t="s">
        <v>160</v>
      </c>
      <c r="U401" s="195" t="s">
        <v>160</v>
      </c>
      <c r="V401" s="196"/>
      <c r="W401" s="196"/>
      <c r="X401" s="196"/>
      <c r="Y401" s="196"/>
      <c r="Z401" s="196"/>
      <c r="AA401" s="196"/>
      <c r="AB401" s="196"/>
      <c r="AC401" s="196"/>
      <c r="AD401" s="196"/>
      <c r="AE401" s="196"/>
      <c r="AF401" s="196"/>
      <c r="AG401" s="201" t="s">
        <v>164</v>
      </c>
      <c r="AH401" s="195" t="s">
        <v>164</v>
      </c>
      <c r="AI401" s="196"/>
      <c r="AJ401" s="196"/>
      <c r="AK401" s="196"/>
      <c r="AL401" s="196"/>
      <c r="AM401" s="196"/>
      <c r="AN401" s="196"/>
      <c r="AO401" s="196"/>
      <c r="AP401" s="196"/>
      <c r="AQ401" s="196"/>
      <c r="AR401" s="196"/>
      <c r="AS401" s="196"/>
      <c r="AT401" s="196"/>
      <c r="AU401" s="196"/>
      <c r="AV401" s="196"/>
      <c r="AW401" s="196"/>
      <c r="AX401" s="196"/>
      <c r="AY401" s="196"/>
      <c r="AZ401" s="196"/>
      <c r="BA401" s="196"/>
      <c r="BB401" s="196"/>
      <c r="BC401" s="196"/>
      <c r="BD401" s="196"/>
      <c r="BE401" s="196"/>
      <c r="BF401" s="196"/>
    </row>
    <row r="402">
      <c r="A402" s="194" t="s">
        <v>322</v>
      </c>
      <c r="B402" s="195" t="s">
        <v>176</v>
      </c>
      <c r="C402" s="195" t="s">
        <v>177</v>
      </c>
      <c r="D402" s="195" t="s">
        <v>178</v>
      </c>
      <c r="E402" s="195" t="s">
        <v>179</v>
      </c>
      <c r="F402" s="195" t="s">
        <v>246</v>
      </c>
      <c r="G402" s="195" t="s">
        <v>616</v>
      </c>
      <c r="H402" s="195" t="s">
        <v>534</v>
      </c>
      <c r="I402" s="195" t="s">
        <v>617</v>
      </c>
      <c r="J402" s="195" t="s">
        <v>618</v>
      </c>
      <c r="K402" s="195" t="s">
        <v>619</v>
      </c>
      <c r="L402" s="195" t="s">
        <v>181</v>
      </c>
      <c r="M402" s="195" t="s">
        <v>182</v>
      </c>
      <c r="N402" s="195" t="s">
        <v>183</v>
      </c>
      <c r="O402" s="195" t="s">
        <v>274</v>
      </c>
      <c r="P402" s="195" t="s">
        <v>248</v>
      </c>
      <c r="Q402" s="195" t="s">
        <v>545</v>
      </c>
      <c r="R402" s="195" t="s">
        <v>294</v>
      </c>
      <c r="S402" s="196"/>
      <c r="T402" s="196"/>
      <c r="U402" s="196"/>
      <c r="V402" s="196"/>
      <c r="W402" s="196"/>
      <c r="X402" s="196"/>
      <c r="Y402" s="196"/>
      <c r="Z402" s="196"/>
      <c r="AA402" s="196"/>
      <c r="AB402" s="196"/>
      <c r="AC402" s="196"/>
      <c r="AD402" s="196"/>
      <c r="AE402" s="196"/>
      <c r="AF402" s="196"/>
      <c r="AG402" s="195" t="s">
        <v>620</v>
      </c>
      <c r="AH402" s="195" t="s">
        <v>192</v>
      </c>
      <c r="AI402" s="195" t="s">
        <v>293</v>
      </c>
      <c r="AJ402" s="196"/>
      <c r="AK402" s="196"/>
      <c r="AL402" s="196"/>
      <c r="AM402" s="196"/>
      <c r="AN402" s="196"/>
      <c r="AO402" s="196"/>
      <c r="AP402" s="196"/>
      <c r="AQ402" s="196"/>
      <c r="AR402" s="196"/>
      <c r="AS402" s="196"/>
      <c r="AT402" s="196"/>
      <c r="AU402" s="196"/>
      <c r="AV402" s="196"/>
      <c r="AW402" s="196"/>
      <c r="AX402" s="196"/>
      <c r="AY402" s="196"/>
      <c r="AZ402" s="196"/>
      <c r="BA402" s="196"/>
      <c r="BB402" s="196"/>
      <c r="BC402" s="196"/>
      <c r="BD402" s="196"/>
      <c r="BE402" s="196"/>
      <c r="BF402" s="196"/>
    </row>
    <row r="403">
      <c r="A403" s="197"/>
      <c r="B403" s="195" t="s">
        <v>528</v>
      </c>
      <c r="C403" s="195" t="s">
        <v>528</v>
      </c>
      <c r="D403" s="195" t="s">
        <v>528</v>
      </c>
      <c r="E403" s="195" t="s">
        <v>528</v>
      </c>
      <c r="F403" s="195" t="s">
        <v>528</v>
      </c>
      <c r="G403" s="195" t="s">
        <v>528</v>
      </c>
      <c r="H403" s="195" t="s">
        <v>530</v>
      </c>
      <c r="I403" s="195" t="s">
        <v>530</v>
      </c>
      <c r="J403" s="195" t="s">
        <v>530</v>
      </c>
      <c r="K403" s="195" t="s">
        <v>530</v>
      </c>
      <c r="L403" s="195" t="s">
        <v>529</v>
      </c>
      <c r="M403" s="195" t="s">
        <v>529</v>
      </c>
      <c r="N403" s="195" t="s">
        <v>529</v>
      </c>
      <c r="O403" s="195" t="s">
        <v>531</v>
      </c>
      <c r="P403" s="195" t="s">
        <v>531</v>
      </c>
      <c r="Q403" s="195" t="s">
        <v>530</v>
      </c>
      <c r="R403" s="195" t="s">
        <v>530</v>
      </c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5" t="s">
        <v>530</v>
      </c>
      <c r="AH403" s="195" t="s">
        <v>531</v>
      </c>
      <c r="AI403" s="195" t="s">
        <v>531</v>
      </c>
      <c r="AJ403" s="196"/>
      <c r="AK403" s="196"/>
      <c r="AL403" s="196"/>
      <c r="AM403" s="196"/>
      <c r="AN403" s="196"/>
      <c r="AO403" s="196"/>
      <c r="AP403" s="196"/>
      <c r="AQ403" s="196"/>
      <c r="AR403" s="196"/>
      <c r="AS403" s="196"/>
      <c r="AT403" s="196"/>
      <c r="AU403" s="196"/>
      <c r="AV403" s="196"/>
      <c r="AW403" s="196"/>
      <c r="AX403" s="196"/>
      <c r="AY403" s="196"/>
      <c r="AZ403" s="196"/>
      <c r="BA403" s="196"/>
      <c r="BB403" s="196"/>
      <c r="BC403" s="196"/>
      <c r="BD403" s="196"/>
      <c r="BE403" s="196"/>
      <c r="BF403" s="196"/>
    </row>
    <row r="404">
      <c r="A404" s="197"/>
      <c r="B404" s="198">
        <v>0.3173</v>
      </c>
      <c r="C404" s="198">
        <v>0.356</v>
      </c>
      <c r="D404" s="198">
        <v>0.4549</v>
      </c>
      <c r="E404" s="198">
        <v>0.4549</v>
      </c>
      <c r="F404" s="198">
        <v>0.4825</v>
      </c>
      <c r="G404" s="198">
        <v>0.5762</v>
      </c>
      <c r="H404" s="198">
        <v>0.4386</v>
      </c>
      <c r="I404" s="198">
        <v>1.24</v>
      </c>
      <c r="J404" s="198">
        <v>1.28</v>
      </c>
      <c r="K404" s="198">
        <v>2.176</v>
      </c>
      <c r="L404" s="198">
        <v>0.5683</v>
      </c>
      <c r="M404" s="198">
        <v>1.1366</v>
      </c>
      <c r="N404" s="198">
        <v>1.4208</v>
      </c>
      <c r="O404" s="199">
        <v>0.2</v>
      </c>
      <c r="P404" s="199">
        <v>-0.15</v>
      </c>
      <c r="Q404" s="198">
        <v>1.2</v>
      </c>
      <c r="R404" s="198">
        <v>1.32</v>
      </c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8">
        <v>0.7027</v>
      </c>
      <c r="AH404" s="199">
        <v>0.2</v>
      </c>
      <c r="AI404" s="199">
        <v>0.05</v>
      </c>
      <c r="AJ404" s="196"/>
      <c r="AK404" s="196"/>
      <c r="AL404" s="196"/>
      <c r="AM404" s="196"/>
      <c r="AN404" s="196"/>
      <c r="AO404" s="196"/>
      <c r="AP404" s="196"/>
      <c r="AQ404" s="196"/>
      <c r="AR404" s="196"/>
      <c r="AS404" s="196"/>
      <c r="AT404" s="196"/>
      <c r="AU404" s="196"/>
      <c r="AV404" s="196"/>
      <c r="AW404" s="196"/>
      <c r="AX404" s="196"/>
      <c r="AY404" s="196"/>
      <c r="AZ404" s="196"/>
      <c r="BA404" s="196"/>
      <c r="BB404" s="196"/>
      <c r="BC404" s="196"/>
      <c r="BD404" s="196"/>
      <c r="BE404" s="196"/>
      <c r="BF404" s="196"/>
    </row>
    <row r="405">
      <c r="A405" s="197"/>
      <c r="B405" s="201" t="s">
        <v>304</v>
      </c>
      <c r="C405" s="201" t="s">
        <v>304</v>
      </c>
      <c r="D405" s="201" t="s">
        <v>304</v>
      </c>
      <c r="E405" s="201" t="s">
        <v>304</v>
      </c>
      <c r="F405" s="201" t="s">
        <v>304</v>
      </c>
      <c r="G405" s="201" t="s">
        <v>304</v>
      </c>
      <c r="H405" s="201" t="s">
        <v>304</v>
      </c>
      <c r="I405" s="201" t="s">
        <v>304</v>
      </c>
      <c r="J405" s="201" t="s">
        <v>304</v>
      </c>
      <c r="K405" s="201" t="s">
        <v>304</v>
      </c>
      <c r="L405" s="201" t="s">
        <v>304</v>
      </c>
      <c r="M405" s="201" t="s">
        <v>304</v>
      </c>
      <c r="N405" s="201" t="s">
        <v>304</v>
      </c>
      <c r="O405" s="196"/>
      <c r="P405" s="196"/>
      <c r="Q405" s="201" t="s">
        <v>303</v>
      </c>
      <c r="R405" s="201" t="s">
        <v>304</v>
      </c>
      <c r="S405" s="196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6"/>
      <c r="AD405" s="196"/>
      <c r="AE405" s="196"/>
      <c r="AF405" s="196"/>
      <c r="AG405" s="201" t="s">
        <v>304</v>
      </c>
      <c r="AH405" s="196"/>
      <c r="AI405" s="196"/>
      <c r="AJ405" s="196"/>
      <c r="AK405" s="196"/>
      <c r="AL405" s="196"/>
      <c r="AM405" s="196"/>
      <c r="AN405" s="196"/>
      <c r="AO405" s="196"/>
      <c r="AP405" s="196"/>
      <c r="AQ405" s="196"/>
      <c r="AR405" s="196"/>
      <c r="AS405" s="196"/>
      <c r="AT405" s="196"/>
      <c r="AU405" s="196"/>
      <c r="AV405" s="196"/>
      <c r="AW405" s="196"/>
      <c r="AX405" s="196"/>
      <c r="AY405" s="196"/>
      <c r="AZ405" s="196"/>
      <c r="BA405" s="196"/>
      <c r="BB405" s="196"/>
      <c r="BC405" s="196"/>
      <c r="BD405" s="196"/>
      <c r="BE405" s="196"/>
      <c r="BF405" s="196"/>
    </row>
    <row r="406">
      <c r="A406" s="197"/>
      <c r="B406" s="201" t="s">
        <v>147</v>
      </c>
      <c r="C406" s="201" t="s">
        <v>147</v>
      </c>
      <c r="D406" s="201" t="s">
        <v>147</v>
      </c>
      <c r="E406" s="201" t="s">
        <v>147</v>
      </c>
      <c r="F406" s="201" t="s">
        <v>147</v>
      </c>
      <c r="G406" s="201" t="s">
        <v>147</v>
      </c>
      <c r="H406" s="201" t="s">
        <v>152</v>
      </c>
      <c r="I406" s="201" t="s">
        <v>152</v>
      </c>
      <c r="J406" s="201" t="s">
        <v>152</v>
      </c>
      <c r="K406" s="201" t="s">
        <v>152</v>
      </c>
      <c r="L406" s="201" t="s">
        <v>157</v>
      </c>
      <c r="M406" s="201" t="s">
        <v>157</v>
      </c>
      <c r="N406" s="201" t="s">
        <v>157</v>
      </c>
      <c r="O406" s="196"/>
      <c r="P406" s="196"/>
      <c r="Q406" s="198"/>
      <c r="R406" s="201" t="s">
        <v>160</v>
      </c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6"/>
      <c r="AD406" s="196"/>
      <c r="AE406" s="196"/>
      <c r="AF406" s="196"/>
      <c r="AG406" s="201" t="s">
        <v>164</v>
      </c>
      <c r="AH406" s="196"/>
      <c r="AI406" s="196"/>
      <c r="AJ406" s="196"/>
      <c r="AK406" s="196"/>
      <c r="AL406" s="196"/>
      <c r="AM406" s="196"/>
      <c r="AN406" s="196"/>
      <c r="AO406" s="196"/>
      <c r="AP406" s="196"/>
      <c r="AQ406" s="196"/>
      <c r="AR406" s="196"/>
      <c r="AS406" s="196"/>
      <c r="AT406" s="196"/>
      <c r="AU406" s="196"/>
      <c r="AV406" s="196"/>
      <c r="AW406" s="196"/>
      <c r="AX406" s="196"/>
      <c r="AY406" s="196"/>
      <c r="AZ406" s="196"/>
      <c r="BA406" s="196"/>
      <c r="BB406" s="196"/>
      <c r="BC406" s="196"/>
      <c r="BD406" s="196"/>
      <c r="BE406" s="196"/>
      <c r="BF406" s="196"/>
    </row>
    <row r="407">
      <c r="A407" s="194" t="s">
        <v>323</v>
      </c>
      <c r="B407" s="195" t="s">
        <v>176</v>
      </c>
      <c r="C407" s="195" t="s">
        <v>177</v>
      </c>
      <c r="D407" s="195" t="s">
        <v>178</v>
      </c>
      <c r="E407" s="195" t="s">
        <v>179</v>
      </c>
      <c r="F407" s="195" t="s">
        <v>246</v>
      </c>
      <c r="G407" s="195" t="s">
        <v>548</v>
      </c>
      <c r="H407" s="195" t="s">
        <v>549</v>
      </c>
      <c r="I407" s="195" t="s">
        <v>550</v>
      </c>
      <c r="J407" s="195" t="s">
        <v>551</v>
      </c>
      <c r="K407" s="195" t="s">
        <v>181</v>
      </c>
      <c r="L407" s="195" t="s">
        <v>182</v>
      </c>
      <c r="M407" s="195" t="s">
        <v>183</v>
      </c>
      <c r="N407" s="195" t="s">
        <v>192</v>
      </c>
      <c r="O407" s="196"/>
      <c r="P407" s="196"/>
      <c r="Q407" s="195" t="s">
        <v>294</v>
      </c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4" t="s">
        <v>621</v>
      </c>
      <c r="AH407" s="195" t="s">
        <v>248</v>
      </c>
      <c r="AI407" s="196"/>
      <c r="AJ407" s="196"/>
      <c r="AK407" s="196"/>
      <c r="AL407" s="196"/>
      <c r="AM407" s="196"/>
      <c r="AN407" s="196"/>
      <c r="AO407" s="196"/>
      <c r="AP407" s="196"/>
      <c r="AQ407" s="196"/>
      <c r="AR407" s="196"/>
      <c r="AS407" s="196"/>
      <c r="AT407" s="196"/>
      <c r="AU407" s="196"/>
      <c r="AV407" s="196"/>
      <c r="AW407" s="196"/>
      <c r="AX407" s="196"/>
      <c r="AY407" s="196"/>
      <c r="AZ407" s="196"/>
      <c r="BA407" s="196"/>
      <c r="BB407" s="196"/>
      <c r="BC407" s="196"/>
      <c r="BD407" s="196"/>
      <c r="BE407" s="196"/>
      <c r="BF407" s="196"/>
    </row>
    <row r="408">
      <c r="A408" s="197"/>
      <c r="B408" s="195" t="s">
        <v>529</v>
      </c>
      <c r="C408" s="195" t="s">
        <v>529</v>
      </c>
      <c r="D408" s="195" t="s">
        <v>529</v>
      </c>
      <c r="E408" s="195" t="s">
        <v>529</v>
      </c>
      <c r="F408" s="195" t="s">
        <v>529</v>
      </c>
      <c r="G408" s="195" t="s">
        <v>529</v>
      </c>
      <c r="H408" s="195" t="s">
        <v>529</v>
      </c>
      <c r="I408" s="195" t="s">
        <v>529</v>
      </c>
      <c r="J408" s="195" t="s">
        <v>529</v>
      </c>
      <c r="K408" s="195" t="s">
        <v>529</v>
      </c>
      <c r="L408" s="195" t="s">
        <v>529</v>
      </c>
      <c r="M408" s="195" t="s">
        <v>529</v>
      </c>
      <c r="N408" s="195" t="s">
        <v>531</v>
      </c>
      <c r="O408" s="196"/>
      <c r="P408" s="196"/>
      <c r="Q408" s="195" t="s">
        <v>530</v>
      </c>
      <c r="R408" s="196"/>
      <c r="S408" s="196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6"/>
      <c r="AD408" s="196"/>
      <c r="AE408" s="196"/>
      <c r="AF408" s="196"/>
      <c r="AG408" s="195" t="s">
        <v>530</v>
      </c>
      <c r="AH408" s="195" t="s">
        <v>531</v>
      </c>
      <c r="AI408" s="196"/>
      <c r="AJ408" s="196"/>
      <c r="AK408" s="196"/>
      <c r="AL408" s="196"/>
      <c r="AM408" s="196"/>
      <c r="AN408" s="196"/>
      <c r="AO408" s="196"/>
      <c r="AP408" s="196"/>
      <c r="AQ408" s="196"/>
      <c r="AR408" s="196"/>
      <c r="AS408" s="196"/>
      <c r="AT408" s="196"/>
      <c r="AU408" s="196"/>
      <c r="AV408" s="196"/>
      <c r="AW408" s="196"/>
      <c r="AX408" s="196"/>
      <c r="AY408" s="196"/>
      <c r="AZ408" s="196"/>
      <c r="BA408" s="196"/>
      <c r="BB408" s="196"/>
      <c r="BC408" s="196"/>
      <c r="BD408" s="196"/>
      <c r="BE408" s="196"/>
      <c r="BF408" s="196"/>
    </row>
    <row r="409">
      <c r="A409" s="197"/>
      <c r="B409" s="198">
        <v>0.4446</v>
      </c>
      <c r="C409" s="198">
        <v>0.4343</v>
      </c>
      <c r="D409" s="198">
        <v>0.5298</v>
      </c>
      <c r="E409" s="198">
        <v>0.5831</v>
      </c>
      <c r="F409" s="198">
        <v>0.7078</v>
      </c>
      <c r="G409" s="198">
        <v>0.559</v>
      </c>
      <c r="H409" s="198">
        <v>0.6072</v>
      </c>
      <c r="I409" s="198">
        <v>0.559</v>
      </c>
      <c r="J409" s="198">
        <v>0.7224</v>
      </c>
      <c r="K409" s="198">
        <v>0.6393</v>
      </c>
      <c r="L409" s="198">
        <v>1.2786</v>
      </c>
      <c r="M409" s="198">
        <v>1.5983</v>
      </c>
      <c r="N409" s="199">
        <v>0.6</v>
      </c>
      <c r="O409" s="196"/>
      <c r="P409" s="196"/>
      <c r="Q409" s="198">
        <v>2.48</v>
      </c>
      <c r="R409" s="196"/>
      <c r="S409" s="196"/>
      <c r="T409" s="196"/>
      <c r="U409" s="196"/>
      <c r="V409" s="196"/>
      <c r="W409" s="196"/>
      <c r="X409" s="196"/>
      <c r="Y409" s="196"/>
      <c r="Z409" s="196"/>
      <c r="AA409" s="196"/>
      <c r="AB409" s="196"/>
      <c r="AC409" s="196"/>
      <c r="AD409" s="196"/>
      <c r="AE409" s="196"/>
      <c r="AF409" s="196"/>
      <c r="AG409" s="198">
        <v>1.48</v>
      </c>
      <c r="AH409" s="199">
        <v>0.1</v>
      </c>
      <c r="AI409" s="196"/>
      <c r="AJ409" s="196"/>
      <c r="AK409" s="196"/>
      <c r="AL409" s="196"/>
      <c r="AM409" s="196"/>
      <c r="AN409" s="196"/>
      <c r="AO409" s="196"/>
      <c r="AP409" s="196"/>
      <c r="AQ409" s="196"/>
      <c r="AR409" s="196"/>
      <c r="AS409" s="196"/>
      <c r="AT409" s="196"/>
      <c r="AU409" s="196"/>
      <c r="AV409" s="196"/>
      <c r="AW409" s="196"/>
      <c r="AX409" s="196"/>
      <c r="AY409" s="196"/>
      <c r="AZ409" s="196"/>
      <c r="BA409" s="196"/>
      <c r="BB409" s="196"/>
      <c r="BC409" s="196"/>
      <c r="BD409" s="196"/>
      <c r="BE409" s="196"/>
      <c r="BF409" s="196"/>
    </row>
    <row r="410">
      <c r="A410" s="197"/>
      <c r="B410" s="201" t="s">
        <v>304</v>
      </c>
      <c r="C410" s="201" t="s">
        <v>304</v>
      </c>
      <c r="D410" s="201" t="s">
        <v>304</v>
      </c>
      <c r="E410" s="201" t="s">
        <v>304</v>
      </c>
      <c r="F410" s="201" t="s">
        <v>304</v>
      </c>
      <c r="G410" s="201" t="s">
        <v>304</v>
      </c>
      <c r="H410" s="201" t="s">
        <v>304</v>
      </c>
      <c r="I410" s="201" t="s">
        <v>304</v>
      </c>
      <c r="J410" s="201" t="s">
        <v>304</v>
      </c>
      <c r="K410" s="201" t="s">
        <v>304</v>
      </c>
      <c r="L410" s="201" t="s">
        <v>304</v>
      </c>
      <c r="M410" s="201" t="s">
        <v>304</v>
      </c>
      <c r="N410" s="195" t="s">
        <v>304</v>
      </c>
      <c r="O410" s="196"/>
      <c r="P410" s="196"/>
      <c r="Q410" s="201" t="s">
        <v>304</v>
      </c>
      <c r="R410" s="196"/>
      <c r="S410" s="196"/>
      <c r="T410" s="196"/>
      <c r="U410" s="196"/>
      <c r="V410" s="196"/>
      <c r="W410" s="196"/>
      <c r="X410" s="196"/>
      <c r="Y410" s="196"/>
      <c r="Z410" s="196"/>
      <c r="AA410" s="196"/>
      <c r="AB410" s="196"/>
      <c r="AC410" s="196"/>
      <c r="AD410" s="196"/>
      <c r="AE410" s="196"/>
      <c r="AF410" s="196"/>
      <c r="AG410" s="201" t="s">
        <v>304</v>
      </c>
      <c r="AH410" s="196"/>
      <c r="AI410" s="196"/>
      <c r="AJ410" s="196"/>
      <c r="AK410" s="196"/>
      <c r="AL410" s="196"/>
      <c r="AM410" s="196"/>
      <c r="AN410" s="196"/>
      <c r="AO410" s="196"/>
      <c r="AP410" s="196"/>
      <c r="AQ410" s="196"/>
      <c r="AR410" s="196"/>
      <c r="AS410" s="196"/>
      <c r="AT410" s="196"/>
      <c r="AU410" s="196"/>
      <c r="AV410" s="196"/>
      <c r="AW410" s="196"/>
      <c r="AX410" s="196"/>
      <c r="AY410" s="196"/>
      <c r="AZ410" s="196"/>
      <c r="BA410" s="196"/>
      <c r="BB410" s="196"/>
      <c r="BC410" s="196"/>
      <c r="BD410" s="196"/>
      <c r="BE410" s="196"/>
      <c r="BF410" s="196"/>
    </row>
    <row r="411">
      <c r="A411" s="197"/>
      <c r="B411" s="201" t="s">
        <v>147</v>
      </c>
      <c r="C411" s="201" t="s">
        <v>147</v>
      </c>
      <c r="D411" s="201" t="s">
        <v>147</v>
      </c>
      <c r="E411" s="201" t="s">
        <v>147</v>
      </c>
      <c r="F411" s="201" t="s">
        <v>147</v>
      </c>
      <c r="G411" s="201" t="s">
        <v>152</v>
      </c>
      <c r="H411" s="201" t="s">
        <v>152</v>
      </c>
      <c r="I411" s="201" t="s">
        <v>152</v>
      </c>
      <c r="J411" s="201" t="s">
        <v>152</v>
      </c>
      <c r="K411" s="201" t="s">
        <v>157</v>
      </c>
      <c r="L411" s="201" t="s">
        <v>157</v>
      </c>
      <c r="M411" s="201" t="s">
        <v>157</v>
      </c>
      <c r="N411" s="195" t="s">
        <v>147</v>
      </c>
      <c r="O411" s="196"/>
      <c r="P411" s="196"/>
      <c r="Q411" s="201" t="s">
        <v>160</v>
      </c>
      <c r="R411" s="196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6"/>
      <c r="AD411" s="196"/>
      <c r="AE411" s="196"/>
      <c r="AF411" s="196"/>
      <c r="AG411" s="201" t="s">
        <v>164</v>
      </c>
      <c r="AH411" s="196"/>
      <c r="AI411" s="196"/>
      <c r="AJ411" s="196"/>
      <c r="AK411" s="196"/>
      <c r="AL411" s="196"/>
      <c r="AM411" s="196"/>
      <c r="AN411" s="196"/>
      <c r="AO411" s="196"/>
      <c r="AP411" s="196"/>
      <c r="AQ411" s="196"/>
      <c r="AR411" s="196"/>
      <c r="AS411" s="196"/>
      <c r="AT411" s="196"/>
      <c r="AU411" s="196"/>
      <c r="AV411" s="196"/>
      <c r="AW411" s="196"/>
      <c r="AX411" s="196"/>
      <c r="AY411" s="196"/>
      <c r="AZ411" s="196"/>
      <c r="BA411" s="196"/>
      <c r="BB411" s="196"/>
      <c r="BC411" s="196"/>
      <c r="BD411" s="196"/>
      <c r="BE411" s="196"/>
      <c r="BF411" s="196"/>
    </row>
    <row r="412">
      <c r="A412" s="194" t="s">
        <v>324</v>
      </c>
      <c r="B412" s="195" t="s">
        <v>176</v>
      </c>
      <c r="C412" s="195" t="s">
        <v>177</v>
      </c>
      <c r="D412" s="195" t="s">
        <v>178</v>
      </c>
      <c r="E412" s="195" t="s">
        <v>179</v>
      </c>
      <c r="F412" s="195" t="s">
        <v>534</v>
      </c>
      <c r="G412" s="195" t="s">
        <v>535</v>
      </c>
      <c r="H412" s="195" t="s">
        <v>181</v>
      </c>
      <c r="I412" s="195" t="s">
        <v>182</v>
      </c>
      <c r="J412" s="195" t="s">
        <v>183</v>
      </c>
      <c r="K412" s="211"/>
      <c r="L412" s="211"/>
      <c r="M412" s="211"/>
      <c r="N412" s="211"/>
      <c r="O412" s="196"/>
      <c r="P412" s="196"/>
      <c r="Q412" s="195" t="s">
        <v>588</v>
      </c>
      <c r="R412" s="195" t="s">
        <v>622</v>
      </c>
      <c r="S412" s="195" t="s">
        <v>623</v>
      </c>
      <c r="T412" s="145" t="s">
        <v>624</v>
      </c>
      <c r="U412" s="196"/>
      <c r="V412" s="196"/>
      <c r="W412" s="196"/>
      <c r="X412" s="196"/>
      <c r="Y412" s="196"/>
      <c r="Z412" s="196"/>
      <c r="AA412" s="196"/>
      <c r="AB412" s="196"/>
      <c r="AC412" s="196"/>
      <c r="AD412" s="196"/>
      <c r="AE412" s="196"/>
      <c r="AF412" s="196"/>
      <c r="AG412" s="195" t="s">
        <v>542</v>
      </c>
      <c r="AH412" s="195" t="s">
        <v>625</v>
      </c>
      <c r="AI412" s="195" t="s">
        <v>626</v>
      </c>
      <c r="AJ412" s="195" t="s">
        <v>293</v>
      </c>
      <c r="AK412" s="195" t="s">
        <v>274</v>
      </c>
      <c r="AL412" s="195" t="s">
        <v>627</v>
      </c>
      <c r="AM412" s="195" t="s">
        <v>628</v>
      </c>
      <c r="AN412" s="195" t="s">
        <v>629</v>
      </c>
      <c r="AO412" s="196"/>
      <c r="AP412" s="196"/>
      <c r="AQ412" s="196"/>
      <c r="AR412" s="196"/>
      <c r="AS412" s="196"/>
      <c r="AT412" s="196"/>
      <c r="AU412" s="196"/>
      <c r="AV412" s="196"/>
      <c r="AW412" s="196"/>
      <c r="AX412" s="196"/>
      <c r="AY412" s="196"/>
      <c r="AZ412" s="196"/>
      <c r="BA412" s="196"/>
      <c r="BB412" s="196"/>
      <c r="BC412" s="196"/>
      <c r="BD412" s="196"/>
      <c r="BE412" s="196"/>
      <c r="BF412" s="196"/>
    </row>
    <row r="413">
      <c r="A413" s="197"/>
      <c r="B413" s="195" t="s">
        <v>529</v>
      </c>
      <c r="C413" s="195" t="s">
        <v>529</v>
      </c>
      <c r="D413" s="195" t="s">
        <v>529</v>
      </c>
      <c r="E413" s="195" t="s">
        <v>529</v>
      </c>
      <c r="F413" s="195" t="s">
        <v>530</v>
      </c>
      <c r="G413" s="195" t="s">
        <v>530</v>
      </c>
      <c r="H413" s="195" t="s">
        <v>529</v>
      </c>
      <c r="I413" s="195" t="s">
        <v>529</v>
      </c>
      <c r="J413" s="195" t="s">
        <v>529</v>
      </c>
      <c r="K413" s="211"/>
      <c r="L413" s="211"/>
      <c r="M413" s="211"/>
      <c r="N413" s="211"/>
      <c r="O413" s="196"/>
      <c r="P413" s="196"/>
      <c r="Q413" s="195" t="s">
        <v>530</v>
      </c>
      <c r="R413" s="195" t="s">
        <v>530</v>
      </c>
      <c r="S413" s="195" t="s">
        <v>531</v>
      </c>
      <c r="T413" s="145" t="s">
        <v>531</v>
      </c>
      <c r="U413" s="196"/>
      <c r="V413" s="196"/>
      <c r="W413" s="196"/>
      <c r="X413" s="196"/>
      <c r="Y413" s="196"/>
      <c r="Z413" s="196"/>
      <c r="AA413" s="196"/>
      <c r="AB413" s="196"/>
      <c r="AC413" s="196"/>
      <c r="AD413" s="196"/>
      <c r="AE413" s="196"/>
      <c r="AF413" s="196"/>
      <c r="AG413" s="195" t="s">
        <v>530</v>
      </c>
      <c r="AH413" s="195" t="s">
        <v>530</v>
      </c>
      <c r="AI413" s="195" t="s">
        <v>531</v>
      </c>
      <c r="AJ413" s="195" t="s">
        <v>531</v>
      </c>
      <c r="AK413" s="195" t="s">
        <v>531</v>
      </c>
      <c r="AL413" s="195" t="s">
        <v>531</v>
      </c>
      <c r="AM413" s="195" t="s">
        <v>531</v>
      </c>
      <c r="AN413" s="195" t="s">
        <v>531</v>
      </c>
      <c r="AO413" s="196"/>
      <c r="AP413" s="196"/>
      <c r="AQ413" s="196"/>
      <c r="AR413" s="196"/>
      <c r="AS413" s="196"/>
      <c r="AT413" s="196"/>
      <c r="AU413" s="196"/>
      <c r="AV413" s="196"/>
      <c r="AW413" s="196"/>
      <c r="AX413" s="196"/>
      <c r="AY413" s="196"/>
      <c r="AZ413" s="196"/>
      <c r="BA413" s="196"/>
      <c r="BB413" s="196"/>
      <c r="BC413" s="196"/>
      <c r="BD413" s="196"/>
      <c r="BE413" s="196"/>
      <c r="BF413" s="196"/>
    </row>
    <row r="414">
      <c r="A414" s="197"/>
      <c r="B414" s="198">
        <v>0.3775</v>
      </c>
      <c r="C414" s="198">
        <v>0.3775</v>
      </c>
      <c r="D414" s="198">
        <v>0.4945</v>
      </c>
      <c r="E414" s="198">
        <v>0.59</v>
      </c>
      <c r="F414" s="198">
        <v>0.4386</v>
      </c>
      <c r="G414" s="198">
        <v>1.24</v>
      </c>
      <c r="H414" s="198">
        <v>0.5683</v>
      </c>
      <c r="I414" s="198">
        <v>1.1363</v>
      </c>
      <c r="J414" s="198">
        <v>1.4193</v>
      </c>
      <c r="K414" s="211"/>
      <c r="L414" s="211"/>
      <c r="M414" s="211"/>
      <c r="N414" s="211"/>
      <c r="O414" s="196"/>
      <c r="P414" s="196"/>
      <c r="Q414" s="198">
        <v>1.072</v>
      </c>
      <c r="R414" s="210">
        <v>206.0</v>
      </c>
      <c r="S414" s="199">
        <v>0.15</v>
      </c>
      <c r="T414" s="205">
        <v>1.56</v>
      </c>
      <c r="U414" s="196"/>
      <c r="V414" s="196"/>
      <c r="W414" s="196"/>
      <c r="X414" s="196"/>
      <c r="Y414" s="196"/>
      <c r="Z414" s="196"/>
      <c r="AA414" s="196"/>
      <c r="AB414" s="196"/>
      <c r="AC414" s="196"/>
      <c r="AD414" s="196"/>
      <c r="AE414" s="196"/>
      <c r="AF414" s="196"/>
      <c r="AG414" s="198">
        <v>0.9822</v>
      </c>
      <c r="AH414" s="198">
        <v>0.613</v>
      </c>
      <c r="AI414" s="200">
        <v>0.156</v>
      </c>
      <c r="AJ414" s="199">
        <v>0.5</v>
      </c>
      <c r="AK414" s="199">
        <v>0.25</v>
      </c>
      <c r="AL414" s="199">
        <v>0.1</v>
      </c>
      <c r="AM414" s="199">
        <v>0.2</v>
      </c>
      <c r="AN414" s="199">
        <v>0.4</v>
      </c>
      <c r="AO414" s="196"/>
      <c r="AP414" s="196"/>
      <c r="AQ414" s="196"/>
      <c r="AR414" s="196"/>
      <c r="AS414" s="196"/>
      <c r="AT414" s="196"/>
      <c r="AU414" s="196"/>
      <c r="AV414" s="196"/>
      <c r="AW414" s="196"/>
      <c r="AX414" s="196"/>
      <c r="AY414" s="196"/>
      <c r="AZ414" s="196"/>
      <c r="BA414" s="196"/>
      <c r="BB414" s="196"/>
      <c r="BC414" s="196"/>
      <c r="BD414" s="196"/>
      <c r="BE414" s="196"/>
      <c r="BF414" s="196"/>
    </row>
    <row r="415">
      <c r="A415" s="197"/>
      <c r="B415" s="201" t="s">
        <v>304</v>
      </c>
      <c r="C415" s="201" t="s">
        <v>304</v>
      </c>
      <c r="D415" s="201" t="s">
        <v>304</v>
      </c>
      <c r="E415" s="201" t="s">
        <v>304</v>
      </c>
      <c r="F415" s="201" t="s">
        <v>304</v>
      </c>
      <c r="G415" s="201" t="s">
        <v>304</v>
      </c>
      <c r="H415" s="201" t="s">
        <v>304</v>
      </c>
      <c r="I415" s="201" t="s">
        <v>304</v>
      </c>
      <c r="J415" s="201" t="s">
        <v>304</v>
      </c>
      <c r="K415" s="201"/>
      <c r="L415" s="201"/>
      <c r="M415" s="201"/>
      <c r="N415" s="195"/>
      <c r="O415" s="196"/>
      <c r="P415" s="196"/>
      <c r="Q415" s="201" t="s">
        <v>304</v>
      </c>
      <c r="R415" s="195"/>
      <c r="S415" s="195"/>
      <c r="T415" s="145" t="s">
        <v>305</v>
      </c>
      <c r="U415" s="196"/>
      <c r="V415" s="196"/>
      <c r="W415" s="196"/>
      <c r="X415" s="196"/>
      <c r="Y415" s="196"/>
      <c r="Z415" s="196"/>
      <c r="AA415" s="196"/>
      <c r="AB415" s="196"/>
      <c r="AC415" s="196"/>
      <c r="AD415" s="196"/>
      <c r="AE415" s="196"/>
      <c r="AF415" s="196"/>
      <c r="AG415" s="201" t="s">
        <v>305</v>
      </c>
      <c r="AH415" s="195" t="s">
        <v>305</v>
      </c>
      <c r="AI415" s="195" t="s">
        <v>305</v>
      </c>
      <c r="AJ415" s="195" t="s">
        <v>305</v>
      </c>
      <c r="AK415" s="196"/>
      <c r="AL415" s="196"/>
      <c r="AM415" s="196"/>
      <c r="AN415" s="196"/>
      <c r="AO415" s="196"/>
      <c r="AP415" s="196"/>
      <c r="AQ415" s="196"/>
      <c r="AR415" s="196"/>
      <c r="AS415" s="196"/>
      <c r="AT415" s="196"/>
      <c r="AU415" s="196"/>
      <c r="AV415" s="196"/>
      <c r="AW415" s="196"/>
      <c r="AX415" s="196"/>
      <c r="AY415" s="196"/>
      <c r="AZ415" s="196"/>
      <c r="BA415" s="196"/>
      <c r="BB415" s="196"/>
      <c r="BC415" s="196"/>
      <c r="BD415" s="196"/>
      <c r="BE415" s="196"/>
      <c r="BF415" s="196"/>
    </row>
    <row r="416">
      <c r="A416" s="197"/>
      <c r="B416" s="201" t="s">
        <v>147</v>
      </c>
      <c r="C416" s="201" t="s">
        <v>147</v>
      </c>
      <c r="D416" s="201" t="s">
        <v>147</v>
      </c>
      <c r="E416" s="201" t="s">
        <v>147</v>
      </c>
      <c r="F416" s="201" t="s">
        <v>152</v>
      </c>
      <c r="G416" s="201" t="s">
        <v>152</v>
      </c>
      <c r="H416" s="201" t="s">
        <v>157</v>
      </c>
      <c r="I416" s="201" t="s">
        <v>157</v>
      </c>
      <c r="J416" s="201" t="s">
        <v>157</v>
      </c>
      <c r="K416" s="201"/>
      <c r="L416" s="201"/>
      <c r="M416" s="201"/>
      <c r="N416" s="195"/>
      <c r="O416" s="196"/>
      <c r="P416" s="196"/>
      <c r="Q416" s="201" t="s">
        <v>160</v>
      </c>
      <c r="R416" s="196"/>
      <c r="S416" s="195"/>
      <c r="T416" s="145" t="s">
        <v>160</v>
      </c>
      <c r="U416" s="196"/>
      <c r="V416" s="196"/>
      <c r="W416" s="196"/>
      <c r="X416" s="196"/>
      <c r="Y416" s="196"/>
      <c r="Z416" s="196"/>
      <c r="AA416" s="196"/>
      <c r="AB416" s="196"/>
      <c r="AC416" s="196"/>
      <c r="AD416" s="196"/>
      <c r="AE416" s="196"/>
      <c r="AF416" s="196"/>
      <c r="AG416" s="201" t="s">
        <v>164</v>
      </c>
      <c r="AH416" s="195" t="s">
        <v>164</v>
      </c>
      <c r="AI416" s="195" t="s">
        <v>164</v>
      </c>
      <c r="AJ416" s="196"/>
      <c r="AK416" s="196"/>
      <c r="AL416" s="196"/>
      <c r="AM416" s="196"/>
      <c r="AN416" s="196"/>
      <c r="AO416" s="196"/>
      <c r="AP416" s="196"/>
      <c r="AQ416" s="196"/>
      <c r="AR416" s="196"/>
      <c r="AS416" s="196"/>
      <c r="AT416" s="196"/>
      <c r="AU416" s="196"/>
      <c r="AV416" s="196"/>
      <c r="AW416" s="196"/>
      <c r="AX416" s="196"/>
      <c r="AY416" s="196"/>
      <c r="AZ416" s="196"/>
      <c r="BA416" s="196"/>
      <c r="BB416" s="196"/>
      <c r="BC416" s="196"/>
      <c r="BD416" s="196"/>
      <c r="BE416" s="196"/>
      <c r="BF416" s="196"/>
    </row>
    <row r="417">
      <c r="A417" s="194" t="s">
        <v>325</v>
      </c>
      <c r="B417" s="195" t="s">
        <v>176</v>
      </c>
      <c r="C417" s="195" t="s">
        <v>177</v>
      </c>
      <c r="D417" s="195" t="s">
        <v>178</v>
      </c>
      <c r="E417" s="195" t="s">
        <v>179</v>
      </c>
      <c r="F417" s="195" t="s">
        <v>604</v>
      </c>
      <c r="G417" s="195" t="s">
        <v>630</v>
      </c>
      <c r="H417" s="195" t="s">
        <v>631</v>
      </c>
      <c r="I417" s="195" t="s">
        <v>180</v>
      </c>
      <c r="J417" s="195" t="s">
        <v>181</v>
      </c>
      <c r="K417" s="195" t="s">
        <v>182</v>
      </c>
      <c r="L417" s="195" t="s">
        <v>183</v>
      </c>
      <c r="M417" s="196"/>
      <c r="N417" s="196"/>
      <c r="O417" s="196"/>
      <c r="P417" s="196"/>
      <c r="Q417" s="195" t="s">
        <v>632</v>
      </c>
      <c r="R417" s="195" t="s">
        <v>633</v>
      </c>
      <c r="S417" s="195" t="s">
        <v>189</v>
      </c>
      <c r="T417" s="195" t="s">
        <v>274</v>
      </c>
      <c r="U417" s="195" t="s">
        <v>293</v>
      </c>
      <c r="V417" s="196"/>
      <c r="W417" s="196"/>
      <c r="X417" s="196"/>
      <c r="Y417" s="196"/>
      <c r="Z417" s="196"/>
      <c r="AA417" s="196"/>
      <c r="AB417" s="196"/>
      <c r="AC417" s="196"/>
      <c r="AD417" s="196"/>
      <c r="AE417" s="196"/>
      <c r="AF417" s="196"/>
      <c r="AG417" s="195" t="s">
        <v>294</v>
      </c>
      <c r="AH417" s="195" t="s">
        <v>634</v>
      </c>
      <c r="AI417" s="195" t="s">
        <v>635</v>
      </c>
      <c r="AJ417" s="195" t="s">
        <v>636</v>
      </c>
      <c r="AK417" s="195" t="s">
        <v>192</v>
      </c>
      <c r="AL417" s="195" t="s">
        <v>253</v>
      </c>
      <c r="AM417" s="196"/>
      <c r="AN417" s="196"/>
      <c r="AO417" s="196"/>
      <c r="AP417" s="196"/>
      <c r="AQ417" s="196"/>
      <c r="AR417" s="196"/>
      <c r="AS417" s="196"/>
      <c r="AT417" s="196"/>
      <c r="AU417" s="196"/>
      <c r="AV417" s="196"/>
      <c r="AW417" s="196"/>
      <c r="AX417" s="196"/>
      <c r="AY417" s="196"/>
      <c r="AZ417" s="196"/>
      <c r="BA417" s="196"/>
      <c r="BB417" s="196"/>
      <c r="BC417" s="196"/>
      <c r="BD417" s="196"/>
      <c r="BE417" s="196"/>
      <c r="BF417" s="196"/>
    </row>
    <row r="418">
      <c r="A418" s="197"/>
      <c r="B418" s="195" t="s">
        <v>637</v>
      </c>
      <c r="C418" s="195" t="s">
        <v>637</v>
      </c>
      <c r="D418" s="195" t="s">
        <v>637</v>
      </c>
      <c r="E418" s="195" t="s">
        <v>637</v>
      </c>
      <c r="F418" s="195" t="s">
        <v>637</v>
      </c>
      <c r="G418" s="195" t="s">
        <v>637</v>
      </c>
      <c r="H418" s="195" t="s">
        <v>637</v>
      </c>
      <c r="I418" s="195" t="s">
        <v>637</v>
      </c>
      <c r="J418" s="195" t="s">
        <v>637</v>
      </c>
      <c r="K418" s="195" t="s">
        <v>637</v>
      </c>
      <c r="L418" s="195" t="s">
        <v>637</v>
      </c>
      <c r="M418" s="196"/>
      <c r="N418" s="196"/>
      <c r="O418" s="196"/>
      <c r="P418" s="196"/>
      <c r="Q418" s="195" t="s">
        <v>544</v>
      </c>
      <c r="R418" s="195" t="s">
        <v>544</v>
      </c>
      <c r="S418" s="195" t="s">
        <v>531</v>
      </c>
      <c r="T418" s="195" t="s">
        <v>531</v>
      </c>
      <c r="U418" s="195" t="s">
        <v>531</v>
      </c>
      <c r="V418" s="196"/>
      <c r="W418" s="196"/>
      <c r="X418" s="196"/>
      <c r="Y418" s="196"/>
      <c r="Z418" s="196"/>
      <c r="AA418" s="196"/>
      <c r="AB418" s="196"/>
      <c r="AC418" s="196"/>
      <c r="AD418" s="196"/>
      <c r="AE418" s="196"/>
      <c r="AF418" s="196"/>
      <c r="AG418" s="195" t="s">
        <v>544</v>
      </c>
      <c r="AH418" s="195" t="s">
        <v>544</v>
      </c>
      <c r="AI418" s="195" t="s">
        <v>544</v>
      </c>
      <c r="AJ418" s="195" t="s">
        <v>544</v>
      </c>
      <c r="AK418" s="195" t="s">
        <v>531</v>
      </c>
      <c r="AL418" s="195" t="s">
        <v>531</v>
      </c>
      <c r="AM418" s="196"/>
      <c r="AN418" s="196"/>
      <c r="AO418" s="196"/>
      <c r="AP418" s="196"/>
      <c r="AQ418" s="196"/>
      <c r="AR418" s="196"/>
      <c r="AS418" s="196"/>
      <c r="AT418" s="196"/>
      <c r="AU418" s="196"/>
      <c r="AV418" s="196"/>
      <c r="AW418" s="196"/>
      <c r="AX418" s="196"/>
      <c r="AY418" s="196"/>
      <c r="AZ418" s="196"/>
      <c r="BA418" s="196"/>
      <c r="BB418" s="196"/>
      <c r="BC418" s="196"/>
      <c r="BD418" s="196"/>
      <c r="BE418" s="196"/>
      <c r="BF418" s="196"/>
    </row>
    <row r="419">
      <c r="A419" s="197"/>
      <c r="B419" s="198">
        <v>0.4689</v>
      </c>
      <c r="C419" s="198">
        <v>0.4825</v>
      </c>
      <c r="D419" s="198">
        <v>0.6105</v>
      </c>
      <c r="E419" s="198">
        <v>0.6564</v>
      </c>
      <c r="F419" s="198">
        <v>0.3327</v>
      </c>
      <c r="G419" s="198">
        <v>0.352</v>
      </c>
      <c r="H419" s="198">
        <v>0.8596</v>
      </c>
      <c r="I419" s="198">
        <v>1.3596</v>
      </c>
      <c r="J419" s="198">
        <v>0.6542</v>
      </c>
      <c r="K419" s="198">
        <v>1.3084</v>
      </c>
      <c r="L419" s="198">
        <v>1.6355</v>
      </c>
      <c r="M419" s="196"/>
      <c r="N419" s="196"/>
      <c r="O419" s="196"/>
      <c r="P419" s="196"/>
      <c r="Q419" s="198">
        <v>0.0384</v>
      </c>
      <c r="R419" s="198">
        <v>0.64</v>
      </c>
      <c r="S419" s="199">
        <v>0.1</v>
      </c>
      <c r="T419" s="199">
        <v>0.12</v>
      </c>
      <c r="U419" s="199">
        <v>0.12</v>
      </c>
      <c r="V419" s="196"/>
      <c r="W419" s="196"/>
      <c r="X419" s="196"/>
      <c r="Y419" s="196"/>
      <c r="Z419" s="196"/>
      <c r="AA419" s="196"/>
      <c r="AB419" s="196"/>
      <c r="AC419" s="196"/>
      <c r="AD419" s="196"/>
      <c r="AE419" s="196"/>
      <c r="AF419" s="196"/>
      <c r="AG419" s="198">
        <v>3.0327</v>
      </c>
      <c r="AH419" s="198">
        <v>3.7909</v>
      </c>
      <c r="AI419" s="198">
        <v>0.0626</v>
      </c>
      <c r="AJ419" s="198">
        <v>0.0835</v>
      </c>
      <c r="AK419" s="199">
        <v>0.33</v>
      </c>
      <c r="AL419" s="199">
        <v>1.0</v>
      </c>
      <c r="AM419" s="196"/>
      <c r="AN419" s="196"/>
      <c r="AO419" s="196"/>
      <c r="AP419" s="196"/>
      <c r="AQ419" s="196"/>
      <c r="AR419" s="196"/>
      <c r="AS419" s="196"/>
      <c r="AT419" s="196"/>
      <c r="AU419" s="196"/>
      <c r="AV419" s="196"/>
      <c r="AW419" s="196"/>
      <c r="AX419" s="196"/>
      <c r="AY419" s="196"/>
      <c r="AZ419" s="196"/>
      <c r="BA419" s="196"/>
      <c r="BB419" s="196"/>
      <c r="BC419" s="196"/>
      <c r="BD419" s="196"/>
      <c r="BE419" s="196"/>
      <c r="BF419" s="196"/>
    </row>
    <row r="420">
      <c r="A420" s="197"/>
      <c r="B420" s="201" t="s">
        <v>304</v>
      </c>
      <c r="C420" s="201" t="s">
        <v>304</v>
      </c>
      <c r="D420" s="201" t="s">
        <v>304</v>
      </c>
      <c r="E420" s="201" t="s">
        <v>304</v>
      </c>
      <c r="F420" s="201" t="s">
        <v>304</v>
      </c>
      <c r="G420" s="201" t="s">
        <v>304</v>
      </c>
      <c r="H420" s="201" t="s">
        <v>304</v>
      </c>
      <c r="I420" s="201" t="s">
        <v>304</v>
      </c>
      <c r="J420" s="201" t="s">
        <v>304</v>
      </c>
      <c r="K420" s="201" t="s">
        <v>304</v>
      </c>
      <c r="L420" s="201" t="s">
        <v>304</v>
      </c>
      <c r="M420" s="196"/>
      <c r="N420" s="196"/>
      <c r="O420" s="196"/>
      <c r="P420" s="196"/>
      <c r="Q420" s="201" t="s">
        <v>303</v>
      </c>
      <c r="R420" s="201" t="s">
        <v>304</v>
      </c>
      <c r="S420" s="195" t="s">
        <v>303</v>
      </c>
      <c r="T420" s="196"/>
      <c r="U420" s="196"/>
      <c r="V420" s="196"/>
      <c r="W420" s="196"/>
      <c r="X420" s="196"/>
      <c r="Y420" s="196"/>
      <c r="Z420" s="196"/>
      <c r="AA420" s="196"/>
      <c r="AB420" s="196"/>
      <c r="AC420" s="196"/>
      <c r="AD420" s="196"/>
      <c r="AE420" s="196"/>
      <c r="AF420" s="196"/>
      <c r="AG420" s="201" t="s">
        <v>304</v>
      </c>
      <c r="AH420" s="201" t="s">
        <v>304</v>
      </c>
      <c r="AI420" s="201" t="s">
        <v>303</v>
      </c>
      <c r="AJ420" s="201" t="s">
        <v>303</v>
      </c>
      <c r="AK420" s="196"/>
      <c r="AL420" s="196"/>
      <c r="AM420" s="196"/>
      <c r="AN420" s="196"/>
      <c r="AO420" s="196"/>
      <c r="AP420" s="196"/>
      <c r="AQ420" s="196"/>
      <c r="AR420" s="196"/>
      <c r="AS420" s="196"/>
      <c r="AT420" s="196"/>
      <c r="AU420" s="196"/>
      <c r="AV420" s="196"/>
      <c r="AW420" s="196"/>
      <c r="AX420" s="196"/>
      <c r="AY420" s="196"/>
      <c r="AZ420" s="196"/>
      <c r="BA420" s="196"/>
      <c r="BB420" s="196"/>
      <c r="BC420" s="196"/>
      <c r="BD420" s="196"/>
      <c r="BE420" s="196"/>
      <c r="BF420" s="196"/>
    </row>
    <row r="421">
      <c r="A421" s="197"/>
      <c r="B421" s="201" t="s">
        <v>147</v>
      </c>
      <c r="C421" s="201" t="s">
        <v>147</v>
      </c>
      <c r="D421" s="201" t="s">
        <v>147</v>
      </c>
      <c r="E421" s="201" t="s">
        <v>147</v>
      </c>
      <c r="F421" s="201" t="s">
        <v>147</v>
      </c>
      <c r="G421" s="201" t="s">
        <v>147</v>
      </c>
      <c r="H421" s="201" t="s">
        <v>147</v>
      </c>
      <c r="I421" s="201" t="s">
        <v>152</v>
      </c>
      <c r="J421" s="201" t="s">
        <v>157</v>
      </c>
      <c r="K421" s="201" t="s">
        <v>157</v>
      </c>
      <c r="L421" s="201" t="s">
        <v>157</v>
      </c>
      <c r="M421" s="196"/>
      <c r="N421" s="196"/>
      <c r="O421" s="196"/>
      <c r="P421" s="196"/>
      <c r="Q421" s="198"/>
      <c r="R421" s="201" t="s">
        <v>160</v>
      </c>
      <c r="S421" s="195" t="s">
        <v>160</v>
      </c>
      <c r="T421" s="196"/>
      <c r="U421" s="196"/>
      <c r="V421" s="196"/>
      <c r="W421" s="196"/>
      <c r="X421" s="196"/>
      <c r="Y421" s="196"/>
      <c r="Z421" s="196"/>
      <c r="AA421" s="196"/>
      <c r="AB421" s="196"/>
      <c r="AC421" s="196"/>
      <c r="AD421" s="196"/>
      <c r="AE421" s="196"/>
      <c r="AF421" s="196"/>
      <c r="AG421" s="201" t="s">
        <v>164</v>
      </c>
      <c r="AH421" s="201" t="s">
        <v>164</v>
      </c>
      <c r="AI421" s="198"/>
      <c r="AJ421" s="198"/>
      <c r="AK421" s="196"/>
      <c r="AL421" s="196"/>
      <c r="AM421" s="196"/>
      <c r="AN421" s="196"/>
      <c r="AO421" s="196"/>
      <c r="AP421" s="196"/>
      <c r="AQ421" s="196"/>
      <c r="AR421" s="196"/>
      <c r="AS421" s="196"/>
      <c r="AT421" s="196"/>
      <c r="AU421" s="196"/>
      <c r="AV421" s="196"/>
      <c r="AW421" s="196"/>
      <c r="AX421" s="196"/>
      <c r="AY421" s="196"/>
      <c r="AZ421" s="196"/>
      <c r="BA421" s="196"/>
      <c r="BB421" s="196"/>
      <c r="BC421" s="196"/>
      <c r="BD421" s="196"/>
      <c r="BE421" s="196"/>
      <c r="BF421" s="196"/>
    </row>
    <row r="422">
      <c r="A422" s="194" t="s">
        <v>326</v>
      </c>
      <c r="B422" s="195" t="s">
        <v>176</v>
      </c>
      <c r="C422" s="195" t="s">
        <v>177</v>
      </c>
      <c r="D422" s="195" t="s">
        <v>178</v>
      </c>
      <c r="E422" s="195" t="s">
        <v>179</v>
      </c>
      <c r="F422" s="195" t="s">
        <v>638</v>
      </c>
      <c r="G422" s="195" t="s">
        <v>639</v>
      </c>
      <c r="H422" s="195" t="s">
        <v>640</v>
      </c>
      <c r="I422" s="195" t="s">
        <v>181</v>
      </c>
      <c r="J422" s="195" t="s">
        <v>182</v>
      </c>
      <c r="K422" s="195" t="s">
        <v>183</v>
      </c>
      <c r="L422" s="195" t="s">
        <v>192</v>
      </c>
      <c r="M422" s="196"/>
      <c r="N422" s="196"/>
      <c r="O422" s="196"/>
      <c r="P422" s="196"/>
      <c r="Q422" s="195" t="s">
        <v>294</v>
      </c>
      <c r="R422" s="211"/>
      <c r="S422" s="211"/>
      <c r="T422" s="196"/>
      <c r="U422" s="196"/>
      <c r="V422" s="196"/>
      <c r="W422" s="196"/>
      <c r="X422" s="196"/>
      <c r="Y422" s="196"/>
      <c r="Z422" s="196"/>
      <c r="AA422" s="196"/>
      <c r="AB422" s="196"/>
      <c r="AC422" s="196"/>
      <c r="AD422" s="196"/>
      <c r="AE422" s="196"/>
      <c r="AF422" s="196"/>
      <c r="AG422" s="195" t="s">
        <v>641</v>
      </c>
      <c r="AH422" s="195" t="s">
        <v>293</v>
      </c>
      <c r="AI422" s="195" t="s">
        <v>253</v>
      </c>
      <c r="AJ422" s="212"/>
      <c r="AK422" s="196"/>
      <c r="AL422" s="196"/>
      <c r="AM422" s="196"/>
      <c r="AN422" s="196"/>
      <c r="AO422" s="196"/>
      <c r="AP422" s="196"/>
      <c r="AQ422" s="196"/>
      <c r="AR422" s="196"/>
      <c r="AS422" s="196"/>
      <c r="AT422" s="196"/>
      <c r="AU422" s="196"/>
      <c r="AV422" s="196"/>
      <c r="AW422" s="196"/>
      <c r="AX422" s="196"/>
      <c r="AY422" s="196"/>
      <c r="AZ422" s="196"/>
      <c r="BA422" s="196"/>
      <c r="BB422" s="196"/>
      <c r="BC422" s="196"/>
      <c r="BD422" s="196"/>
      <c r="BE422" s="196"/>
      <c r="BF422" s="196"/>
    </row>
    <row r="423">
      <c r="A423" s="197"/>
      <c r="B423" s="195" t="s">
        <v>528</v>
      </c>
      <c r="C423" s="195" t="s">
        <v>528</v>
      </c>
      <c r="D423" s="195" t="s">
        <v>528</v>
      </c>
      <c r="E423" s="195" t="s">
        <v>528</v>
      </c>
      <c r="F423" s="195" t="s">
        <v>528</v>
      </c>
      <c r="G423" s="195" t="s">
        <v>528</v>
      </c>
      <c r="H423" s="195" t="s">
        <v>528</v>
      </c>
      <c r="I423" s="195" t="s">
        <v>529</v>
      </c>
      <c r="J423" s="195" t="s">
        <v>529</v>
      </c>
      <c r="K423" s="195" t="s">
        <v>529</v>
      </c>
      <c r="L423" s="195" t="s">
        <v>531</v>
      </c>
      <c r="M423" s="196"/>
      <c r="N423" s="196"/>
      <c r="O423" s="196"/>
      <c r="P423" s="196"/>
      <c r="Q423" s="195" t="s">
        <v>530</v>
      </c>
      <c r="R423" s="211"/>
      <c r="S423" s="211"/>
      <c r="T423" s="196"/>
      <c r="U423" s="196"/>
      <c r="V423" s="196"/>
      <c r="W423" s="196"/>
      <c r="X423" s="196"/>
      <c r="Y423" s="196"/>
      <c r="Z423" s="196"/>
      <c r="AA423" s="196"/>
      <c r="AB423" s="196"/>
      <c r="AC423" s="196"/>
      <c r="AD423" s="196"/>
      <c r="AE423" s="196"/>
      <c r="AF423" s="196"/>
      <c r="AG423" s="195" t="s">
        <v>530</v>
      </c>
      <c r="AH423" s="195" t="s">
        <v>531</v>
      </c>
      <c r="AI423" s="195" t="s">
        <v>531</v>
      </c>
      <c r="AJ423" s="212"/>
      <c r="AK423" s="196"/>
      <c r="AL423" s="196"/>
      <c r="AM423" s="196"/>
      <c r="AN423" s="196"/>
      <c r="AO423" s="196"/>
      <c r="AP423" s="196"/>
      <c r="AQ423" s="196"/>
      <c r="AR423" s="196"/>
      <c r="AS423" s="196"/>
      <c r="AT423" s="196"/>
      <c r="AU423" s="196"/>
      <c r="AV423" s="196"/>
      <c r="AW423" s="196"/>
      <c r="AX423" s="196"/>
      <c r="AY423" s="196"/>
      <c r="AZ423" s="196"/>
      <c r="BA423" s="196"/>
      <c r="BB423" s="196"/>
      <c r="BC423" s="196"/>
      <c r="BD423" s="196"/>
      <c r="BE423" s="196"/>
      <c r="BF423" s="196"/>
    </row>
    <row r="424">
      <c r="A424" s="197"/>
      <c r="B424" s="198">
        <v>0.7923</v>
      </c>
      <c r="C424" s="198">
        <v>0.7637</v>
      </c>
      <c r="D424" s="198">
        <v>0.9164</v>
      </c>
      <c r="E424" s="198">
        <v>1.1722</v>
      </c>
      <c r="F424" s="198">
        <v>0.9116</v>
      </c>
      <c r="G424" s="198">
        <v>1.9092</v>
      </c>
      <c r="H424" s="198">
        <v>0.9076</v>
      </c>
      <c r="I424" s="198">
        <v>0.8183</v>
      </c>
      <c r="J424" s="198">
        <v>1.6366</v>
      </c>
      <c r="K424" s="198">
        <v>2.0458</v>
      </c>
      <c r="L424" s="199">
        <v>0.35</v>
      </c>
      <c r="M424" s="196"/>
      <c r="N424" s="196"/>
      <c r="O424" s="196"/>
      <c r="P424" s="196"/>
      <c r="Q424" s="198">
        <v>3.072</v>
      </c>
      <c r="R424" s="211"/>
      <c r="S424" s="211"/>
      <c r="T424" s="196"/>
      <c r="U424" s="196"/>
      <c r="V424" s="196"/>
      <c r="W424" s="196"/>
      <c r="X424" s="196"/>
      <c r="Y424" s="196"/>
      <c r="Z424" s="196"/>
      <c r="AA424" s="196"/>
      <c r="AB424" s="196"/>
      <c r="AC424" s="196"/>
      <c r="AD424" s="196"/>
      <c r="AE424" s="196"/>
      <c r="AF424" s="196"/>
      <c r="AG424" s="198">
        <v>0.576</v>
      </c>
      <c r="AH424" s="199">
        <v>0.2</v>
      </c>
      <c r="AI424" s="200">
        <v>0.7</v>
      </c>
      <c r="AJ424" s="212"/>
      <c r="AK424" s="196"/>
      <c r="AL424" s="196"/>
      <c r="AM424" s="196"/>
      <c r="AN424" s="196"/>
      <c r="AO424" s="196"/>
      <c r="AP424" s="196"/>
      <c r="AQ424" s="196"/>
      <c r="AR424" s="196"/>
      <c r="AS424" s="196"/>
      <c r="AT424" s="196"/>
      <c r="AU424" s="196"/>
      <c r="AV424" s="196"/>
      <c r="AW424" s="196"/>
      <c r="AX424" s="196"/>
      <c r="AY424" s="196"/>
      <c r="AZ424" s="196"/>
      <c r="BA424" s="196"/>
      <c r="BB424" s="196"/>
      <c r="BC424" s="196"/>
      <c r="BD424" s="196"/>
      <c r="BE424" s="196"/>
      <c r="BF424" s="196"/>
    </row>
    <row r="425">
      <c r="A425" s="197"/>
      <c r="B425" s="201" t="s">
        <v>304</v>
      </c>
      <c r="C425" s="201" t="s">
        <v>304</v>
      </c>
      <c r="D425" s="201" t="s">
        <v>304</v>
      </c>
      <c r="E425" s="201" t="s">
        <v>304</v>
      </c>
      <c r="F425" s="201" t="s">
        <v>304</v>
      </c>
      <c r="G425" s="201" t="s">
        <v>304</v>
      </c>
      <c r="H425" s="201" t="s">
        <v>304</v>
      </c>
      <c r="I425" s="201" t="s">
        <v>304</v>
      </c>
      <c r="J425" s="201" t="s">
        <v>304</v>
      </c>
      <c r="K425" s="201" t="s">
        <v>304</v>
      </c>
      <c r="L425" s="201" t="s">
        <v>305</v>
      </c>
      <c r="M425" s="196"/>
      <c r="N425" s="196"/>
      <c r="O425" s="196"/>
      <c r="P425" s="196"/>
      <c r="Q425" s="201" t="s">
        <v>304</v>
      </c>
      <c r="R425" s="201"/>
      <c r="S425" s="195"/>
      <c r="T425" s="196"/>
      <c r="U425" s="196"/>
      <c r="V425" s="196"/>
      <c r="W425" s="196"/>
      <c r="X425" s="196"/>
      <c r="Y425" s="196"/>
      <c r="Z425" s="196"/>
      <c r="AA425" s="196"/>
      <c r="AB425" s="196"/>
      <c r="AC425" s="196"/>
      <c r="AD425" s="196"/>
      <c r="AE425" s="196"/>
      <c r="AF425" s="196"/>
      <c r="AG425" s="201" t="s">
        <v>305</v>
      </c>
      <c r="AH425" s="201"/>
      <c r="AI425" s="198"/>
      <c r="AJ425" s="198"/>
      <c r="AK425" s="196"/>
      <c r="AL425" s="196"/>
      <c r="AM425" s="196"/>
      <c r="AN425" s="196"/>
      <c r="AO425" s="196"/>
      <c r="AP425" s="196"/>
      <c r="AQ425" s="196"/>
      <c r="AR425" s="196"/>
      <c r="AS425" s="196"/>
      <c r="AT425" s="196"/>
      <c r="AU425" s="196"/>
      <c r="AV425" s="196"/>
      <c r="AW425" s="196"/>
      <c r="AX425" s="196"/>
      <c r="AY425" s="196"/>
      <c r="AZ425" s="196"/>
      <c r="BA425" s="196"/>
      <c r="BB425" s="196"/>
      <c r="BC425" s="196"/>
      <c r="BD425" s="196"/>
      <c r="BE425" s="196"/>
      <c r="BF425" s="196"/>
    </row>
    <row r="426">
      <c r="A426" s="197"/>
      <c r="B426" s="201" t="s">
        <v>147</v>
      </c>
      <c r="C426" s="201" t="s">
        <v>147</v>
      </c>
      <c r="D426" s="201" t="s">
        <v>147</v>
      </c>
      <c r="E426" s="201" t="s">
        <v>147</v>
      </c>
      <c r="F426" s="201" t="s">
        <v>152</v>
      </c>
      <c r="G426" s="201" t="s">
        <v>152</v>
      </c>
      <c r="H426" s="201" t="s">
        <v>152</v>
      </c>
      <c r="I426" s="201" t="s">
        <v>157</v>
      </c>
      <c r="J426" s="201" t="s">
        <v>157</v>
      </c>
      <c r="K426" s="201" t="s">
        <v>157</v>
      </c>
      <c r="L426" s="201" t="s">
        <v>152</v>
      </c>
      <c r="M426" s="196"/>
      <c r="N426" s="196"/>
      <c r="O426" s="196"/>
      <c r="P426" s="196"/>
      <c r="Q426" s="201" t="s">
        <v>160</v>
      </c>
      <c r="R426" s="201"/>
      <c r="S426" s="195"/>
      <c r="T426" s="196"/>
      <c r="U426" s="196"/>
      <c r="V426" s="196"/>
      <c r="W426" s="196"/>
      <c r="X426" s="196"/>
      <c r="Y426" s="196"/>
      <c r="Z426" s="196"/>
      <c r="AA426" s="196"/>
      <c r="AB426" s="196"/>
      <c r="AC426" s="196"/>
      <c r="AD426" s="196"/>
      <c r="AE426" s="196"/>
      <c r="AF426" s="196"/>
      <c r="AG426" s="201"/>
      <c r="AH426" s="201"/>
      <c r="AI426" s="198"/>
      <c r="AJ426" s="198"/>
      <c r="AK426" s="196"/>
      <c r="AL426" s="196"/>
      <c r="AM426" s="196"/>
      <c r="AN426" s="196"/>
      <c r="AO426" s="196"/>
      <c r="AP426" s="196"/>
      <c r="AQ426" s="196"/>
      <c r="AR426" s="196"/>
      <c r="AS426" s="196"/>
      <c r="AT426" s="196"/>
      <c r="AU426" s="196"/>
      <c r="AV426" s="196"/>
      <c r="AW426" s="196"/>
      <c r="AX426" s="196"/>
      <c r="AY426" s="196"/>
      <c r="AZ426" s="196"/>
      <c r="BA426" s="196"/>
      <c r="BB426" s="196"/>
      <c r="BC426" s="196"/>
      <c r="BD426" s="196"/>
      <c r="BE426" s="196"/>
      <c r="BF426" s="196"/>
    </row>
    <row r="427">
      <c r="A427" s="194" t="s">
        <v>327</v>
      </c>
      <c r="B427" s="195" t="s">
        <v>176</v>
      </c>
      <c r="C427" s="195" t="s">
        <v>177</v>
      </c>
      <c r="D427" s="195" t="s">
        <v>178</v>
      </c>
      <c r="E427" s="195" t="s">
        <v>179</v>
      </c>
      <c r="F427" s="195" t="s">
        <v>246</v>
      </c>
      <c r="G427" s="195" t="s">
        <v>180</v>
      </c>
      <c r="H427" s="195" t="s">
        <v>181</v>
      </c>
      <c r="I427" s="195" t="s">
        <v>182</v>
      </c>
      <c r="J427" s="195" t="s">
        <v>183</v>
      </c>
      <c r="K427" s="195" t="s">
        <v>274</v>
      </c>
      <c r="L427" s="196"/>
      <c r="M427" s="196"/>
      <c r="N427" s="196"/>
      <c r="O427" s="196"/>
      <c r="P427" s="196"/>
      <c r="Q427" s="195" t="s">
        <v>294</v>
      </c>
      <c r="R427" s="195" t="s">
        <v>248</v>
      </c>
      <c r="S427" s="196"/>
      <c r="T427" s="196"/>
      <c r="U427" s="196"/>
      <c r="V427" s="196"/>
      <c r="W427" s="196"/>
      <c r="X427" s="196"/>
      <c r="Y427" s="196"/>
      <c r="Z427" s="196"/>
      <c r="AA427" s="196"/>
      <c r="AB427" s="196"/>
      <c r="AC427" s="196"/>
      <c r="AD427" s="196"/>
      <c r="AE427" s="196"/>
      <c r="AF427" s="196"/>
      <c r="AG427" s="195" t="s">
        <v>526</v>
      </c>
      <c r="AH427" s="195" t="s">
        <v>642</v>
      </c>
      <c r="AI427" s="195" t="s">
        <v>643</v>
      </c>
      <c r="AJ427" s="195" t="s">
        <v>644</v>
      </c>
      <c r="AK427" s="195" t="s">
        <v>572</v>
      </c>
      <c r="AL427" s="195" t="s">
        <v>572</v>
      </c>
      <c r="AM427" s="195" t="s">
        <v>293</v>
      </c>
      <c r="AN427" s="196"/>
      <c r="AO427" s="196"/>
      <c r="AP427" s="196"/>
      <c r="AQ427" s="196"/>
      <c r="AR427" s="196"/>
      <c r="AS427" s="196"/>
      <c r="AT427" s="196"/>
      <c r="AU427" s="196"/>
      <c r="AV427" s="196"/>
      <c r="AW427" s="196"/>
      <c r="AX427" s="196"/>
      <c r="AY427" s="196"/>
      <c r="AZ427" s="196"/>
      <c r="BA427" s="196"/>
      <c r="BB427" s="196"/>
      <c r="BC427" s="196"/>
      <c r="BD427" s="196"/>
      <c r="BE427" s="196"/>
      <c r="BF427" s="196"/>
    </row>
    <row r="428">
      <c r="A428" s="197"/>
      <c r="B428" s="195" t="s">
        <v>528</v>
      </c>
      <c r="C428" s="195" t="s">
        <v>528</v>
      </c>
      <c r="D428" s="195" t="s">
        <v>528</v>
      </c>
      <c r="E428" s="195" t="s">
        <v>528</v>
      </c>
      <c r="F428" s="195" t="s">
        <v>528</v>
      </c>
      <c r="G428" s="195" t="s">
        <v>528</v>
      </c>
      <c r="H428" s="195" t="s">
        <v>528</v>
      </c>
      <c r="I428" s="195" t="s">
        <v>529</v>
      </c>
      <c r="J428" s="195" t="s">
        <v>529</v>
      </c>
      <c r="K428" s="195" t="s">
        <v>531</v>
      </c>
      <c r="L428" s="196"/>
      <c r="M428" s="196"/>
      <c r="N428" s="196"/>
      <c r="O428" s="196"/>
      <c r="P428" s="196"/>
      <c r="Q428" s="195" t="s">
        <v>530</v>
      </c>
      <c r="R428" s="195" t="s">
        <v>531</v>
      </c>
      <c r="S428" s="196"/>
      <c r="T428" s="196"/>
      <c r="U428" s="196"/>
      <c r="V428" s="196"/>
      <c r="W428" s="196"/>
      <c r="X428" s="196"/>
      <c r="Y428" s="196"/>
      <c r="Z428" s="196"/>
      <c r="AA428" s="196"/>
      <c r="AB428" s="196"/>
      <c r="AC428" s="196"/>
      <c r="AD428" s="196"/>
      <c r="AE428" s="196"/>
      <c r="AF428" s="196"/>
      <c r="AG428" s="195" t="s">
        <v>530</v>
      </c>
      <c r="AH428" s="195" t="s">
        <v>530</v>
      </c>
      <c r="AI428" s="195" t="s">
        <v>530</v>
      </c>
      <c r="AJ428" s="195" t="s">
        <v>577</v>
      </c>
      <c r="AK428" s="195" t="s">
        <v>530</v>
      </c>
      <c r="AL428" s="195" t="s">
        <v>530</v>
      </c>
      <c r="AM428" s="195" t="s">
        <v>531</v>
      </c>
      <c r="AN428" s="196"/>
      <c r="AO428" s="196"/>
      <c r="AP428" s="196"/>
      <c r="AQ428" s="196"/>
      <c r="AR428" s="196"/>
      <c r="AS428" s="196"/>
      <c r="AT428" s="196"/>
      <c r="AU428" s="196"/>
      <c r="AV428" s="196"/>
      <c r="AW428" s="196"/>
      <c r="AX428" s="196"/>
      <c r="AY428" s="196"/>
      <c r="AZ428" s="196"/>
      <c r="BA428" s="196"/>
      <c r="BB428" s="196"/>
      <c r="BC428" s="196"/>
      <c r="BD428" s="196"/>
      <c r="BE428" s="196"/>
      <c r="BF428" s="196"/>
    </row>
    <row r="429">
      <c r="A429" s="197"/>
      <c r="B429" s="198">
        <v>0.4833</v>
      </c>
      <c r="C429" s="198">
        <v>0.4558</v>
      </c>
      <c r="D429" s="198">
        <v>0.6029</v>
      </c>
      <c r="E429" s="198">
        <v>0.6588</v>
      </c>
      <c r="F429" s="198">
        <v>0.7921</v>
      </c>
      <c r="G429" s="198">
        <v>1.6202</v>
      </c>
      <c r="H429" s="198">
        <v>0.6393</v>
      </c>
      <c r="I429" s="198">
        <v>1.2786</v>
      </c>
      <c r="J429" s="198">
        <v>1.5983</v>
      </c>
      <c r="K429" s="199">
        <v>0.15</v>
      </c>
      <c r="L429" s="196"/>
      <c r="M429" s="196"/>
      <c r="N429" s="196"/>
      <c r="O429" s="196"/>
      <c r="P429" s="196"/>
      <c r="Q429" s="198">
        <v>2.92</v>
      </c>
      <c r="R429" s="199">
        <v>0.4</v>
      </c>
      <c r="S429" s="196"/>
      <c r="T429" s="196"/>
      <c r="U429" s="196"/>
      <c r="V429" s="196"/>
      <c r="W429" s="196"/>
      <c r="X429" s="196"/>
      <c r="Y429" s="196"/>
      <c r="Z429" s="196"/>
      <c r="AA429" s="196"/>
      <c r="AB429" s="196"/>
      <c r="AC429" s="196"/>
      <c r="AD429" s="196"/>
      <c r="AE429" s="196"/>
      <c r="AF429" s="196"/>
      <c r="AG429" s="198">
        <v>4.248</v>
      </c>
      <c r="AH429" s="198">
        <v>0.784</v>
      </c>
      <c r="AI429" s="198">
        <v>2.512</v>
      </c>
      <c r="AJ429" s="213">
        <v>1540.0</v>
      </c>
      <c r="AK429" s="198">
        <v>0.2512</v>
      </c>
      <c r="AL429" s="198">
        <v>154.0</v>
      </c>
      <c r="AM429" s="199">
        <v>-0.4</v>
      </c>
      <c r="AN429" s="196"/>
      <c r="AO429" s="196"/>
      <c r="AP429" s="196"/>
      <c r="AQ429" s="196"/>
      <c r="AR429" s="196"/>
      <c r="AS429" s="196"/>
      <c r="AT429" s="196"/>
      <c r="AU429" s="196"/>
      <c r="AV429" s="196"/>
      <c r="AW429" s="196"/>
      <c r="AX429" s="196"/>
      <c r="AY429" s="196"/>
      <c r="AZ429" s="196"/>
      <c r="BA429" s="196"/>
      <c r="BB429" s="196"/>
      <c r="BC429" s="196"/>
      <c r="BD429" s="196"/>
      <c r="BE429" s="196"/>
      <c r="BF429" s="196"/>
    </row>
    <row r="430">
      <c r="A430" s="197"/>
      <c r="B430" s="201" t="s">
        <v>304</v>
      </c>
      <c r="C430" s="201" t="s">
        <v>304</v>
      </c>
      <c r="D430" s="201" t="s">
        <v>304</v>
      </c>
      <c r="E430" s="201" t="s">
        <v>304</v>
      </c>
      <c r="F430" s="201" t="s">
        <v>304</v>
      </c>
      <c r="G430" s="201" t="s">
        <v>304</v>
      </c>
      <c r="H430" s="201" t="s">
        <v>304</v>
      </c>
      <c r="I430" s="201" t="s">
        <v>304</v>
      </c>
      <c r="J430" s="201" t="s">
        <v>304</v>
      </c>
      <c r="K430" s="195" t="s">
        <v>304</v>
      </c>
      <c r="L430" s="196"/>
      <c r="M430" s="196"/>
      <c r="N430" s="196"/>
      <c r="O430" s="196"/>
      <c r="P430" s="196"/>
      <c r="Q430" s="201" t="s">
        <v>304</v>
      </c>
      <c r="R430" s="196"/>
      <c r="S430" s="196"/>
      <c r="T430" s="196"/>
      <c r="U430" s="196"/>
      <c r="V430" s="196"/>
      <c r="W430" s="196"/>
      <c r="X430" s="196"/>
      <c r="Y430" s="196"/>
      <c r="Z430" s="196"/>
      <c r="AA430" s="196"/>
      <c r="AB430" s="196"/>
      <c r="AC430" s="196"/>
      <c r="AD430" s="196"/>
      <c r="AE430" s="196"/>
      <c r="AF430" s="196"/>
      <c r="AG430" s="201" t="s">
        <v>304</v>
      </c>
      <c r="AH430" s="201" t="s">
        <v>304</v>
      </c>
      <c r="AI430" s="201" t="s">
        <v>304</v>
      </c>
      <c r="AJ430" s="201" t="s">
        <v>390</v>
      </c>
      <c r="AK430" s="201" t="s">
        <v>304</v>
      </c>
      <c r="AL430" s="201" t="s">
        <v>390</v>
      </c>
      <c r="AM430" s="196"/>
      <c r="AN430" s="196"/>
      <c r="AO430" s="196"/>
      <c r="AP430" s="196"/>
      <c r="AQ430" s="196"/>
      <c r="AR430" s="196"/>
      <c r="AS430" s="196"/>
      <c r="AT430" s="196"/>
      <c r="AU430" s="196"/>
      <c r="AV430" s="196"/>
      <c r="AW430" s="196"/>
      <c r="AX430" s="196"/>
      <c r="AY430" s="196"/>
      <c r="AZ430" s="196"/>
      <c r="BA430" s="196"/>
      <c r="BB430" s="196"/>
      <c r="BC430" s="196"/>
      <c r="BD430" s="196"/>
      <c r="BE430" s="196"/>
      <c r="BF430" s="196"/>
    </row>
    <row r="431">
      <c r="A431" s="197"/>
      <c r="B431" s="201" t="s">
        <v>147</v>
      </c>
      <c r="C431" s="201" t="s">
        <v>147</v>
      </c>
      <c r="D431" s="201" t="s">
        <v>147</v>
      </c>
      <c r="E431" s="201" t="s">
        <v>147</v>
      </c>
      <c r="F431" s="201" t="s">
        <v>147</v>
      </c>
      <c r="G431" s="201" t="s">
        <v>152</v>
      </c>
      <c r="H431" s="201" t="s">
        <v>157</v>
      </c>
      <c r="I431" s="201" t="s">
        <v>157</v>
      </c>
      <c r="J431" s="201" t="s">
        <v>157</v>
      </c>
      <c r="K431" s="196"/>
      <c r="L431" s="196"/>
      <c r="M431" s="195"/>
      <c r="N431" s="196"/>
      <c r="O431" s="196"/>
      <c r="P431" s="196"/>
      <c r="Q431" s="201" t="s">
        <v>160</v>
      </c>
      <c r="R431" s="196"/>
      <c r="S431" s="196"/>
      <c r="T431" s="196"/>
      <c r="U431" s="196"/>
      <c r="V431" s="196"/>
      <c r="W431" s="196"/>
      <c r="X431" s="196"/>
      <c r="Y431" s="196"/>
      <c r="Z431" s="196"/>
      <c r="AA431" s="196"/>
      <c r="AB431" s="196"/>
      <c r="AC431" s="196"/>
      <c r="AD431" s="196"/>
      <c r="AE431" s="196"/>
      <c r="AF431" s="196"/>
      <c r="AG431" s="201" t="s">
        <v>164</v>
      </c>
      <c r="AH431" s="201" t="s">
        <v>164</v>
      </c>
      <c r="AI431" s="198"/>
      <c r="AJ431" s="213"/>
      <c r="AK431" s="198"/>
      <c r="AL431" s="198"/>
      <c r="AM431" s="196"/>
      <c r="AN431" s="196"/>
      <c r="AO431" s="196"/>
      <c r="AP431" s="196"/>
      <c r="AQ431" s="196"/>
      <c r="AR431" s="196"/>
      <c r="AS431" s="196"/>
      <c r="AT431" s="196"/>
      <c r="AU431" s="196"/>
      <c r="AV431" s="196"/>
      <c r="AW431" s="196"/>
      <c r="AX431" s="196"/>
      <c r="AY431" s="196"/>
      <c r="AZ431" s="196"/>
      <c r="BA431" s="196"/>
      <c r="BB431" s="196"/>
      <c r="BC431" s="196"/>
      <c r="BD431" s="196"/>
      <c r="BE431" s="196"/>
      <c r="BF431" s="196"/>
    </row>
    <row r="432">
      <c r="A432" s="194" t="s">
        <v>328</v>
      </c>
      <c r="B432" s="195" t="s">
        <v>176</v>
      </c>
      <c r="C432" s="195" t="s">
        <v>177</v>
      </c>
      <c r="D432" s="195" t="s">
        <v>178</v>
      </c>
      <c r="E432" s="195" t="s">
        <v>179</v>
      </c>
      <c r="F432" s="195" t="s">
        <v>246</v>
      </c>
      <c r="G432" s="195" t="s">
        <v>270</v>
      </c>
      <c r="H432" s="195" t="s">
        <v>271</v>
      </c>
      <c r="I432" s="195" t="s">
        <v>181</v>
      </c>
      <c r="J432" s="195" t="s">
        <v>182</v>
      </c>
      <c r="K432" s="195" t="s">
        <v>183</v>
      </c>
      <c r="L432" s="195" t="s">
        <v>274</v>
      </c>
      <c r="M432" s="195" t="s">
        <v>248</v>
      </c>
      <c r="N432" s="196"/>
      <c r="O432" s="196"/>
      <c r="P432" s="196"/>
      <c r="Q432" s="195" t="s">
        <v>588</v>
      </c>
      <c r="R432" s="196"/>
      <c r="S432" s="196"/>
      <c r="T432" s="196"/>
      <c r="U432" s="196"/>
      <c r="V432" s="196"/>
      <c r="W432" s="196"/>
      <c r="X432" s="196"/>
      <c r="Y432" s="196"/>
      <c r="Z432" s="196"/>
      <c r="AA432" s="196"/>
      <c r="AB432" s="196"/>
      <c r="AC432" s="196"/>
      <c r="AD432" s="196"/>
      <c r="AE432" s="196"/>
      <c r="AF432" s="196"/>
      <c r="AG432" s="195" t="s">
        <v>542</v>
      </c>
      <c r="AH432" s="195" t="s">
        <v>293</v>
      </c>
      <c r="AI432" s="196"/>
      <c r="AJ432" s="196"/>
      <c r="AK432" s="196"/>
      <c r="AL432" s="196"/>
      <c r="AM432" s="196"/>
      <c r="AN432" s="196"/>
      <c r="AO432" s="196"/>
      <c r="AP432" s="196"/>
      <c r="AQ432" s="196"/>
      <c r="AR432" s="196"/>
      <c r="AS432" s="196"/>
      <c r="AT432" s="196"/>
      <c r="AU432" s="196"/>
      <c r="AV432" s="196"/>
      <c r="AW432" s="196"/>
      <c r="AX432" s="196"/>
      <c r="AY432" s="196"/>
      <c r="AZ432" s="196"/>
      <c r="BA432" s="196"/>
      <c r="BB432" s="196"/>
      <c r="BC432" s="196"/>
      <c r="BD432" s="196"/>
      <c r="BE432" s="196"/>
      <c r="BF432" s="196"/>
    </row>
    <row r="433">
      <c r="A433" s="197"/>
      <c r="B433" s="195" t="s">
        <v>528</v>
      </c>
      <c r="C433" s="195" t="s">
        <v>528</v>
      </c>
      <c r="D433" s="195" t="s">
        <v>528</v>
      </c>
      <c r="E433" s="195" t="s">
        <v>528</v>
      </c>
      <c r="F433" s="195" t="s">
        <v>528</v>
      </c>
      <c r="G433" s="195" t="s">
        <v>528</v>
      </c>
      <c r="H433" s="195" t="s">
        <v>528</v>
      </c>
      <c r="I433" s="195" t="s">
        <v>529</v>
      </c>
      <c r="J433" s="195" t="s">
        <v>529</v>
      </c>
      <c r="K433" s="195" t="s">
        <v>529</v>
      </c>
      <c r="L433" s="195" t="s">
        <v>531</v>
      </c>
      <c r="M433" s="195" t="s">
        <v>531</v>
      </c>
      <c r="N433" s="196"/>
      <c r="O433" s="196"/>
      <c r="P433" s="196"/>
      <c r="Q433" s="195" t="s">
        <v>530</v>
      </c>
      <c r="R433" s="196"/>
      <c r="S433" s="196"/>
      <c r="T433" s="196"/>
      <c r="U433" s="196"/>
      <c r="V433" s="196"/>
      <c r="W433" s="196"/>
      <c r="X433" s="196"/>
      <c r="Y433" s="196"/>
      <c r="Z433" s="196"/>
      <c r="AA433" s="196"/>
      <c r="AB433" s="196"/>
      <c r="AC433" s="196"/>
      <c r="AD433" s="196"/>
      <c r="AE433" s="196"/>
      <c r="AF433" s="196"/>
      <c r="AG433" s="195" t="s">
        <v>530</v>
      </c>
      <c r="AH433" s="195" t="s">
        <v>531</v>
      </c>
      <c r="AI433" s="196"/>
      <c r="AJ433" s="196"/>
      <c r="AK433" s="196"/>
      <c r="AL433" s="196"/>
      <c r="AM433" s="196"/>
      <c r="AN433" s="196"/>
      <c r="AO433" s="196"/>
      <c r="AP433" s="196"/>
      <c r="AQ433" s="196"/>
      <c r="AR433" s="196"/>
      <c r="AS433" s="196"/>
      <c r="AT433" s="196"/>
      <c r="AU433" s="196"/>
      <c r="AV433" s="196"/>
      <c r="AW433" s="196"/>
      <c r="AX433" s="196"/>
      <c r="AY433" s="196"/>
      <c r="AZ433" s="196"/>
      <c r="BA433" s="196"/>
      <c r="BB433" s="196"/>
      <c r="BC433" s="196"/>
      <c r="BD433" s="196"/>
      <c r="BE433" s="196"/>
      <c r="BF433" s="196"/>
    </row>
    <row r="434">
      <c r="A434" s="197"/>
      <c r="B434" s="198">
        <v>0.5375</v>
      </c>
      <c r="C434" s="198">
        <v>0.5169</v>
      </c>
      <c r="D434" s="198">
        <v>0.6527</v>
      </c>
      <c r="E434" s="198">
        <v>0.7086</v>
      </c>
      <c r="F434" s="198">
        <v>0.8824</v>
      </c>
      <c r="G434" s="198">
        <v>0.5504</v>
      </c>
      <c r="H434" s="198">
        <v>0.731</v>
      </c>
      <c r="I434" s="198">
        <v>0.6393</v>
      </c>
      <c r="J434" s="198">
        <v>1.2786</v>
      </c>
      <c r="K434" s="198">
        <v>1.5983</v>
      </c>
      <c r="L434" s="199">
        <v>0.15</v>
      </c>
      <c r="M434" s="199">
        <v>0.15</v>
      </c>
      <c r="N434" s="196"/>
      <c r="O434" s="196"/>
      <c r="P434" s="196"/>
      <c r="Q434" s="198">
        <v>1.912</v>
      </c>
      <c r="R434" s="196"/>
      <c r="S434" s="196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8">
        <v>0.776</v>
      </c>
      <c r="AH434" s="199">
        <v>0.3</v>
      </c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196"/>
      <c r="AT434" s="196"/>
      <c r="AU434" s="196"/>
      <c r="AV434" s="196"/>
      <c r="AW434" s="196"/>
      <c r="AX434" s="196"/>
      <c r="AY434" s="196"/>
      <c r="AZ434" s="196"/>
      <c r="BA434" s="196"/>
      <c r="BB434" s="196"/>
      <c r="BC434" s="196"/>
      <c r="BD434" s="196"/>
      <c r="BE434" s="196"/>
      <c r="BF434" s="196"/>
    </row>
    <row r="435">
      <c r="A435" s="197"/>
      <c r="B435" s="201" t="s">
        <v>304</v>
      </c>
      <c r="C435" s="201" t="s">
        <v>304</v>
      </c>
      <c r="D435" s="201" t="s">
        <v>304</v>
      </c>
      <c r="E435" s="201" t="s">
        <v>304</v>
      </c>
      <c r="F435" s="201" t="s">
        <v>304</v>
      </c>
      <c r="G435" s="201" t="s">
        <v>304</v>
      </c>
      <c r="H435" s="201" t="s">
        <v>304</v>
      </c>
      <c r="I435" s="201" t="s">
        <v>304</v>
      </c>
      <c r="J435" s="201" t="s">
        <v>304</v>
      </c>
      <c r="K435" s="201" t="s">
        <v>304</v>
      </c>
      <c r="L435" s="195" t="s">
        <v>304</v>
      </c>
      <c r="M435" s="196"/>
      <c r="N435" s="196"/>
      <c r="O435" s="196"/>
      <c r="P435" s="196"/>
      <c r="Q435" s="201" t="s">
        <v>304</v>
      </c>
      <c r="R435" s="196"/>
      <c r="S435" s="196"/>
      <c r="T435" s="196"/>
      <c r="U435" s="196"/>
      <c r="V435" s="196"/>
      <c r="W435" s="196"/>
      <c r="X435" s="196"/>
      <c r="Y435" s="196"/>
      <c r="Z435" s="196"/>
      <c r="AA435" s="196"/>
      <c r="AB435" s="196"/>
      <c r="AC435" s="196"/>
      <c r="AD435" s="196"/>
      <c r="AE435" s="196"/>
      <c r="AF435" s="196"/>
      <c r="AG435" s="201" t="s">
        <v>304</v>
      </c>
      <c r="AH435" s="195" t="s">
        <v>303</v>
      </c>
      <c r="AI435" s="196"/>
      <c r="AJ435" s="196"/>
      <c r="AK435" s="196"/>
      <c r="AL435" s="196"/>
      <c r="AM435" s="196"/>
      <c r="AN435" s="196"/>
      <c r="AO435" s="196"/>
      <c r="AP435" s="196"/>
      <c r="AQ435" s="196"/>
      <c r="AR435" s="196"/>
      <c r="AS435" s="196"/>
      <c r="AT435" s="196"/>
      <c r="AU435" s="196"/>
      <c r="AV435" s="196"/>
      <c r="AW435" s="196"/>
      <c r="AX435" s="196"/>
      <c r="AY435" s="196"/>
      <c r="AZ435" s="196"/>
      <c r="BA435" s="196"/>
      <c r="BB435" s="196"/>
      <c r="BC435" s="196"/>
      <c r="BD435" s="196"/>
      <c r="BE435" s="196"/>
      <c r="BF435" s="196"/>
    </row>
    <row r="436">
      <c r="A436" s="197"/>
      <c r="B436" s="201" t="s">
        <v>147</v>
      </c>
      <c r="C436" s="201" t="s">
        <v>147</v>
      </c>
      <c r="D436" s="201" t="s">
        <v>147</v>
      </c>
      <c r="E436" s="201" t="s">
        <v>147</v>
      </c>
      <c r="F436" s="201" t="s">
        <v>147</v>
      </c>
      <c r="G436" s="201" t="s">
        <v>152</v>
      </c>
      <c r="H436" s="201" t="s">
        <v>152</v>
      </c>
      <c r="I436" s="201" t="s">
        <v>157</v>
      </c>
      <c r="J436" s="201" t="s">
        <v>157</v>
      </c>
      <c r="K436" s="201" t="s">
        <v>157</v>
      </c>
      <c r="L436" s="196"/>
      <c r="M436" s="196"/>
      <c r="N436" s="196"/>
      <c r="O436" s="196"/>
      <c r="P436" s="196"/>
      <c r="Q436" s="201" t="s">
        <v>160</v>
      </c>
      <c r="R436" s="196"/>
      <c r="S436" s="196"/>
      <c r="T436" s="196"/>
      <c r="U436" s="196"/>
      <c r="V436" s="196"/>
      <c r="W436" s="196"/>
      <c r="X436" s="196"/>
      <c r="Y436" s="196"/>
      <c r="Z436" s="196"/>
      <c r="AA436" s="196"/>
      <c r="AB436" s="196"/>
      <c r="AC436" s="196"/>
      <c r="AD436" s="196"/>
      <c r="AE436" s="196"/>
      <c r="AF436" s="196"/>
      <c r="AG436" s="201" t="s">
        <v>164</v>
      </c>
      <c r="AH436" s="196"/>
      <c r="AI436" s="196"/>
      <c r="AJ436" s="196"/>
      <c r="AK436" s="196"/>
      <c r="AL436" s="196"/>
      <c r="AM436" s="196"/>
      <c r="AN436" s="196"/>
      <c r="AO436" s="196"/>
      <c r="AP436" s="196"/>
      <c r="AQ436" s="196"/>
      <c r="AR436" s="196"/>
      <c r="AS436" s="196"/>
      <c r="AT436" s="196"/>
      <c r="AU436" s="196"/>
      <c r="AV436" s="196"/>
      <c r="AW436" s="196"/>
      <c r="AX436" s="196"/>
      <c r="AY436" s="196"/>
      <c r="AZ436" s="196"/>
      <c r="BA436" s="196"/>
      <c r="BB436" s="196"/>
      <c r="BC436" s="196"/>
      <c r="BD436" s="196"/>
      <c r="BE436" s="196"/>
      <c r="BF436" s="196"/>
    </row>
    <row r="437">
      <c r="A437" s="194" t="s">
        <v>50</v>
      </c>
      <c r="B437" s="195" t="s">
        <v>176</v>
      </c>
      <c r="C437" s="195" t="s">
        <v>177</v>
      </c>
      <c r="D437" s="195" t="s">
        <v>268</v>
      </c>
      <c r="E437" s="195" t="s">
        <v>269</v>
      </c>
      <c r="F437" s="195" t="s">
        <v>179</v>
      </c>
      <c r="G437" s="195" t="s">
        <v>246</v>
      </c>
      <c r="H437" s="195" t="s">
        <v>270</v>
      </c>
      <c r="I437" s="195" t="s">
        <v>271</v>
      </c>
      <c r="J437" s="195" t="s">
        <v>181</v>
      </c>
      <c r="K437" s="195" t="s">
        <v>182</v>
      </c>
      <c r="L437" s="195" t="s">
        <v>183</v>
      </c>
      <c r="M437" s="195" t="s">
        <v>253</v>
      </c>
      <c r="N437" s="196"/>
      <c r="O437" s="196"/>
      <c r="P437" s="196"/>
      <c r="Q437" s="195" t="s">
        <v>272</v>
      </c>
      <c r="R437" s="195" t="s">
        <v>273</v>
      </c>
      <c r="S437" s="195" t="s">
        <v>274</v>
      </c>
      <c r="T437" s="196"/>
      <c r="U437" s="196"/>
      <c r="V437" s="196"/>
      <c r="W437" s="196"/>
      <c r="X437" s="196"/>
      <c r="Y437" s="196"/>
      <c r="Z437" s="196"/>
      <c r="AA437" s="196"/>
      <c r="AB437" s="196"/>
      <c r="AC437" s="196"/>
      <c r="AD437" s="196"/>
      <c r="AE437" s="196"/>
      <c r="AF437" s="196"/>
      <c r="AG437" s="195" t="s">
        <v>275</v>
      </c>
      <c r="AH437" s="195" t="s">
        <v>276</v>
      </c>
      <c r="AI437" s="195" t="s">
        <v>277</v>
      </c>
      <c r="AJ437" s="195" t="s">
        <v>192</v>
      </c>
      <c r="AK437" s="195" t="s">
        <v>248</v>
      </c>
      <c r="AL437" s="195"/>
      <c r="AM437" s="196"/>
      <c r="AN437" s="196"/>
      <c r="AO437" s="196"/>
      <c r="AP437" s="196"/>
      <c r="AQ437" s="196"/>
      <c r="AR437" s="196"/>
      <c r="AS437" s="196"/>
      <c r="AT437" s="196"/>
      <c r="AU437" s="196"/>
      <c r="AV437" s="196"/>
      <c r="AW437" s="196"/>
      <c r="AX437" s="196"/>
      <c r="AY437" s="196"/>
      <c r="AZ437" s="196"/>
      <c r="BA437" s="196"/>
      <c r="BB437" s="196"/>
      <c r="BC437" s="196"/>
      <c r="BD437" s="196"/>
      <c r="BE437" s="196"/>
      <c r="BF437" s="196"/>
    </row>
    <row r="438">
      <c r="A438" s="197"/>
      <c r="B438" s="195" t="s">
        <v>528</v>
      </c>
      <c r="C438" s="195" t="s">
        <v>528</v>
      </c>
      <c r="D438" s="195" t="s">
        <v>528</v>
      </c>
      <c r="E438" s="195" t="s">
        <v>528</v>
      </c>
      <c r="F438" s="195" t="s">
        <v>528</v>
      </c>
      <c r="G438" s="195" t="s">
        <v>528</v>
      </c>
      <c r="H438" s="195" t="s">
        <v>528</v>
      </c>
      <c r="I438" s="195" t="s">
        <v>528</v>
      </c>
      <c r="J438" s="195" t="s">
        <v>529</v>
      </c>
      <c r="K438" s="195" t="s">
        <v>529</v>
      </c>
      <c r="L438" s="195" t="s">
        <v>529</v>
      </c>
      <c r="M438" s="195" t="s">
        <v>531</v>
      </c>
      <c r="N438" s="196"/>
      <c r="O438" s="196"/>
      <c r="P438" s="196"/>
      <c r="Q438" s="195" t="s">
        <v>530</v>
      </c>
      <c r="R438" s="195" t="s">
        <v>530</v>
      </c>
      <c r="S438" s="195" t="s">
        <v>531</v>
      </c>
      <c r="T438" s="196"/>
      <c r="U438" s="196"/>
      <c r="V438" s="196"/>
      <c r="W438" s="196"/>
      <c r="X438" s="196"/>
      <c r="Y438" s="196"/>
      <c r="Z438" s="196"/>
      <c r="AA438" s="196"/>
      <c r="AB438" s="196"/>
      <c r="AC438" s="196"/>
      <c r="AD438" s="196"/>
      <c r="AE438" s="196"/>
      <c r="AF438" s="196"/>
      <c r="AG438" s="195" t="s">
        <v>530</v>
      </c>
      <c r="AH438" s="195" t="s">
        <v>530</v>
      </c>
      <c r="AI438" s="195" t="s">
        <v>530</v>
      </c>
      <c r="AJ438" s="195" t="s">
        <v>531</v>
      </c>
      <c r="AK438" s="195" t="s">
        <v>531</v>
      </c>
      <c r="AL438" s="196"/>
      <c r="AM438" s="196"/>
      <c r="AN438" s="196"/>
      <c r="AO438" s="196"/>
      <c r="AP438" s="196"/>
      <c r="AQ438" s="196"/>
      <c r="AR438" s="196"/>
      <c r="AS438" s="196"/>
      <c r="AT438" s="196"/>
      <c r="AU438" s="196"/>
      <c r="AV438" s="196"/>
      <c r="AW438" s="196"/>
      <c r="AX438" s="196"/>
      <c r="AY438" s="196"/>
      <c r="AZ438" s="196"/>
      <c r="BA438" s="196"/>
      <c r="BB438" s="196"/>
      <c r="BC438" s="196"/>
      <c r="BD438" s="196"/>
      <c r="BE438" s="196"/>
      <c r="BF438" s="196"/>
    </row>
    <row r="439">
      <c r="A439" s="197"/>
      <c r="B439" s="198">
        <v>0.4498</v>
      </c>
      <c r="C439" s="198">
        <v>0.4524</v>
      </c>
      <c r="D439" s="198">
        <v>0.258</v>
      </c>
      <c r="E439" s="198">
        <v>0.3096</v>
      </c>
      <c r="F439" s="198">
        <v>0.6072</v>
      </c>
      <c r="G439" s="198">
        <v>0.2537</v>
      </c>
      <c r="H439" s="198">
        <v>0.43</v>
      </c>
      <c r="I439" s="198">
        <v>0.7465</v>
      </c>
      <c r="J439" s="198">
        <v>0.8183</v>
      </c>
      <c r="K439" s="198">
        <v>1.6366</v>
      </c>
      <c r="L439" s="198">
        <v>2.0458</v>
      </c>
      <c r="M439" s="200">
        <v>0.002</v>
      </c>
      <c r="N439" s="196"/>
      <c r="O439" s="196"/>
      <c r="P439" s="196"/>
      <c r="Q439" s="198">
        <v>1.92</v>
      </c>
      <c r="R439" s="198">
        <v>2.608</v>
      </c>
      <c r="S439" s="199">
        <v>2.0</v>
      </c>
      <c r="T439" s="196"/>
      <c r="U439" s="196"/>
      <c r="V439" s="196"/>
      <c r="W439" s="196"/>
      <c r="X439" s="196"/>
      <c r="Y439" s="196"/>
      <c r="Z439" s="196"/>
      <c r="AA439" s="196"/>
      <c r="AB439" s="196"/>
      <c r="AC439" s="196"/>
      <c r="AD439" s="196"/>
      <c r="AE439" s="196"/>
      <c r="AF439" s="196"/>
      <c r="AG439" s="198">
        <v>2.624</v>
      </c>
      <c r="AH439" s="198">
        <v>1.2</v>
      </c>
      <c r="AI439" s="198">
        <v>0.36</v>
      </c>
      <c r="AJ439" s="200">
        <v>4.0E-4</v>
      </c>
      <c r="AK439" s="195">
        <v>200.0</v>
      </c>
      <c r="AL439" s="196"/>
      <c r="AM439" s="196"/>
      <c r="AN439" s="196"/>
      <c r="AO439" s="196"/>
      <c r="AP439" s="196"/>
      <c r="AQ439" s="196"/>
      <c r="AR439" s="196"/>
      <c r="AS439" s="196"/>
      <c r="AT439" s="196"/>
      <c r="AU439" s="196"/>
      <c r="AV439" s="196"/>
      <c r="AW439" s="196"/>
      <c r="AX439" s="196"/>
      <c r="AY439" s="196"/>
      <c r="AZ439" s="196"/>
      <c r="BA439" s="196"/>
      <c r="BB439" s="196"/>
      <c r="BC439" s="196"/>
      <c r="BD439" s="196"/>
      <c r="BE439" s="196"/>
      <c r="BF439" s="196"/>
    </row>
    <row r="440">
      <c r="A440" s="197"/>
      <c r="B440" s="201" t="s">
        <v>304</v>
      </c>
      <c r="C440" s="201" t="s">
        <v>304</v>
      </c>
      <c r="D440" s="201" t="s">
        <v>304</v>
      </c>
      <c r="E440" s="201" t="s">
        <v>304</v>
      </c>
      <c r="F440" s="201" t="s">
        <v>304</v>
      </c>
      <c r="G440" s="201" t="s">
        <v>304</v>
      </c>
      <c r="H440" s="201" t="s">
        <v>304</v>
      </c>
      <c r="I440" s="201" t="s">
        <v>304</v>
      </c>
      <c r="J440" s="201" t="s">
        <v>304</v>
      </c>
      <c r="K440" s="201" t="s">
        <v>304</v>
      </c>
      <c r="L440" s="201" t="s">
        <v>304</v>
      </c>
      <c r="M440" s="196"/>
      <c r="N440" s="196"/>
      <c r="O440" s="196"/>
      <c r="P440" s="196"/>
      <c r="Q440" s="201" t="s">
        <v>304</v>
      </c>
      <c r="R440" s="201" t="s">
        <v>304</v>
      </c>
      <c r="S440" s="195" t="s">
        <v>304</v>
      </c>
      <c r="T440" s="196"/>
      <c r="U440" s="196"/>
      <c r="V440" s="196"/>
      <c r="W440" s="196"/>
      <c r="X440" s="196"/>
      <c r="Y440" s="196"/>
      <c r="Z440" s="196"/>
      <c r="AA440" s="196"/>
      <c r="AB440" s="196"/>
      <c r="AC440" s="196"/>
      <c r="AD440" s="196"/>
      <c r="AE440" s="196"/>
      <c r="AF440" s="196"/>
      <c r="AG440" s="201" t="s">
        <v>304</v>
      </c>
      <c r="AH440" s="201" t="s">
        <v>304</v>
      </c>
      <c r="AI440" s="201" t="s">
        <v>304</v>
      </c>
      <c r="AJ440" s="196"/>
      <c r="AK440" s="196"/>
      <c r="AL440" s="196"/>
      <c r="AM440" s="196"/>
      <c r="AN440" s="196"/>
      <c r="AO440" s="196"/>
      <c r="AP440" s="196"/>
      <c r="AQ440" s="196"/>
      <c r="AR440" s="196"/>
      <c r="AS440" s="196"/>
      <c r="AT440" s="196"/>
      <c r="AU440" s="196"/>
      <c r="AV440" s="196"/>
      <c r="AW440" s="196"/>
      <c r="AX440" s="196"/>
      <c r="AY440" s="196"/>
      <c r="AZ440" s="196"/>
      <c r="BA440" s="196"/>
      <c r="BB440" s="196"/>
      <c r="BC440" s="196"/>
      <c r="BD440" s="196"/>
      <c r="BE440" s="196"/>
      <c r="BF440" s="196"/>
    </row>
    <row r="441">
      <c r="A441" s="197"/>
      <c r="B441" s="201" t="s">
        <v>147</v>
      </c>
      <c r="C441" s="201" t="s">
        <v>147</v>
      </c>
      <c r="D441" s="201" t="s">
        <v>147</v>
      </c>
      <c r="E441" s="201" t="s">
        <v>147</v>
      </c>
      <c r="F441" s="201" t="s">
        <v>147</v>
      </c>
      <c r="G441" s="201" t="s">
        <v>147</v>
      </c>
      <c r="H441" s="201" t="s">
        <v>152</v>
      </c>
      <c r="I441" s="201" t="s">
        <v>152</v>
      </c>
      <c r="J441" s="201" t="s">
        <v>157</v>
      </c>
      <c r="K441" s="201" t="s">
        <v>157</v>
      </c>
      <c r="L441" s="201" t="s">
        <v>157</v>
      </c>
      <c r="M441" s="196"/>
      <c r="N441" s="196"/>
      <c r="O441" s="196"/>
      <c r="P441" s="196"/>
      <c r="Q441" s="201" t="s">
        <v>160</v>
      </c>
      <c r="R441" s="201" t="s">
        <v>160</v>
      </c>
      <c r="S441" s="195" t="s">
        <v>157</v>
      </c>
      <c r="T441" s="196"/>
      <c r="U441" s="196"/>
      <c r="V441" s="196"/>
      <c r="W441" s="196"/>
      <c r="X441" s="196"/>
      <c r="Y441" s="196"/>
      <c r="Z441" s="196"/>
      <c r="AA441" s="196"/>
      <c r="AB441" s="196"/>
      <c r="AC441" s="196"/>
      <c r="AD441" s="196"/>
      <c r="AE441" s="196"/>
      <c r="AF441" s="196"/>
      <c r="AG441" s="201" t="s">
        <v>164</v>
      </c>
      <c r="AH441" s="201" t="s">
        <v>164</v>
      </c>
      <c r="AI441" s="201" t="s">
        <v>164</v>
      </c>
      <c r="AJ441" s="196"/>
      <c r="AK441" s="196"/>
      <c r="AL441" s="196"/>
      <c r="AM441" s="196"/>
      <c r="AN441" s="196"/>
      <c r="AO441" s="196"/>
      <c r="AP441" s="196"/>
      <c r="AQ441" s="196"/>
      <c r="AR441" s="196"/>
      <c r="AS441" s="196"/>
      <c r="AT441" s="196"/>
      <c r="AU441" s="196"/>
      <c r="AV441" s="196"/>
      <c r="AW441" s="196"/>
      <c r="AX441" s="196"/>
      <c r="AY441" s="196"/>
      <c r="AZ441" s="196"/>
      <c r="BA441" s="196"/>
      <c r="BB441" s="196"/>
      <c r="BC441" s="196"/>
      <c r="BD441" s="196"/>
      <c r="BE441" s="196"/>
      <c r="BF441" s="196"/>
    </row>
    <row r="442">
      <c r="A442" s="194" t="s">
        <v>329</v>
      </c>
      <c r="B442" s="195" t="s">
        <v>176</v>
      </c>
      <c r="C442" s="195" t="s">
        <v>177</v>
      </c>
      <c r="D442" s="195" t="s">
        <v>178</v>
      </c>
      <c r="E442" s="195" t="s">
        <v>645</v>
      </c>
      <c r="F442" s="195" t="s">
        <v>646</v>
      </c>
      <c r="G442" s="195" t="s">
        <v>246</v>
      </c>
      <c r="H442" s="195" t="s">
        <v>270</v>
      </c>
      <c r="I442" s="195" t="s">
        <v>271</v>
      </c>
      <c r="J442" s="195" t="s">
        <v>181</v>
      </c>
      <c r="K442" s="195" t="s">
        <v>182</v>
      </c>
      <c r="L442" s="195" t="s">
        <v>183</v>
      </c>
      <c r="M442" s="196"/>
      <c r="N442" s="196"/>
      <c r="O442" s="196"/>
      <c r="P442" s="196"/>
      <c r="Q442" s="195" t="s">
        <v>647</v>
      </c>
      <c r="R442" s="195" t="s">
        <v>275</v>
      </c>
      <c r="S442" s="195" t="s">
        <v>648</v>
      </c>
      <c r="T442" s="195" t="s">
        <v>649</v>
      </c>
      <c r="U442" s="196"/>
      <c r="V442" s="196"/>
      <c r="W442" s="196"/>
      <c r="X442" s="196"/>
      <c r="Y442" s="196"/>
      <c r="Z442" s="196"/>
      <c r="AA442" s="196"/>
      <c r="AB442" s="196"/>
      <c r="AC442" s="196"/>
      <c r="AD442" s="196"/>
      <c r="AE442" s="196"/>
      <c r="AF442" s="196"/>
      <c r="AG442" s="195" t="s">
        <v>294</v>
      </c>
      <c r="AH442" s="195" t="s">
        <v>650</v>
      </c>
      <c r="AI442" s="195" t="s">
        <v>651</v>
      </c>
      <c r="AJ442" s="195" t="s">
        <v>192</v>
      </c>
      <c r="AK442" s="195" t="s">
        <v>293</v>
      </c>
      <c r="AL442" s="195" t="s">
        <v>253</v>
      </c>
      <c r="AM442" s="196"/>
      <c r="AN442" s="196"/>
      <c r="AO442" s="196"/>
      <c r="AP442" s="196"/>
      <c r="AQ442" s="196"/>
      <c r="AR442" s="196"/>
      <c r="AS442" s="196"/>
      <c r="AT442" s="196"/>
      <c r="AU442" s="196"/>
      <c r="AV442" s="196"/>
      <c r="AW442" s="196"/>
      <c r="AX442" s="196"/>
      <c r="AY442" s="196"/>
      <c r="AZ442" s="196"/>
      <c r="BA442" s="196"/>
      <c r="BB442" s="196"/>
      <c r="BC442" s="196"/>
      <c r="BD442" s="196"/>
      <c r="BE442" s="196"/>
      <c r="BF442" s="196"/>
    </row>
    <row r="443">
      <c r="A443" s="197"/>
      <c r="B443" s="195" t="s">
        <v>529</v>
      </c>
      <c r="C443" s="195" t="s">
        <v>529</v>
      </c>
      <c r="D443" s="195" t="s">
        <v>529</v>
      </c>
      <c r="E443" s="195" t="s">
        <v>529</v>
      </c>
      <c r="F443" s="195" t="s">
        <v>529</v>
      </c>
      <c r="G443" s="195" t="s">
        <v>529</v>
      </c>
      <c r="H443" s="195" t="s">
        <v>529</v>
      </c>
      <c r="I443" s="195" t="s">
        <v>529</v>
      </c>
      <c r="J443" s="195" t="s">
        <v>529</v>
      </c>
      <c r="K443" s="195" t="s">
        <v>529</v>
      </c>
      <c r="L443" s="195" t="s">
        <v>529</v>
      </c>
      <c r="M443" s="196"/>
      <c r="N443" s="196"/>
      <c r="O443" s="196"/>
      <c r="P443" s="196"/>
      <c r="Q443" s="195" t="s">
        <v>530</v>
      </c>
      <c r="R443" s="195" t="s">
        <v>530</v>
      </c>
      <c r="S443" s="195" t="s">
        <v>530</v>
      </c>
      <c r="T443" s="195" t="s">
        <v>531</v>
      </c>
      <c r="U443" s="196"/>
      <c r="V443" s="196"/>
      <c r="W443" s="196"/>
      <c r="X443" s="196"/>
      <c r="Y443" s="196"/>
      <c r="Z443" s="196"/>
      <c r="AA443" s="196"/>
      <c r="AB443" s="196"/>
      <c r="AC443" s="196"/>
      <c r="AD443" s="196"/>
      <c r="AE443" s="196"/>
      <c r="AF443" s="196"/>
      <c r="AG443" s="195" t="s">
        <v>530</v>
      </c>
      <c r="AH443" s="195" t="s">
        <v>530</v>
      </c>
      <c r="AI443" s="195" t="s">
        <v>530</v>
      </c>
      <c r="AJ443" s="195" t="s">
        <v>531</v>
      </c>
      <c r="AK443" s="195" t="s">
        <v>531</v>
      </c>
      <c r="AL443" s="195" t="s">
        <v>531</v>
      </c>
      <c r="AM443" s="196"/>
      <c r="AN443" s="196"/>
      <c r="AO443" s="196"/>
      <c r="AP443" s="196"/>
      <c r="AQ443" s="196"/>
      <c r="AR443" s="196"/>
      <c r="AS443" s="196"/>
      <c r="AT443" s="196"/>
      <c r="AU443" s="196"/>
      <c r="AV443" s="196"/>
      <c r="AW443" s="196"/>
      <c r="AX443" s="196"/>
      <c r="AY443" s="196"/>
      <c r="AZ443" s="196"/>
      <c r="BA443" s="196"/>
      <c r="BB443" s="196"/>
      <c r="BC443" s="196"/>
      <c r="BD443" s="196"/>
      <c r="BE443" s="196"/>
      <c r="BF443" s="196"/>
    </row>
    <row r="444">
      <c r="A444" s="197"/>
      <c r="B444" s="198">
        <v>0.4102</v>
      </c>
      <c r="C444" s="198">
        <v>0.4102</v>
      </c>
      <c r="D444" s="198">
        <v>0.5444</v>
      </c>
      <c r="E444" s="198">
        <v>0.3148</v>
      </c>
      <c r="F444" s="198">
        <v>0.344</v>
      </c>
      <c r="G444" s="198">
        <v>0.6699</v>
      </c>
      <c r="H444" s="198">
        <v>0.768</v>
      </c>
      <c r="I444" s="198">
        <v>0.86</v>
      </c>
      <c r="J444" s="198">
        <v>0.6393</v>
      </c>
      <c r="K444" s="198">
        <v>1.2786</v>
      </c>
      <c r="L444" s="198">
        <v>1.5983</v>
      </c>
      <c r="M444" s="196"/>
      <c r="N444" s="196"/>
      <c r="O444" s="196"/>
      <c r="P444" s="196"/>
      <c r="Q444" s="198">
        <v>0.504</v>
      </c>
      <c r="R444" s="198">
        <v>1.68</v>
      </c>
      <c r="S444" s="198">
        <v>0.84</v>
      </c>
      <c r="T444" s="199">
        <v>0.5</v>
      </c>
      <c r="U444" s="196"/>
      <c r="V444" s="196"/>
      <c r="W444" s="196"/>
      <c r="X444" s="196"/>
      <c r="Y444" s="196"/>
      <c r="Z444" s="196"/>
      <c r="AA444" s="196"/>
      <c r="AB444" s="196"/>
      <c r="AC444" s="196"/>
      <c r="AD444" s="196"/>
      <c r="AE444" s="196"/>
      <c r="AF444" s="196"/>
      <c r="AG444" s="198">
        <v>0.88</v>
      </c>
      <c r="AH444" s="198">
        <v>0.24</v>
      </c>
      <c r="AI444" s="198">
        <v>1.888</v>
      </c>
      <c r="AJ444" s="199">
        <v>0.15</v>
      </c>
      <c r="AK444" s="199">
        <v>0.25</v>
      </c>
      <c r="AL444" s="199">
        <v>0.06</v>
      </c>
      <c r="AM444" s="196"/>
      <c r="AN444" s="196"/>
      <c r="AO444" s="196"/>
      <c r="AP444" s="196"/>
      <c r="AQ444" s="196"/>
      <c r="AR444" s="196"/>
      <c r="AS444" s="196"/>
      <c r="AT444" s="196"/>
      <c r="AU444" s="196"/>
      <c r="AV444" s="196"/>
      <c r="AW444" s="196"/>
      <c r="AX444" s="196"/>
      <c r="AY444" s="196"/>
      <c r="AZ444" s="196"/>
      <c r="BA444" s="196"/>
      <c r="BB444" s="196"/>
      <c r="BC444" s="196"/>
      <c r="BD444" s="196"/>
      <c r="BE444" s="196"/>
      <c r="BF444" s="196"/>
    </row>
    <row r="445">
      <c r="A445" s="197"/>
      <c r="B445" s="201" t="s">
        <v>304</v>
      </c>
      <c r="C445" s="201" t="s">
        <v>304</v>
      </c>
      <c r="D445" s="201" t="s">
        <v>304</v>
      </c>
      <c r="E445" s="201" t="s">
        <v>304</v>
      </c>
      <c r="F445" s="201" t="s">
        <v>304</v>
      </c>
      <c r="G445" s="201" t="s">
        <v>304</v>
      </c>
      <c r="H445" s="201" t="s">
        <v>304</v>
      </c>
      <c r="I445" s="201" t="s">
        <v>304</v>
      </c>
      <c r="J445" s="201" t="s">
        <v>304</v>
      </c>
      <c r="K445" s="201" t="s">
        <v>304</v>
      </c>
      <c r="L445" s="201" t="s">
        <v>304</v>
      </c>
      <c r="M445" s="196"/>
      <c r="N445" s="196"/>
      <c r="O445" s="196"/>
      <c r="P445" s="196"/>
      <c r="Q445" s="201" t="s">
        <v>304</v>
      </c>
      <c r="R445" s="201" t="s">
        <v>304</v>
      </c>
      <c r="S445" s="201" t="s">
        <v>304</v>
      </c>
      <c r="T445" s="195" t="s">
        <v>304</v>
      </c>
      <c r="U445" s="196"/>
      <c r="V445" s="196"/>
      <c r="W445" s="196"/>
      <c r="X445" s="196"/>
      <c r="Y445" s="196"/>
      <c r="Z445" s="196"/>
      <c r="AA445" s="196"/>
      <c r="AB445" s="196"/>
      <c r="AC445" s="196"/>
      <c r="AD445" s="196"/>
      <c r="AE445" s="196"/>
      <c r="AF445" s="196"/>
      <c r="AG445" s="201" t="s">
        <v>304</v>
      </c>
      <c r="AH445" s="201" t="s">
        <v>304</v>
      </c>
      <c r="AI445" s="201" t="s">
        <v>304</v>
      </c>
      <c r="AJ445" s="196"/>
      <c r="AK445" s="196"/>
      <c r="AL445" s="196"/>
      <c r="AM445" s="196"/>
      <c r="AN445" s="196"/>
      <c r="AO445" s="196"/>
      <c r="AP445" s="196"/>
      <c r="AQ445" s="196"/>
      <c r="AR445" s="196"/>
      <c r="AS445" s="196"/>
      <c r="AT445" s="196"/>
      <c r="AU445" s="196"/>
      <c r="AV445" s="196"/>
      <c r="AW445" s="196"/>
      <c r="AX445" s="196"/>
      <c r="AY445" s="196"/>
      <c r="AZ445" s="196"/>
      <c r="BA445" s="196"/>
      <c r="BB445" s="196"/>
      <c r="BC445" s="196"/>
      <c r="BD445" s="196"/>
      <c r="BE445" s="196"/>
      <c r="BF445" s="196"/>
    </row>
    <row r="446">
      <c r="A446" s="197"/>
      <c r="B446" s="201" t="s">
        <v>147</v>
      </c>
      <c r="C446" s="201" t="s">
        <v>147</v>
      </c>
      <c r="D446" s="201" t="s">
        <v>147</v>
      </c>
      <c r="E446" s="201" t="s">
        <v>147</v>
      </c>
      <c r="F446" s="201" t="s">
        <v>147</v>
      </c>
      <c r="G446" s="201" t="s">
        <v>147</v>
      </c>
      <c r="H446" s="201" t="s">
        <v>152</v>
      </c>
      <c r="I446" s="201" t="s">
        <v>152</v>
      </c>
      <c r="J446" s="201" t="s">
        <v>157</v>
      </c>
      <c r="K446" s="201" t="s">
        <v>157</v>
      </c>
      <c r="L446" s="201" t="s">
        <v>157</v>
      </c>
      <c r="M446" s="196"/>
      <c r="N446" s="196"/>
      <c r="O446" s="196"/>
      <c r="P446" s="196"/>
      <c r="Q446" s="201" t="s">
        <v>160</v>
      </c>
      <c r="R446" s="201" t="s">
        <v>160</v>
      </c>
      <c r="S446" s="201" t="s">
        <v>160</v>
      </c>
      <c r="T446" s="196"/>
      <c r="U446" s="196"/>
      <c r="V446" s="196"/>
      <c r="W446" s="196"/>
      <c r="X446" s="196"/>
      <c r="Y446" s="196"/>
      <c r="Z446" s="196"/>
      <c r="AA446" s="196"/>
      <c r="AB446" s="196"/>
      <c r="AC446" s="196"/>
      <c r="AD446" s="196"/>
      <c r="AE446" s="196"/>
      <c r="AF446" s="196"/>
      <c r="AG446" s="201" t="s">
        <v>164</v>
      </c>
      <c r="AH446" s="201" t="s">
        <v>164</v>
      </c>
      <c r="AI446" s="201" t="s">
        <v>164</v>
      </c>
      <c r="AJ446" s="196"/>
      <c r="AK446" s="196"/>
      <c r="AL446" s="196"/>
      <c r="AM446" s="196"/>
      <c r="AN446" s="196"/>
      <c r="AO446" s="196"/>
      <c r="AP446" s="196"/>
      <c r="AQ446" s="196"/>
      <c r="AR446" s="196"/>
      <c r="AS446" s="196"/>
      <c r="AT446" s="196"/>
      <c r="AU446" s="196"/>
      <c r="AV446" s="196"/>
      <c r="AW446" s="196"/>
      <c r="AX446" s="196"/>
      <c r="AY446" s="196"/>
      <c r="AZ446" s="196"/>
      <c r="BA446" s="196"/>
      <c r="BB446" s="196"/>
      <c r="BC446" s="196"/>
      <c r="BD446" s="196"/>
      <c r="BE446" s="196"/>
      <c r="BF446" s="196"/>
    </row>
    <row r="447">
      <c r="A447" s="194" t="s">
        <v>330</v>
      </c>
      <c r="B447" s="195" t="s">
        <v>176</v>
      </c>
      <c r="C447" s="195" t="s">
        <v>177</v>
      </c>
      <c r="D447" s="195" t="s">
        <v>178</v>
      </c>
      <c r="E447" s="195" t="s">
        <v>180</v>
      </c>
      <c r="F447" s="195" t="s">
        <v>181</v>
      </c>
      <c r="G447" s="195" t="s">
        <v>182</v>
      </c>
      <c r="H447" s="195" t="s">
        <v>183</v>
      </c>
      <c r="I447" s="195" t="s">
        <v>274</v>
      </c>
      <c r="J447" s="196"/>
      <c r="K447" s="196"/>
      <c r="L447" s="196"/>
      <c r="M447" s="196"/>
      <c r="N447" s="196"/>
      <c r="O447" s="196"/>
      <c r="P447" s="196"/>
      <c r="Q447" s="195" t="s">
        <v>652</v>
      </c>
      <c r="R447" s="195" t="s">
        <v>653</v>
      </c>
      <c r="S447" s="195" t="s">
        <v>189</v>
      </c>
      <c r="T447" s="196"/>
      <c r="U447" s="196"/>
      <c r="V447" s="196"/>
      <c r="W447" s="196"/>
      <c r="X447" s="196"/>
      <c r="Y447" s="196"/>
      <c r="Z447" s="196"/>
      <c r="AA447" s="196"/>
      <c r="AB447" s="196"/>
      <c r="AC447" s="196"/>
      <c r="AD447" s="196"/>
      <c r="AE447" s="196"/>
      <c r="AF447" s="196"/>
      <c r="AG447" s="194" t="s">
        <v>654</v>
      </c>
      <c r="AH447" s="195" t="s">
        <v>248</v>
      </c>
      <c r="AI447" s="195" t="s">
        <v>293</v>
      </c>
      <c r="AJ447" s="195" t="s">
        <v>253</v>
      </c>
      <c r="AK447" s="196"/>
      <c r="AL447" s="196"/>
      <c r="AM447" s="196"/>
      <c r="AN447" s="196"/>
      <c r="AO447" s="196"/>
      <c r="AP447" s="196"/>
      <c r="AQ447" s="196"/>
      <c r="AR447" s="196"/>
      <c r="AS447" s="196"/>
      <c r="AT447" s="196"/>
      <c r="AU447" s="196"/>
      <c r="AV447" s="196"/>
      <c r="AW447" s="196"/>
      <c r="AX447" s="196"/>
      <c r="AY447" s="196"/>
      <c r="AZ447" s="196"/>
      <c r="BA447" s="196"/>
      <c r="BB447" s="196"/>
      <c r="BC447" s="196"/>
      <c r="BD447" s="196"/>
      <c r="BE447" s="196"/>
      <c r="BF447" s="196"/>
    </row>
    <row r="448">
      <c r="A448" s="197"/>
      <c r="B448" s="195" t="s">
        <v>601</v>
      </c>
      <c r="C448" s="195" t="s">
        <v>601</v>
      </c>
      <c r="D448" s="195" t="s">
        <v>601</v>
      </c>
      <c r="E448" s="195" t="s">
        <v>601</v>
      </c>
      <c r="F448" s="195" t="s">
        <v>529</v>
      </c>
      <c r="G448" s="195" t="s">
        <v>529</v>
      </c>
      <c r="H448" s="195" t="s">
        <v>529</v>
      </c>
      <c r="I448" s="195" t="s">
        <v>531</v>
      </c>
      <c r="J448" s="196"/>
      <c r="K448" s="196"/>
      <c r="L448" s="196"/>
      <c r="M448" s="196"/>
      <c r="N448" s="196"/>
      <c r="O448" s="196"/>
      <c r="P448" s="196"/>
      <c r="Q448" s="195" t="s">
        <v>530</v>
      </c>
      <c r="R448" s="195" t="s">
        <v>530</v>
      </c>
      <c r="S448" s="195" t="s">
        <v>531</v>
      </c>
      <c r="T448" s="196"/>
      <c r="U448" s="196"/>
      <c r="V448" s="196"/>
      <c r="W448" s="196"/>
      <c r="X448" s="196"/>
      <c r="Y448" s="196"/>
      <c r="Z448" s="196"/>
      <c r="AA448" s="196"/>
      <c r="AB448" s="196"/>
      <c r="AC448" s="196"/>
      <c r="AD448" s="196"/>
      <c r="AE448" s="196"/>
      <c r="AF448" s="196"/>
      <c r="AG448" s="195" t="s">
        <v>530</v>
      </c>
      <c r="AH448" s="195" t="s">
        <v>531</v>
      </c>
      <c r="AI448" s="195" t="s">
        <v>531</v>
      </c>
      <c r="AJ448" s="195" t="s">
        <v>531</v>
      </c>
      <c r="AK448" s="196"/>
      <c r="AL448" s="196"/>
      <c r="AM448" s="196"/>
      <c r="AN448" s="196"/>
      <c r="AO448" s="196"/>
      <c r="AP448" s="196"/>
      <c r="AQ448" s="196"/>
      <c r="AR448" s="196"/>
      <c r="AS448" s="196"/>
      <c r="AT448" s="196"/>
      <c r="AU448" s="196"/>
      <c r="AV448" s="196"/>
      <c r="AW448" s="196"/>
      <c r="AX448" s="196"/>
      <c r="AY448" s="196"/>
      <c r="AZ448" s="196"/>
      <c r="BA448" s="196"/>
      <c r="BB448" s="196"/>
      <c r="BC448" s="196"/>
      <c r="BD448" s="196"/>
      <c r="BE448" s="196"/>
      <c r="BF448" s="196"/>
    </row>
    <row r="449">
      <c r="A449" s="197"/>
      <c r="B449" s="198">
        <v>0.7216</v>
      </c>
      <c r="C449" s="198">
        <v>0.624</v>
      </c>
      <c r="D449" s="198">
        <v>0.8992</v>
      </c>
      <c r="E449" s="198">
        <v>1.5736</v>
      </c>
      <c r="F449" s="198">
        <v>0.5683</v>
      </c>
      <c r="G449" s="198">
        <v>1.1366</v>
      </c>
      <c r="H449" s="198">
        <v>1.4208</v>
      </c>
      <c r="I449" s="199">
        <v>0.5</v>
      </c>
      <c r="J449" s="196"/>
      <c r="K449" s="196"/>
      <c r="L449" s="196"/>
      <c r="M449" s="196"/>
      <c r="N449" s="196"/>
      <c r="O449" s="196"/>
      <c r="P449" s="196"/>
      <c r="Q449" s="198">
        <v>0.952</v>
      </c>
      <c r="R449" s="198">
        <v>0.328</v>
      </c>
      <c r="S449" s="199">
        <v>-0.23</v>
      </c>
      <c r="T449" s="196"/>
      <c r="U449" s="196"/>
      <c r="V449" s="196"/>
      <c r="W449" s="196"/>
      <c r="X449" s="196"/>
      <c r="Y449" s="196"/>
      <c r="Z449" s="196"/>
      <c r="AA449" s="196"/>
      <c r="AB449" s="196"/>
      <c r="AC449" s="196"/>
      <c r="AD449" s="196"/>
      <c r="AE449" s="196"/>
      <c r="AF449" s="196"/>
      <c r="AG449" s="198">
        <v>0.4264</v>
      </c>
      <c r="AH449" s="199">
        <v>1.2</v>
      </c>
      <c r="AI449" s="199">
        <v>5.55</v>
      </c>
      <c r="AJ449" s="199">
        <v>0.1</v>
      </c>
      <c r="AK449" s="196"/>
      <c r="AL449" s="196"/>
      <c r="AM449" s="196"/>
      <c r="AN449" s="196"/>
      <c r="AO449" s="196"/>
      <c r="AP449" s="196"/>
      <c r="AQ449" s="196"/>
      <c r="AR449" s="196"/>
      <c r="AS449" s="196"/>
      <c r="AT449" s="196"/>
      <c r="AU449" s="196"/>
      <c r="AV449" s="196"/>
      <c r="AW449" s="196"/>
      <c r="AX449" s="196"/>
      <c r="AY449" s="196"/>
      <c r="AZ449" s="196"/>
      <c r="BA449" s="196"/>
      <c r="BB449" s="196"/>
      <c r="BC449" s="196"/>
      <c r="BD449" s="196"/>
      <c r="BE449" s="196"/>
      <c r="BF449" s="196"/>
    </row>
    <row r="450">
      <c r="A450" s="197"/>
      <c r="B450" s="201" t="s">
        <v>304</v>
      </c>
      <c r="C450" s="201" t="s">
        <v>304</v>
      </c>
      <c r="D450" s="201" t="s">
        <v>304</v>
      </c>
      <c r="E450" s="201" t="s">
        <v>304</v>
      </c>
      <c r="F450" s="201" t="s">
        <v>304</v>
      </c>
      <c r="G450" s="201" t="s">
        <v>304</v>
      </c>
      <c r="H450" s="201" t="s">
        <v>304</v>
      </c>
      <c r="I450" s="196"/>
      <c r="J450" s="196"/>
      <c r="K450" s="196"/>
      <c r="L450" s="196"/>
      <c r="M450" s="196"/>
      <c r="N450" s="196"/>
      <c r="O450" s="196"/>
      <c r="P450" s="196"/>
      <c r="Q450" s="201" t="s">
        <v>304</v>
      </c>
      <c r="R450" s="201" t="s">
        <v>304</v>
      </c>
      <c r="S450" s="196"/>
      <c r="T450" s="196"/>
      <c r="U450" s="196"/>
      <c r="V450" s="196"/>
      <c r="W450" s="196"/>
      <c r="X450" s="196"/>
      <c r="Y450" s="196"/>
      <c r="Z450" s="196"/>
      <c r="AA450" s="196"/>
      <c r="AB450" s="196"/>
      <c r="AC450" s="196"/>
      <c r="AD450" s="196"/>
      <c r="AE450" s="196"/>
      <c r="AF450" s="196"/>
      <c r="AG450" s="201" t="s">
        <v>304</v>
      </c>
      <c r="AH450" s="195"/>
      <c r="AI450" s="195" t="s">
        <v>304</v>
      </c>
      <c r="AJ450" s="196"/>
      <c r="AK450" s="196"/>
      <c r="AL450" s="196"/>
      <c r="AM450" s="196"/>
      <c r="AN450" s="196"/>
      <c r="AO450" s="196"/>
      <c r="AP450" s="196"/>
      <c r="AQ450" s="196"/>
      <c r="AR450" s="196"/>
      <c r="AS450" s="196"/>
      <c r="AT450" s="196"/>
      <c r="AU450" s="196"/>
      <c r="AV450" s="196"/>
      <c r="AW450" s="196"/>
      <c r="AX450" s="196"/>
      <c r="AY450" s="196"/>
      <c r="AZ450" s="196"/>
      <c r="BA450" s="196"/>
      <c r="BB450" s="196"/>
      <c r="BC450" s="196"/>
      <c r="BD450" s="196"/>
      <c r="BE450" s="196"/>
      <c r="BF450" s="196"/>
    </row>
    <row r="451">
      <c r="A451" s="197"/>
      <c r="B451" s="201" t="s">
        <v>147</v>
      </c>
      <c r="C451" s="201" t="s">
        <v>147</v>
      </c>
      <c r="D451" s="201" t="s">
        <v>147</v>
      </c>
      <c r="E451" s="201" t="s">
        <v>152</v>
      </c>
      <c r="F451" s="201" t="s">
        <v>157</v>
      </c>
      <c r="G451" s="201" t="s">
        <v>157</v>
      </c>
      <c r="H451" s="201" t="s">
        <v>157</v>
      </c>
      <c r="I451" s="196"/>
      <c r="J451" s="196"/>
      <c r="K451" s="196"/>
      <c r="L451" s="196"/>
      <c r="M451" s="196"/>
      <c r="N451" s="196"/>
      <c r="O451" s="196"/>
      <c r="P451" s="196"/>
      <c r="Q451" s="201" t="s">
        <v>160</v>
      </c>
      <c r="R451" s="201" t="s">
        <v>160</v>
      </c>
      <c r="S451" s="196"/>
      <c r="T451" s="196"/>
      <c r="U451" s="196"/>
      <c r="V451" s="196"/>
      <c r="W451" s="196"/>
      <c r="X451" s="196"/>
      <c r="Y451" s="196"/>
      <c r="Z451" s="196"/>
      <c r="AA451" s="196"/>
      <c r="AB451" s="196"/>
      <c r="AC451" s="196"/>
      <c r="AD451" s="196"/>
      <c r="AE451" s="196"/>
      <c r="AF451" s="196"/>
      <c r="AG451" s="201" t="s">
        <v>164</v>
      </c>
      <c r="AH451" s="196"/>
      <c r="AI451" s="196"/>
      <c r="AJ451" s="196"/>
      <c r="AK451" s="196"/>
      <c r="AL451" s="196"/>
      <c r="AM451" s="196"/>
      <c r="AN451" s="196"/>
      <c r="AO451" s="196"/>
      <c r="AP451" s="196"/>
      <c r="AQ451" s="196"/>
      <c r="AR451" s="196"/>
      <c r="AS451" s="196"/>
      <c r="AT451" s="196"/>
      <c r="AU451" s="196"/>
      <c r="AV451" s="196"/>
      <c r="AW451" s="196"/>
      <c r="AX451" s="196"/>
      <c r="AY451" s="196"/>
      <c r="AZ451" s="196"/>
      <c r="BA451" s="196"/>
      <c r="BB451" s="196"/>
      <c r="BC451" s="196"/>
      <c r="BD451" s="196"/>
      <c r="BE451" s="196"/>
      <c r="BF451" s="196"/>
    </row>
    <row r="452">
      <c r="A452" s="194" t="s">
        <v>331</v>
      </c>
      <c r="B452" s="195" t="s">
        <v>176</v>
      </c>
      <c r="C452" s="195" t="s">
        <v>177</v>
      </c>
      <c r="D452" s="195" t="s">
        <v>178</v>
      </c>
      <c r="E452" s="195" t="s">
        <v>180</v>
      </c>
      <c r="F452" s="195" t="s">
        <v>181</v>
      </c>
      <c r="G452" s="195" t="s">
        <v>182</v>
      </c>
      <c r="H452" s="195" t="s">
        <v>183</v>
      </c>
      <c r="I452" s="195" t="s">
        <v>248</v>
      </c>
      <c r="J452" s="196"/>
      <c r="K452" s="196"/>
      <c r="L452" s="196"/>
      <c r="M452" s="196"/>
      <c r="N452" s="196"/>
      <c r="O452" s="196"/>
      <c r="P452" s="196"/>
      <c r="Q452" s="195" t="s">
        <v>575</v>
      </c>
      <c r="R452" s="195" t="s">
        <v>576</v>
      </c>
      <c r="S452" s="195" t="s">
        <v>655</v>
      </c>
      <c r="T452" s="195" t="s">
        <v>656</v>
      </c>
      <c r="U452" s="196"/>
      <c r="V452" s="196"/>
      <c r="W452" s="196"/>
      <c r="X452" s="196"/>
      <c r="Y452" s="196"/>
      <c r="Z452" s="196"/>
      <c r="AA452" s="196"/>
      <c r="AB452" s="196"/>
      <c r="AC452" s="196"/>
      <c r="AD452" s="196"/>
      <c r="AE452" s="196"/>
      <c r="AF452" s="196"/>
      <c r="AG452" s="195" t="s">
        <v>294</v>
      </c>
      <c r="AH452" s="195" t="s">
        <v>568</v>
      </c>
      <c r="AI452" s="195" t="s">
        <v>657</v>
      </c>
      <c r="AJ452" s="195" t="s">
        <v>658</v>
      </c>
      <c r="AK452" s="195" t="s">
        <v>570</v>
      </c>
      <c r="AL452" s="195" t="s">
        <v>571</v>
      </c>
      <c r="AM452" s="195" t="s">
        <v>659</v>
      </c>
      <c r="AN452" s="195" t="s">
        <v>660</v>
      </c>
      <c r="AO452" s="195" t="s">
        <v>192</v>
      </c>
      <c r="AP452" s="195" t="s">
        <v>661</v>
      </c>
      <c r="AQ452" s="195" t="s">
        <v>253</v>
      </c>
      <c r="AR452" s="196"/>
      <c r="AS452" s="196"/>
      <c r="AT452" s="196"/>
      <c r="AU452" s="196"/>
      <c r="AV452" s="196"/>
      <c r="AW452" s="196"/>
      <c r="AX452" s="196"/>
      <c r="AY452" s="196"/>
      <c r="AZ452" s="196"/>
      <c r="BA452" s="196"/>
    </row>
    <row r="453">
      <c r="A453" s="197"/>
      <c r="B453" s="195" t="s">
        <v>530</v>
      </c>
      <c r="C453" s="195" t="s">
        <v>530</v>
      </c>
      <c r="D453" s="195" t="s">
        <v>530</v>
      </c>
      <c r="E453" s="195" t="s">
        <v>530</v>
      </c>
      <c r="F453" s="195" t="s">
        <v>529</v>
      </c>
      <c r="G453" s="195" t="s">
        <v>529</v>
      </c>
      <c r="H453" s="195" t="s">
        <v>529</v>
      </c>
      <c r="I453" s="195" t="s">
        <v>531</v>
      </c>
      <c r="J453" s="196"/>
      <c r="K453" s="196"/>
      <c r="L453" s="196"/>
      <c r="M453" s="196"/>
      <c r="N453" s="196"/>
      <c r="O453" s="196"/>
      <c r="P453" s="196"/>
      <c r="Q453" s="195" t="s">
        <v>530</v>
      </c>
      <c r="R453" s="195" t="s">
        <v>577</v>
      </c>
      <c r="S453" s="195" t="s">
        <v>530</v>
      </c>
      <c r="T453" s="195" t="s">
        <v>531</v>
      </c>
      <c r="U453" s="196"/>
      <c r="V453" s="196"/>
      <c r="W453" s="196"/>
      <c r="X453" s="196"/>
      <c r="Y453" s="196"/>
      <c r="Z453" s="196"/>
      <c r="AA453" s="196"/>
      <c r="AB453" s="196"/>
      <c r="AC453" s="196"/>
      <c r="AD453" s="196"/>
      <c r="AE453" s="196"/>
      <c r="AF453" s="196"/>
      <c r="AG453" s="195" t="s">
        <v>530</v>
      </c>
      <c r="AH453" s="195" t="s">
        <v>530</v>
      </c>
      <c r="AI453" s="195" t="s">
        <v>530</v>
      </c>
      <c r="AJ453" s="195" t="s">
        <v>530</v>
      </c>
      <c r="AK453" s="195" t="s">
        <v>530</v>
      </c>
      <c r="AL453" s="195" t="s">
        <v>577</v>
      </c>
      <c r="AM453" s="195" t="s">
        <v>531</v>
      </c>
      <c r="AN453" s="195" t="s">
        <v>531</v>
      </c>
      <c r="AO453" s="195" t="s">
        <v>531</v>
      </c>
      <c r="AP453" s="195" t="s">
        <v>531</v>
      </c>
      <c r="AQ453" s="195" t="s">
        <v>531</v>
      </c>
      <c r="AR453" s="196"/>
      <c r="AS453" s="196"/>
      <c r="AT453" s="196"/>
      <c r="AU453" s="196"/>
      <c r="AV453" s="196"/>
      <c r="AW453" s="196"/>
      <c r="AX453" s="196"/>
      <c r="AY453" s="196"/>
      <c r="AZ453" s="196"/>
      <c r="BA453" s="196"/>
    </row>
    <row r="454">
      <c r="A454" s="197"/>
      <c r="B454" s="198">
        <v>0.6838</v>
      </c>
      <c r="C454" s="198">
        <v>0.6154</v>
      </c>
      <c r="D454" s="198">
        <v>0.9431</v>
      </c>
      <c r="E454" s="198">
        <v>1.4832</v>
      </c>
      <c r="F454" s="198">
        <v>0.5683</v>
      </c>
      <c r="G454" s="198">
        <v>1.1366</v>
      </c>
      <c r="H454" s="198">
        <v>1.4208</v>
      </c>
      <c r="I454" s="199">
        <v>0.3</v>
      </c>
      <c r="J454" s="196"/>
      <c r="K454" s="196"/>
      <c r="L454" s="196"/>
      <c r="M454" s="196"/>
      <c r="N454" s="196"/>
      <c r="O454" s="196"/>
      <c r="P454" s="196"/>
      <c r="Q454" s="198">
        <v>0.044</v>
      </c>
      <c r="R454" s="201">
        <v>424.0</v>
      </c>
      <c r="S454" s="198">
        <v>1.0919</v>
      </c>
      <c r="T454" s="200">
        <v>0.045</v>
      </c>
      <c r="U454" s="196"/>
      <c r="V454" s="196"/>
      <c r="W454" s="196"/>
      <c r="X454" s="196"/>
      <c r="Y454" s="196"/>
      <c r="Z454" s="196"/>
      <c r="AA454" s="196"/>
      <c r="AB454" s="196"/>
      <c r="AC454" s="196"/>
      <c r="AD454" s="196"/>
      <c r="AE454" s="196"/>
      <c r="AF454" s="196"/>
      <c r="AG454" s="198">
        <v>0.1042</v>
      </c>
      <c r="AH454" s="198">
        <v>0.0484</v>
      </c>
      <c r="AI454" s="198">
        <v>0.0678</v>
      </c>
      <c r="AJ454" s="198">
        <v>0.071</v>
      </c>
      <c r="AK454" s="198">
        <v>0.0081</v>
      </c>
      <c r="AL454" s="198">
        <v>77.0</v>
      </c>
      <c r="AM454" s="199">
        <v>0.25</v>
      </c>
      <c r="AN454" s="199">
        <v>-1.0</v>
      </c>
      <c r="AO454" s="199">
        <v>0.15</v>
      </c>
      <c r="AP454" s="200">
        <v>0.006</v>
      </c>
      <c r="AQ454" s="199">
        <v>0.4</v>
      </c>
      <c r="AR454" s="196"/>
      <c r="AS454" s="196"/>
      <c r="AT454" s="196"/>
      <c r="AU454" s="196"/>
      <c r="AV454" s="196"/>
      <c r="AW454" s="196"/>
      <c r="AX454" s="196"/>
      <c r="AY454" s="196"/>
      <c r="AZ454" s="196"/>
      <c r="BA454" s="196"/>
    </row>
    <row r="455">
      <c r="A455" s="197"/>
      <c r="B455" s="201" t="s">
        <v>304</v>
      </c>
      <c r="C455" s="201" t="s">
        <v>304</v>
      </c>
      <c r="D455" s="201" t="s">
        <v>304</v>
      </c>
      <c r="E455" s="201" t="s">
        <v>304</v>
      </c>
      <c r="F455" s="201" t="s">
        <v>304</v>
      </c>
      <c r="G455" s="201" t="s">
        <v>304</v>
      </c>
      <c r="H455" s="201" t="s">
        <v>304</v>
      </c>
      <c r="I455" s="195" t="s">
        <v>303</v>
      </c>
      <c r="J455" s="196"/>
      <c r="K455" s="196"/>
      <c r="L455" s="196"/>
      <c r="M455" s="196"/>
      <c r="N455" s="196"/>
      <c r="O455" s="196"/>
      <c r="P455" s="196"/>
      <c r="Q455" s="201" t="s">
        <v>303</v>
      </c>
      <c r="R455" s="201" t="s">
        <v>390</v>
      </c>
      <c r="S455" s="201" t="s">
        <v>304</v>
      </c>
      <c r="T455" s="195" t="s">
        <v>303</v>
      </c>
      <c r="U455" s="196"/>
      <c r="V455" s="196"/>
      <c r="W455" s="196"/>
      <c r="X455" s="196"/>
      <c r="Y455" s="196"/>
      <c r="Z455" s="196"/>
      <c r="AA455" s="196"/>
      <c r="AB455" s="196"/>
      <c r="AC455" s="196"/>
      <c r="AD455" s="196"/>
      <c r="AE455" s="196"/>
      <c r="AF455" s="196"/>
      <c r="AG455" s="201" t="s">
        <v>303</v>
      </c>
      <c r="AH455" s="201" t="s">
        <v>303</v>
      </c>
      <c r="AI455" s="201" t="s">
        <v>303</v>
      </c>
      <c r="AJ455" s="201" t="s">
        <v>303</v>
      </c>
      <c r="AK455" s="201" t="s">
        <v>303</v>
      </c>
      <c r="AL455" s="201" t="s">
        <v>390</v>
      </c>
      <c r="AM455" s="196"/>
      <c r="AN455" s="196"/>
      <c r="AO455" s="196"/>
      <c r="AP455" s="195" t="s">
        <v>303</v>
      </c>
      <c r="AQ455" s="196"/>
      <c r="AR455" s="196"/>
      <c r="AS455" s="196"/>
      <c r="AT455" s="196"/>
      <c r="AU455" s="196"/>
      <c r="AV455" s="196"/>
      <c r="AW455" s="196"/>
      <c r="AX455" s="196"/>
      <c r="AY455" s="196"/>
      <c r="AZ455" s="196"/>
      <c r="BA455" s="196"/>
    </row>
    <row r="456">
      <c r="A456" s="197"/>
      <c r="B456" s="201" t="s">
        <v>147</v>
      </c>
      <c r="C456" s="201" t="s">
        <v>147</v>
      </c>
      <c r="D456" s="201" t="s">
        <v>147</v>
      </c>
      <c r="E456" s="201" t="s">
        <v>152</v>
      </c>
      <c r="F456" s="201" t="s">
        <v>157</v>
      </c>
      <c r="G456" s="201" t="s">
        <v>157</v>
      </c>
      <c r="H456" s="201" t="s">
        <v>157</v>
      </c>
      <c r="I456" s="196"/>
      <c r="J456" s="196"/>
      <c r="K456" s="196"/>
      <c r="L456" s="196"/>
      <c r="M456" s="196"/>
      <c r="N456" s="196"/>
      <c r="O456" s="196"/>
      <c r="P456" s="196"/>
      <c r="Q456" s="198"/>
      <c r="R456" s="201"/>
      <c r="S456" s="201" t="s">
        <v>160</v>
      </c>
      <c r="T456" s="196"/>
      <c r="U456" s="196"/>
      <c r="V456" s="196"/>
      <c r="W456" s="196"/>
      <c r="X456" s="196"/>
      <c r="Y456" s="196"/>
      <c r="Z456" s="196"/>
      <c r="AA456" s="196"/>
      <c r="AB456" s="196"/>
      <c r="AC456" s="196"/>
      <c r="AD456" s="196"/>
      <c r="AE456" s="196"/>
      <c r="AF456" s="196"/>
      <c r="AG456" s="201" t="s">
        <v>164</v>
      </c>
      <c r="AH456" s="201" t="s">
        <v>147</v>
      </c>
      <c r="AI456" s="201" t="s">
        <v>152</v>
      </c>
      <c r="AJ456" s="201" t="s">
        <v>160</v>
      </c>
      <c r="AK456" s="198"/>
      <c r="AL456" s="198"/>
      <c r="AM456" s="196"/>
      <c r="AN456" s="196"/>
      <c r="AO456" s="196"/>
      <c r="AP456" s="196"/>
      <c r="AQ456" s="196"/>
      <c r="AR456" s="196"/>
      <c r="AS456" s="196"/>
      <c r="AT456" s="196"/>
      <c r="AU456" s="196"/>
      <c r="AV456" s="196"/>
      <c r="AW456" s="196"/>
      <c r="AX456" s="196"/>
      <c r="AY456" s="196"/>
      <c r="AZ456" s="196"/>
      <c r="BA456" s="196"/>
    </row>
    <row r="457">
      <c r="A457" s="194" t="s">
        <v>11</v>
      </c>
      <c r="B457" s="195" t="s">
        <v>176</v>
      </c>
      <c r="C457" s="195" t="s">
        <v>177</v>
      </c>
      <c r="D457" s="195" t="s">
        <v>178</v>
      </c>
      <c r="E457" s="195" t="s">
        <v>179</v>
      </c>
      <c r="F457" s="195" t="s">
        <v>180</v>
      </c>
      <c r="G457" s="195" t="s">
        <v>181</v>
      </c>
      <c r="H457" s="195" t="s">
        <v>182</v>
      </c>
      <c r="I457" s="195" t="s">
        <v>183</v>
      </c>
      <c r="J457" s="196"/>
      <c r="K457" s="196"/>
      <c r="L457" s="196"/>
      <c r="M457" s="196"/>
      <c r="N457" s="196"/>
      <c r="O457" s="196"/>
      <c r="P457" s="196"/>
      <c r="Q457" s="195" t="s">
        <v>184</v>
      </c>
      <c r="R457" s="195" t="s">
        <v>185</v>
      </c>
      <c r="S457" s="195" t="s">
        <v>186</v>
      </c>
      <c r="T457" s="195" t="s">
        <v>187</v>
      </c>
      <c r="U457" s="195" t="s">
        <v>188</v>
      </c>
      <c r="V457" s="195" t="s">
        <v>189</v>
      </c>
      <c r="W457" s="196"/>
      <c r="X457" s="196"/>
      <c r="Y457" s="196"/>
      <c r="Z457" s="196"/>
      <c r="AA457" s="196"/>
      <c r="AB457" s="196"/>
      <c r="AC457" s="196"/>
      <c r="AD457" s="196"/>
      <c r="AE457" s="196"/>
      <c r="AF457" s="196"/>
      <c r="AG457" s="195" t="s">
        <v>190</v>
      </c>
      <c r="AH457" s="195" t="s">
        <v>191</v>
      </c>
      <c r="AI457" s="195" t="s">
        <v>192</v>
      </c>
      <c r="AJ457" s="196"/>
      <c r="AK457" s="196"/>
      <c r="AL457" s="196"/>
      <c r="AM457" s="196"/>
      <c r="AN457" s="196"/>
      <c r="AO457" s="196"/>
      <c r="AP457" s="196"/>
      <c r="AQ457" s="196"/>
      <c r="AR457" s="196"/>
      <c r="AS457" s="196"/>
      <c r="AT457" s="196"/>
      <c r="AU457" s="196"/>
      <c r="AV457" s="196"/>
      <c r="AW457" s="196"/>
      <c r="AX457" s="196"/>
      <c r="AY457" s="196"/>
      <c r="AZ457" s="196"/>
      <c r="BA457" s="196"/>
      <c r="BB457" s="196"/>
      <c r="BC457" s="196"/>
      <c r="BD457" s="196"/>
      <c r="BE457" s="196"/>
      <c r="BF457" s="196"/>
    </row>
    <row r="458">
      <c r="A458" s="197"/>
      <c r="B458" s="195" t="s">
        <v>601</v>
      </c>
      <c r="C458" s="195" t="s">
        <v>601</v>
      </c>
      <c r="D458" s="195" t="s">
        <v>601</v>
      </c>
      <c r="E458" s="195" t="s">
        <v>601</v>
      </c>
      <c r="F458" s="195" t="s">
        <v>601</v>
      </c>
      <c r="G458" s="195" t="s">
        <v>529</v>
      </c>
      <c r="H458" s="195" t="s">
        <v>529</v>
      </c>
      <c r="I458" s="195" t="s">
        <v>529</v>
      </c>
      <c r="J458" s="196"/>
      <c r="K458" s="196"/>
      <c r="L458" s="196"/>
      <c r="M458" s="196"/>
      <c r="N458" s="196"/>
      <c r="O458" s="196"/>
      <c r="P458" s="196"/>
      <c r="Q458" s="195" t="s">
        <v>530</v>
      </c>
      <c r="R458" s="195" t="s">
        <v>530</v>
      </c>
      <c r="S458" s="195" t="s">
        <v>530</v>
      </c>
      <c r="T458" s="195" t="s">
        <v>530</v>
      </c>
      <c r="U458" s="195" t="s">
        <v>530</v>
      </c>
      <c r="V458" s="195" t="s">
        <v>531</v>
      </c>
      <c r="W458" s="196"/>
      <c r="X458" s="196"/>
      <c r="Y458" s="196"/>
      <c r="Z458" s="196"/>
      <c r="AA458" s="196"/>
      <c r="AB458" s="196"/>
      <c r="AC458" s="196"/>
      <c r="AD458" s="196"/>
      <c r="AE458" s="196"/>
      <c r="AF458" s="196"/>
      <c r="AG458" s="195" t="s">
        <v>531</v>
      </c>
      <c r="AH458" s="195" t="s">
        <v>530</v>
      </c>
      <c r="AI458" s="195" t="s">
        <v>531</v>
      </c>
      <c r="AJ458" s="196"/>
      <c r="AK458" s="196"/>
      <c r="AL458" s="196"/>
      <c r="AM458" s="196"/>
      <c r="AN458" s="196"/>
      <c r="AO458" s="196"/>
      <c r="AP458" s="196"/>
      <c r="AQ458" s="196"/>
      <c r="AR458" s="196"/>
      <c r="AS458" s="196"/>
      <c r="AT458" s="196"/>
      <c r="AU458" s="196"/>
      <c r="AV458" s="196"/>
      <c r="AW458" s="196"/>
      <c r="AX458" s="196"/>
      <c r="AY458" s="196"/>
      <c r="AZ458" s="196"/>
      <c r="BA458" s="196"/>
      <c r="BB458" s="196"/>
      <c r="BC458" s="196"/>
      <c r="BD458" s="196"/>
      <c r="BE458" s="196"/>
      <c r="BF458" s="196"/>
    </row>
    <row r="459">
      <c r="A459" s="197"/>
      <c r="B459" s="198">
        <v>0.396</v>
      </c>
      <c r="C459" s="198">
        <v>0.3592</v>
      </c>
      <c r="D459" s="198">
        <v>0.428</v>
      </c>
      <c r="E459" s="198">
        <v>0.5496</v>
      </c>
      <c r="F459" s="198">
        <v>1.7712</v>
      </c>
      <c r="G459" s="198">
        <v>0.5683</v>
      </c>
      <c r="H459" s="198">
        <v>1.1366</v>
      </c>
      <c r="I459" s="198">
        <v>1.4208</v>
      </c>
      <c r="J459" s="196"/>
      <c r="K459" s="196"/>
      <c r="L459" s="196"/>
      <c r="M459" s="196"/>
      <c r="N459" s="196"/>
      <c r="O459" s="196"/>
      <c r="P459" s="196"/>
      <c r="Q459" s="198">
        <v>0.8</v>
      </c>
      <c r="R459" s="198">
        <v>3.2</v>
      </c>
      <c r="S459" s="198">
        <v>3.68</v>
      </c>
      <c r="T459" s="198">
        <v>4.24</v>
      </c>
      <c r="U459" s="198">
        <v>4.872</v>
      </c>
      <c r="V459" s="199">
        <v>0.25</v>
      </c>
      <c r="W459" s="196"/>
      <c r="X459" s="196"/>
      <c r="Y459" s="196"/>
      <c r="Z459" s="196"/>
      <c r="AA459" s="196"/>
      <c r="AB459" s="196"/>
      <c r="AC459" s="196"/>
      <c r="AD459" s="196"/>
      <c r="AE459" s="196"/>
      <c r="AF459" s="196"/>
      <c r="AG459" s="198">
        <v>0.1</v>
      </c>
      <c r="AH459" s="198">
        <v>0.3656</v>
      </c>
      <c r="AI459" s="199">
        <v>-0.15</v>
      </c>
      <c r="AJ459" s="196"/>
      <c r="AK459" s="196"/>
      <c r="AL459" s="196"/>
      <c r="AM459" s="196"/>
      <c r="AN459" s="196"/>
      <c r="AO459" s="196"/>
      <c r="AP459" s="196"/>
      <c r="AQ459" s="196"/>
      <c r="AR459" s="196"/>
      <c r="AS459" s="196"/>
      <c r="AT459" s="196"/>
      <c r="AU459" s="196"/>
      <c r="AV459" s="196"/>
      <c r="AW459" s="196"/>
      <c r="AX459" s="196"/>
      <c r="AY459" s="196"/>
      <c r="AZ459" s="196"/>
      <c r="BA459" s="196"/>
      <c r="BB459" s="196"/>
      <c r="BC459" s="196"/>
      <c r="BD459" s="196"/>
      <c r="BE459" s="196"/>
      <c r="BF459" s="196"/>
    </row>
    <row r="460">
      <c r="A460" s="197"/>
      <c r="B460" s="201" t="s">
        <v>304</v>
      </c>
      <c r="C460" s="201" t="s">
        <v>304</v>
      </c>
      <c r="D460" s="201" t="s">
        <v>304</v>
      </c>
      <c r="E460" s="201" t="s">
        <v>304</v>
      </c>
      <c r="F460" s="201" t="s">
        <v>304</v>
      </c>
      <c r="G460" s="201" t="s">
        <v>304</v>
      </c>
      <c r="H460" s="201" t="s">
        <v>304</v>
      </c>
      <c r="I460" s="201" t="s">
        <v>304</v>
      </c>
      <c r="J460" s="196"/>
      <c r="K460" s="196"/>
      <c r="L460" s="196"/>
      <c r="M460" s="196"/>
      <c r="N460" s="196"/>
      <c r="O460" s="196"/>
      <c r="P460" s="196"/>
      <c r="Q460" s="201" t="s">
        <v>304</v>
      </c>
      <c r="R460" s="201" t="s">
        <v>304</v>
      </c>
      <c r="S460" s="201" t="s">
        <v>304</v>
      </c>
      <c r="T460" s="201" t="s">
        <v>304</v>
      </c>
      <c r="U460" s="201" t="s">
        <v>304</v>
      </c>
      <c r="V460" s="196"/>
      <c r="W460" s="196"/>
      <c r="X460" s="196"/>
      <c r="Y460" s="196"/>
      <c r="Z460" s="196"/>
      <c r="AA460" s="196"/>
      <c r="AB460" s="196"/>
      <c r="AC460" s="196"/>
      <c r="AD460" s="196"/>
      <c r="AE460" s="196"/>
      <c r="AF460" s="196"/>
      <c r="AG460" s="201" t="s">
        <v>304</v>
      </c>
      <c r="AH460" s="201" t="s">
        <v>304</v>
      </c>
      <c r="AI460" s="196"/>
      <c r="AJ460" s="196"/>
      <c r="AK460" s="196"/>
      <c r="AL460" s="196"/>
      <c r="AM460" s="196"/>
      <c r="AN460" s="196"/>
      <c r="AO460" s="196"/>
      <c r="AP460" s="196"/>
      <c r="AQ460" s="196"/>
      <c r="AR460" s="196"/>
      <c r="AS460" s="196"/>
      <c r="AT460" s="196"/>
      <c r="AU460" s="196"/>
      <c r="AV460" s="196"/>
      <c r="AW460" s="196"/>
      <c r="AX460" s="196"/>
      <c r="AY460" s="196"/>
      <c r="AZ460" s="196"/>
      <c r="BA460" s="196"/>
      <c r="BB460" s="196"/>
      <c r="BC460" s="196"/>
      <c r="BD460" s="196"/>
      <c r="BE460" s="196"/>
      <c r="BF460" s="196"/>
    </row>
    <row r="461">
      <c r="A461" s="197"/>
      <c r="B461" s="201" t="s">
        <v>147</v>
      </c>
      <c r="C461" s="201" t="s">
        <v>147</v>
      </c>
      <c r="D461" s="201" t="s">
        <v>147</v>
      </c>
      <c r="E461" s="201" t="s">
        <v>147</v>
      </c>
      <c r="F461" s="201" t="s">
        <v>152</v>
      </c>
      <c r="G461" s="201" t="s">
        <v>157</v>
      </c>
      <c r="H461" s="201" t="s">
        <v>157</v>
      </c>
      <c r="I461" s="201" t="s">
        <v>157</v>
      </c>
      <c r="J461" s="196"/>
      <c r="K461" s="196"/>
      <c r="L461" s="196"/>
      <c r="M461" s="196"/>
      <c r="N461" s="196"/>
      <c r="O461" s="196"/>
      <c r="P461" s="196"/>
      <c r="Q461" s="201" t="s">
        <v>160</v>
      </c>
      <c r="R461" s="201" t="s">
        <v>160</v>
      </c>
      <c r="S461" s="201" t="s">
        <v>160</v>
      </c>
      <c r="T461" s="201" t="s">
        <v>160</v>
      </c>
      <c r="U461" s="201" t="s">
        <v>160</v>
      </c>
      <c r="V461" s="196"/>
      <c r="W461" s="196"/>
      <c r="X461" s="196"/>
      <c r="Y461" s="196"/>
      <c r="Z461" s="196"/>
      <c r="AA461" s="196"/>
      <c r="AB461" s="196"/>
      <c r="AC461" s="196"/>
      <c r="AD461" s="196"/>
      <c r="AE461" s="196"/>
      <c r="AF461" s="196"/>
      <c r="AG461" s="201" t="s">
        <v>164</v>
      </c>
      <c r="AH461" s="201" t="s">
        <v>164</v>
      </c>
      <c r="AI461" s="196"/>
      <c r="AJ461" s="196"/>
      <c r="AK461" s="196"/>
      <c r="AL461" s="196"/>
      <c r="AM461" s="196"/>
      <c r="AN461" s="196"/>
      <c r="AO461" s="196"/>
      <c r="AP461" s="196"/>
      <c r="AQ461" s="196"/>
      <c r="AR461" s="196"/>
      <c r="AS461" s="196"/>
      <c r="AT461" s="196"/>
      <c r="AU461" s="196"/>
      <c r="AV461" s="196"/>
      <c r="AW461" s="196"/>
      <c r="AX461" s="196"/>
      <c r="AY461" s="196"/>
      <c r="AZ461" s="196"/>
      <c r="BA461" s="196"/>
      <c r="BB461" s="196"/>
      <c r="BC461" s="196"/>
      <c r="BD461" s="196"/>
      <c r="BE461" s="196"/>
      <c r="BF461" s="196"/>
    </row>
    <row r="462">
      <c r="A462" s="194" t="s">
        <v>332</v>
      </c>
      <c r="B462" s="195" t="s">
        <v>176</v>
      </c>
      <c r="C462" s="195" t="s">
        <v>177</v>
      </c>
      <c r="D462" s="195" t="s">
        <v>178</v>
      </c>
      <c r="E462" s="195" t="s">
        <v>179</v>
      </c>
      <c r="F462" s="195" t="s">
        <v>180</v>
      </c>
      <c r="G462" s="195" t="s">
        <v>181</v>
      </c>
      <c r="H462" s="195" t="s">
        <v>182</v>
      </c>
      <c r="I462" s="195" t="s">
        <v>183</v>
      </c>
      <c r="J462" s="195" t="s">
        <v>253</v>
      </c>
      <c r="K462" s="196"/>
      <c r="L462" s="196"/>
      <c r="M462" s="196"/>
      <c r="N462" s="196"/>
      <c r="O462" s="196"/>
      <c r="P462" s="196"/>
      <c r="Q462" s="195" t="s">
        <v>276</v>
      </c>
      <c r="R462" s="195" t="s">
        <v>292</v>
      </c>
      <c r="S462" s="195" t="s">
        <v>274</v>
      </c>
      <c r="T462" s="196"/>
      <c r="U462" s="196"/>
      <c r="V462" s="196"/>
      <c r="W462" s="196"/>
      <c r="X462" s="196"/>
      <c r="Y462" s="196"/>
      <c r="Z462" s="196"/>
      <c r="AA462" s="196"/>
      <c r="AB462" s="196"/>
      <c r="AC462" s="196"/>
      <c r="AD462" s="196"/>
      <c r="AE462" s="196"/>
      <c r="AF462" s="196"/>
      <c r="AG462" s="195" t="s">
        <v>662</v>
      </c>
      <c r="AH462" s="195" t="s">
        <v>663</v>
      </c>
      <c r="AI462" s="195" t="s">
        <v>192</v>
      </c>
      <c r="AJ462" s="195" t="s">
        <v>248</v>
      </c>
      <c r="AK462" s="195" t="s">
        <v>293</v>
      </c>
      <c r="AL462" s="196"/>
      <c r="AM462" s="196"/>
      <c r="AN462" s="196"/>
      <c r="AO462" s="196"/>
      <c r="AP462" s="196"/>
      <c r="AQ462" s="196"/>
      <c r="AR462" s="196"/>
      <c r="AS462" s="196"/>
      <c r="AT462" s="196"/>
      <c r="AU462" s="196"/>
      <c r="AV462" s="196"/>
      <c r="AW462" s="196"/>
      <c r="AX462" s="196"/>
      <c r="AY462" s="196"/>
      <c r="AZ462" s="196"/>
      <c r="BA462" s="196"/>
      <c r="BB462" s="196"/>
      <c r="BC462" s="196"/>
      <c r="BD462" s="196"/>
      <c r="BE462" s="196"/>
      <c r="BF462" s="196"/>
    </row>
    <row r="463">
      <c r="A463" s="197"/>
      <c r="B463" s="195" t="s">
        <v>530</v>
      </c>
      <c r="C463" s="195" t="s">
        <v>530</v>
      </c>
      <c r="D463" s="195" t="s">
        <v>530</v>
      </c>
      <c r="E463" s="195" t="s">
        <v>530</v>
      </c>
      <c r="F463" s="195" t="s">
        <v>601</v>
      </c>
      <c r="G463" s="195" t="s">
        <v>529</v>
      </c>
      <c r="H463" s="195" t="s">
        <v>529</v>
      </c>
      <c r="I463" s="195" t="s">
        <v>529</v>
      </c>
      <c r="J463" s="195" t="s">
        <v>531</v>
      </c>
      <c r="K463" s="196"/>
      <c r="L463" s="196"/>
      <c r="M463" s="196"/>
      <c r="N463" s="196"/>
      <c r="O463" s="196"/>
      <c r="P463" s="196"/>
      <c r="Q463" s="195" t="s">
        <v>530</v>
      </c>
      <c r="R463" s="195" t="s">
        <v>530</v>
      </c>
      <c r="S463" s="195" t="s">
        <v>531</v>
      </c>
      <c r="T463" s="196"/>
      <c r="U463" s="196"/>
      <c r="V463" s="196"/>
      <c r="W463" s="196"/>
      <c r="X463" s="196"/>
      <c r="Y463" s="196"/>
      <c r="Z463" s="196"/>
      <c r="AA463" s="196"/>
      <c r="AB463" s="196"/>
      <c r="AC463" s="196"/>
      <c r="AD463" s="196"/>
      <c r="AE463" s="196"/>
      <c r="AF463" s="196"/>
      <c r="AG463" s="195" t="s">
        <v>530</v>
      </c>
      <c r="AH463" s="195" t="s">
        <v>664</v>
      </c>
      <c r="AI463" s="195" t="s">
        <v>531</v>
      </c>
      <c r="AJ463" s="195" t="s">
        <v>531</v>
      </c>
      <c r="AK463" s="195" t="s">
        <v>531</v>
      </c>
      <c r="AL463" s="196"/>
      <c r="AM463" s="196"/>
      <c r="AN463" s="196"/>
      <c r="AO463" s="196"/>
      <c r="AP463" s="196"/>
      <c r="AQ463" s="196"/>
      <c r="AR463" s="196"/>
      <c r="AS463" s="196"/>
      <c r="AT463" s="196"/>
      <c r="AU463" s="196"/>
      <c r="AV463" s="196"/>
      <c r="AW463" s="196"/>
      <c r="AX463" s="196"/>
      <c r="AY463" s="196"/>
      <c r="AZ463" s="196"/>
      <c r="BA463" s="196"/>
      <c r="BB463" s="196"/>
      <c r="BC463" s="196"/>
      <c r="BD463" s="196"/>
      <c r="BE463" s="196"/>
      <c r="BF463" s="196"/>
    </row>
    <row r="464">
      <c r="A464" s="197"/>
      <c r="B464" s="198">
        <v>0.376</v>
      </c>
      <c r="C464" s="198">
        <v>0.36</v>
      </c>
      <c r="D464" s="198">
        <v>0.448</v>
      </c>
      <c r="E464" s="198">
        <v>0.5616</v>
      </c>
      <c r="F464" s="198">
        <v>1.4972</v>
      </c>
      <c r="G464" s="198">
        <v>0.5683</v>
      </c>
      <c r="H464" s="198">
        <v>1.1366</v>
      </c>
      <c r="I464" s="198">
        <v>1.4208</v>
      </c>
      <c r="J464" s="199">
        <v>0.6</v>
      </c>
      <c r="K464" s="196"/>
      <c r="L464" s="196"/>
      <c r="M464" s="196"/>
      <c r="N464" s="196"/>
      <c r="O464" s="196"/>
      <c r="P464" s="196"/>
      <c r="Q464" s="198">
        <v>0.32</v>
      </c>
      <c r="R464" s="198">
        <v>1.328</v>
      </c>
      <c r="S464" s="199">
        <v>0.5</v>
      </c>
      <c r="T464" s="196"/>
      <c r="U464" s="196"/>
      <c r="V464" s="196"/>
      <c r="W464" s="196"/>
      <c r="X464" s="196"/>
      <c r="Y464" s="196"/>
      <c r="Z464" s="196"/>
      <c r="AA464" s="196"/>
      <c r="AB464" s="196"/>
      <c r="AC464" s="196"/>
      <c r="AD464" s="196"/>
      <c r="AE464" s="196"/>
      <c r="AF464" s="196"/>
      <c r="AG464" s="198">
        <v>4.424</v>
      </c>
      <c r="AH464" s="198">
        <v>0.42</v>
      </c>
      <c r="AI464" s="199">
        <v>0.2</v>
      </c>
      <c r="AJ464" s="199">
        <v>0.15</v>
      </c>
      <c r="AK464" s="199">
        <v>0.15</v>
      </c>
      <c r="AL464" s="196"/>
      <c r="AM464" s="196"/>
      <c r="AN464" s="196"/>
      <c r="AO464" s="196"/>
      <c r="AP464" s="196"/>
      <c r="AQ464" s="196"/>
      <c r="AR464" s="196"/>
      <c r="AS464" s="196"/>
      <c r="AT464" s="196"/>
      <c r="AU464" s="196"/>
      <c r="AV464" s="196"/>
      <c r="AW464" s="196"/>
      <c r="AX464" s="196"/>
      <c r="AY464" s="196"/>
      <c r="AZ464" s="196"/>
      <c r="BA464" s="196"/>
      <c r="BB464" s="196"/>
      <c r="BC464" s="196"/>
      <c r="BD464" s="196"/>
      <c r="BE464" s="196"/>
      <c r="BF464" s="196"/>
    </row>
    <row r="465">
      <c r="A465" s="197"/>
      <c r="B465" s="201" t="s">
        <v>304</v>
      </c>
      <c r="C465" s="201" t="s">
        <v>304</v>
      </c>
      <c r="D465" s="201" t="s">
        <v>304</v>
      </c>
      <c r="E465" s="201" t="s">
        <v>304</v>
      </c>
      <c r="F465" s="201" t="s">
        <v>304</v>
      </c>
      <c r="G465" s="201" t="s">
        <v>304</v>
      </c>
      <c r="H465" s="201" t="s">
        <v>304</v>
      </c>
      <c r="I465" s="201" t="s">
        <v>304</v>
      </c>
      <c r="J465" s="196"/>
      <c r="K465" s="196"/>
      <c r="L465" s="196"/>
      <c r="M465" s="196"/>
      <c r="N465" s="196"/>
      <c r="O465" s="196"/>
      <c r="P465" s="196"/>
      <c r="Q465" s="201" t="s">
        <v>304</v>
      </c>
      <c r="R465" s="201" t="s">
        <v>304</v>
      </c>
      <c r="S465" s="196"/>
      <c r="T465" s="196"/>
      <c r="U465" s="196"/>
      <c r="V465" s="196"/>
      <c r="W465" s="196"/>
      <c r="X465" s="196"/>
      <c r="Y465" s="196"/>
      <c r="Z465" s="196"/>
      <c r="AA465" s="196"/>
      <c r="AB465" s="196"/>
      <c r="AC465" s="196"/>
      <c r="AD465" s="196"/>
      <c r="AE465" s="196"/>
      <c r="AF465" s="196"/>
      <c r="AG465" s="201" t="s">
        <v>304</v>
      </c>
      <c r="AH465" s="201" t="s">
        <v>390</v>
      </c>
      <c r="AI465" s="196"/>
      <c r="AJ465" s="196"/>
      <c r="AK465" s="196"/>
      <c r="AL465" s="196"/>
      <c r="AM465" s="196"/>
      <c r="AN465" s="196"/>
      <c r="AO465" s="196"/>
      <c r="AP465" s="196"/>
      <c r="AQ465" s="196"/>
      <c r="AR465" s="196"/>
      <c r="AS465" s="196"/>
      <c r="AT465" s="196"/>
      <c r="AU465" s="196"/>
      <c r="AV465" s="196"/>
      <c r="AW465" s="196"/>
      <c r="AX465" s="196"/>
      <c r="AY465" s="196"/>
      <c r="AZ465" s="196"/>
      <c r="BA465" s="196"/>
      <c r="BB465" s="196"/>
      <c r="BC465" s="196"/>
      <c r="BD465" s="196"/>
      <c r="BE465" s="196"/>
      <c r="BF465" s="196"/>
    </row>
    <row r="466">
      <c r="A466" s="197"/>
      <c r="B466" s="201" t="s">
        <v>147</v>
      </c>
      <c r="C466" s="201" t="s">
        <v>147</v>
      </c>
      <c r="D466" s="201" t="s">
        <v>147</v>
      </c>
      <c r="E466" s="201" t="s">
        <v>147</v>
      </c>
      <c r="F466" s="201" t="s">
        <v>152</v>
      </c>
      <c r="G466" s="201" t="s">
        <v>157</v>
      </c>
      <c r="H466" s="201" t="s">
        <v>157</v>
      </c>
      <c r="I466" s="201" t="s">
        <v>157</v>
      </c>
      <c r="J466" s="196"/>
      <c r="K466" s="196"/>
      <c r="L466" s="196"/>
      <c r="M466" s="196"/>
      <c r="N466" s="196"/>
      <c r="O466" s="196"/>
      <c r="P466" s="196"/>
      <c r="Q466" s="201" t="s">
        <v>160</v>
      </c>
      <c r="R466" s="201" t="s">
        <v>160</v>
      </c>
      <c r="S466" s="196"/>
      <c r="T466" s="196"/>
      <c r="U466" s="196"/>
      <c r="V466" s="196"/>
      <c r="W466" s="196"/>
      <c r="X466" s="196"/>
      <c r="Y466" s="196"/>
      <c r="Z466" s="196"/>
      <c r="AA466" s="196"/>
      <c r="AB466" s="196"/>
      <c r="AC466" s="196"/>
      <c r="AD466" s="196"/>
      <c r="AE466" s="196"/>
      <c r="AF466" s="196"/>
      <c r="AG466" s="201" t="s">
        <v>164</v>
      </c>
      <c r="AH466" s="198"/>
      <c r="AI466" s="196"/>
      <c r="AJ466" s="196"/>
      <c r="AK466" s="196"/>
      <c r="AL466" s="196"/>
      <c r="AM466" s="196"/>
      <c r="AN466" s="196"/>
      <c r="AO466" s="196"/>
      <c r="AP466" s="196"/>
      <c r="AQ466" s="196"/>
      <c r="AR466" s="196"/>
      <c r="AS466" s="196"/>
      <c r="AT466" s="196"/>
      <c r="AU466" s="196"/>
      <c r="AV466" s="196"/>
      <c r="AW466" s="196"/>
      <c r="AX466" s="196"/>
      <c r="AY466" s="196"/>
      <c r="AZ466" s="196"/>
      <c r="BA466" s="196"/>
      <c r="BB466" s="196"/>
      <c r="BC466" s="196"/>
      <c r="BD466" s="196"/>
      <c r="BE466" s="196"/>
      <c r="BF466" s="196"/>
    </row>
    <row r="467">
      <c r="A467" s="194" t="s">
        <v>333</v>
      </c>
      <c r="B467" s="195" t="s">
        <v>665</v>
      </c>
      <c r="C467" s="195" t="s">
        <v>180</v>
      </c>
      <c r="D467" s="195" t="s">
        <v>666</v>
      </c>
      <c r="E467" s="195" t="s">
        <v>181</v>
      </c>
      <c r="F467" s="195" t="s">
        <v>182</v>
      </c>
      <c r="G467" s="195" t="s">
        <v>183</v>
      </c>
      <c r="H467" s="196"/>
      <c r="I467" s="196"/>
      <c r="J467" s="196"/>
      <c r="K467" s="196"/>
      <c r="L467" s="196"/>
      <c r="M467" s="196"/>
      <c r="N467" s="196"/>
      <c r="O467" s="196"/>
      <c r="P467" s="196"/>
      <c r="Q467" s="195" t="s">
        <v>545</v>
      </c>
      <c r="R467" s="195" t="s">
        <v>294</v>
      </c>
      <c r="S467" s="195" t="s">
        <v>192</v>
      </c>
      <c r="T467" s="196"/>
      <c r="U467" s="196"/>
      <c r="V467" s="196"/>
      <c r="W467" s="196"/>
      <c r="X467" s="196"/>
      <c r="Y467" s="196"/>
      <c r="Z467" s="196"/>
      <c r="AA467" s="196"/>
      <c r="AB467" s="196"/>
      <c r="AC467" s="196"/>
      <c r="AD467" s="196"/>
      <c r="AE467" s="196"/>
      <c r="AF467" s="196"/>
      <c r="AG467" s="195" t="s">
        <v>667</v>
      </c>
      <c r="AH467" s="196"/>
      <c r="AI467" s="196"/>
      <c r="AJ467" s="196"/>
      <c r="AK467" s="196"/>
      <c r="AL467" s="196"/>
      <c r="AM467" s="196"/>
      <c r="AN467" s="196"/>
      <c r="AO467" s="196"/>
      <c r="AP467" s="196"/>
      <c r="AQ467" s="196"/>
      <c r="AR467" s="196"/>
      <c r="AS467" s="196"/>
      <c r="AT467" s="196"/>
      <c r="AU467" s="196"/>
      <c r="AV467" s="196"/>
      <c r="AW467" s="196"/>
      <c r="AX467" s="196"/>
      <c r="AY467" s="196"/>
      <c r="AZ467" s="196"/>
      <c r="BA467" s="196"/>
      <c r="BB467" s="196"/>
      <c r="BC467" s="196"/>
      <c r="BD467" s="196"/>
      <c r="BE467" s="196"/>
      <c r="BF467" s="196"/>
    </row>
    <row r="468">
      <c r="A468" s="197"/>
      <c r="B468" s="195" t="s">
        <v>601</v>
      </c>
      <c r="C468" s="195" t="s">
        <v>601</v>
      </c>
      <c r="D468" s="195" t="s">
        <v>601</v>
      </c>
      <c r="E468" s="195" t="s">
        <v>529</v>
      </c>
      <c r="F468" s="195" t="s">
        <v>529</v>
      </c>
      <c r="G468" s="195" t="s">
        <v>529</v>
      </c>
      <c r="H468" s="196"/>
      <c r="I468" s="196"/>
      <c r="J468" s="196"/>
      <c r="K468" s="196"/>
      <c r="L468" s="196"/>
      <c r="M468" s="196"/>
      <c r="N468" s="196"/>
      <c r="O468" s="196"/>
      <c r="P468" s="196"/>
      <c r="Q468" s="195" t="s">
        <v>530</v>
      </c>
      <c r="R468" s="195" t="s">
        <v>530</v>
      </c>
      <c r="S468" s="195" t="s">
        <v>531</v>
      </c>
      <c r="T468" s="196"/>
      <c r="U468" s="196"/>
      <c r="V468" s="196"/>
      <c r="W468" s="196"/>
      <c r="X468" s="196"/>
      <c r="Y468" s="196"/>
      <c r="Z468" s="196"/>
      <c r="AA468" s="196"/>
      <c r="AB468" s="196"/>
      <c r="AC468" s="196"/>
      <c r="AD468" s="196"/>
      <c r="AE468" s="196"/>
      <c r="AF468" s="196"/>
      <c r="AG468" s="195" t="s">
        <v>530</v>
      </c>
      <c r="AH468" s="196"/>
      <c r="AI468" s="196"/>
      <c r="AJ468" s="196"/>
      <c r="AK468" s="196"/>
      <c r="AL468" s="196"/>
      <c r="AM468" s="196"/>
      <c r="AN468" s="196"/>
      <c r="AO468" s="196"/>
      <c r="AP468" s="196"/>
      <c r="AQ468" s="196"/>
      <c r="AR468" s="196"/>
      <c r="AS468" s="196"/>
      <c r="AT468" s="196"/>
      <c r="AU468" s="196"/>
      <c r="AV468" s="196"/>
      <c r="AW468" s="196"/>
      <c r="AX468" s="196"/>
      <c r="AY468" s="196"/>
      <c r="AZ468" s="196"/>
      <c r="BA468" s="196"/>
      <c r="BB468" s="196"/>
      <c r="BC468" s="196"/>
      <c r="BD468" s="196"/>
      <c r="BE468" s="196"/>
      <c r="BF468" s="196"/>
    </row>
    <row r="469">
      <c r="A469" s="197"/>
      <c r="B469" s="198">
        <v>0.28</v>
      </c>
      <c r="C469" s="198">
        <v>1.7408</v>
      </c>
      <c r="D469" s="198">
        <v>0.496</v>
      </c>
      <c r="E469" s="198">
        <v>0.5683</v>
      </c>
      <c r="F469" s="198">
        <v>1.1366</v>
      </c>
      <c r="G469" s="198">
        <v>1.4208</v>
      </c>
      <c r="H469" s="196"/>
      <c r="I469" s="196"/>
      <c r="J469" s="196"/>
      <c r="K469" s="196"/>
      <c r="L469" s="196"/>
      <c r="M469" s="196"/>
      <c r="N469" s="196"/>
      <c r="O469" s="196"/>
      <c r="P469" s="196"/>
      <c r="Q469" s="198">
        <v>0.501</v>
      </c>
      <c r="R469" s="198">
        <v>2.304</v>
      </c>
      <c r="S469" s="199">
        <v>0.12</v>
      </c>
      <c r="T469" s="196"/>
      <c r="U469" s="196"/>
      <c r="V469" s="196"/>
      <c r="W469" s="196"/>
      <c r="X469" s="196"/>
      <c r="Y469" s="196"/>
      <c r="Z469" s="196"/>
      <c r="AA469" s="196"/>
      <c r="AB469" s="196"/>
      <c r="AC469" s="196"/>
      <c r="AD469" s="196"/>
      <c r="AE469" s="196"/>
      <c r="AF469" s="196"/>
      <c r="AG469" s="198">
        <v>0.8696</v>
      </c>
      <c r="AH469" s="196"/>
      <c r="AI469" s="196"/>
      <c r="AJ469" s="196"/>
      <c r="AK469" s="196"/>
      <c r="AL469" s="196"/>
      <c r="AM469" s="196"/>
      <c r="AN469" s="196"/>
      <c r="AO469" s="196"/>
      <c r="AP469" s="196"/>
      <c r="AQ469" s="196"/>
      <c r="AR469" s="196"/>
      <c r="AS469" s="196"/>
      <c r="AT469" s="196"/>
      <c r="AU469" s="196"/>
      <c r="AV469" s="196"/>
      <c r="AW469" s="196"/>
      <c r="AX469" s="196"/>
      <c r="AY469" s="196"/>
      <c r="AZ469" s="196"/>
      <c r="BA469" s="196"/>
      <c r="BB469" s="196"/>
      <c r="BC469" s="196"/>
      <c r="BD469" s="196"/>
      <c r="BE469" s="196"/>
      <c r="BF469" s="196"/>
    </row>
    <row r="470">
      <c r="A470" s="197"/>
      <c r="B470" s="201" t="s">
        <v>304</v>
      </c>
      <c r="C470" s="201" t="s">
        <v>304</v>
      </c>
      <c r="D470" s="201" t="s">
        <v>304</v>
      </c>
      <c r="E470" s="201" t="s">
        <v>304</v>
      </c>
      <c r="F470" s="201" t="s">
        <v>304</v>
      </c>
      <c r="G470" s="201" t="s">
        <v>304</v>
      </c>
      <c r="H470" s="196"/>
      <c r="I470" s="196"/>
      <c r="J470" s="196"/>
      <c r="K470" s="196"/>
      <c r="L470" s="196"/>
      <c r="M470" s="196"/>
      <c r="N470" s="196"/>
      <c r="O470" s="196"/>
      <c r="P470" s="196"/>
      <c r="Q470" s="201" t="s">
        <v>303</v>
      </c>
      <c r="R470" s="201" t="s">
        <v>304</v>
      </c>
      <c r="S470" s="196"/>
      <c r="T470" s="196"/>
      <c r="U470" s="196"/>
      <c r="V470" s="196"/>
      <c r="W470" s="196"/>
      <c r="X470" s="196"/>
      <c r="Y470" s="196"/>
      <c r="Z470" s="196"/>
      <c r="AA470" s="196"/>
      <c r="AB470" s="196"/>
      <c r="AC470" s="196"/>
      <c r="AD470" s="196"/>
      <c r="AE470" s="196"/>
      <c r="AF470" s="196"/>
      <c r="AG470" s="201" t="s">
        <v>304</v>
      </c>
      <c r="AH470" s="196"/>
      <c r="AI470" s="196"/>
      <c r="AJ470" s="196"/>
      <c r="AK470" s="196"/>
      <c r="AL470" s="196"/>
      <c r="AM470" s="196"/>
      <c r="AN470" s="196"/>
      <c r="AO470" s="196"/>
      <c r="AP470" s="196"/>
      <c r="AQ470" s="196"/>
      <c r="AR470" s="196"/>
      <c r="AS470" s="196"/>
      <c r="AT470" s="196"/>
      <c r="AU470" s="196"/>
      <c r="AV470" s="196"/>
      <c r="AW470" s="196"/>
      <c r="AX470" s="196"/>
      <c r="AY470" s="196"/>
      <c r="AZ470" s="196"/>
      <c r="BA470" s="196"/>
      <c r="BB470" s="196"/>
      <c r="BC470" s="196"/>
      <c r="BD470" s="196"/>
      <c r="BE470" s="196"/>
      <c r="BF470" s="196"/>
    </row>
    <row r="471">
      <c r="A471" s="197"/>
      <c r="B471" s="201" t="s">
        <v>147</v>
      </c>
      <c r="C471" s="201" t="s">
        <v>152</v>
      </c>
      <c r="D471" s="201" t="s">
        <v>152</v>
      </c>
      <c r="E471" s="201" t="s">
        <v>157</v>
      </c>
      <c r="F471" s="201" t="s">
        <v>157</v>
      </c>
      <c r="G471" s="201" t="s">
        <v>157</v>
      </c>
      <c r="H471" s="196"/>
      <c r="I471" s="196"/>
      <c r="J471" s="196"/>
      <c r="K471" s="196"/>
      <c r="L471" s="196"/>
      <c r="M471" s="196"/>
      <c r="N471" s="196"/>
      <c r="O471" s="196"/>
      <c r="P471" s="196"/>
      <c r="Q471" s="198"/>
      <c r="R471" s="201" t="s">
        <v>160</v>
      </c>
      <c r="S471" s="196"/>
      <c r="T471" s="196"/>
      <c r="U471" s="196"/>
      <c r="V471" s="196"/>
      <c r="W471" s="196"/>
      <c r="X471" s="196"/>
      <c r="Y471" s="196"/>
      <c r="Z471" s="196"/>
      <c r="AA471" s="196"/>
      <c r="AB471" s="196"/>
      <c r="AC471" s="196"/>
      <c r="AD471" s="196"/>
      <c r="AE471" s="196"/>
      <c r="AF471" s="196"/>
      <c r="AG471" s="201" t="s">
        <v>164</v>
      </c>
      <c r="AH471" s="196"/>
      <c r="AI471" s="196"/>
      <c r="AJ471" s="196"/>
      <c r="AK471" s="196"/>
      <c r="AL471" s="196"/>
      <c r="AM471" s="196"/>
      <c r="AN471" s="196"/>
      <c r="AO471" s="196"/>
      <c r="AP471" s="196"/>
      <c r="AQ471" s="196"/>
      <c r="AR471" s="196"/>
      <c r="AS471" s="196"/>
      <c r="AT471" s="196"/>
      <c r="AU471" s="196"/>
      <c r="AV471" s="196"/>
      <c r="AW471" s="196"/>
      <c r="AX471" s="196"/>
      <c r="AY471" s="196"/>
      <c r="AZ471" s="196"/>
      <c r="BA471" s="196"/>
      <c r="BB471" s="196"/>
      <c r="BC471" s="196"/>
      <c r="BD471" s="196"/>
      <c r="BE471" s="196"/>
      <c r="BF471" s="196"/>
    </row>
    <row r="472">
      <c r="A472" s="194" t="s">
        <v>334</v>
      </c>
      <c r="B472" s="195" t="s">
        <v>176</v>
      </c>
      <c r="C472" s="195" t="s">
        <v>177</v>
      </c>
      <c r="D472" s="195" t="s">
        <v>178</v>
      </c>
      <c r="E472" s="195" t="s">
        <v>179</v>
      </c>
      <c r="F472" s="195" t="s">
        <v>578</v>
      </c>
      <c r="G472" s="195" t="s">
        <v>579</v>
      </c>
      <c r="H472" s="195" t="s">
        <v>181</v>
      </c>
      <c r="I472" s="195" t="s">
        <v>182</v>
      </c>
      <c r="J472" s="195" t="s">
        <v>183</v>
      </c>
      <c r="K472" s="195" t="s">
        <v>189</v>
      </c>
      <c r="L472" s="196"/>
      <c r="M472" s="196"/>
      <c r="N472" s="196"/>
      <c r="O472" s="196"/>
      <c r="P472" s="196"/>
      <c r="Q472" s="195" t="s">
        <v>588</v>
      </c>
      <c r="R472" s="195" t="s">
        <v>668</v>
      </c>
      <c r="S472" s="195" t="s">
        <v>669</v>
      </c>
      <c r="T472" s="195" t="s">
        <v>235</v>
      </c>
      <c r="U472" s="195" t="s">
        <v>670</v>
      </c>
      <c r="V472" s="195" t="s">
        <v>293</v>
      </c>
      <c r="W472" s="195" t="s">
        <v>274</v>
      </c>
      <c r="X472" s="196"/>
      <c r="Y472" s="196"/>
      <c r="Z472" s="196"/>
      <c r="AA472" s="196"/>
      <c r="AB472" s="196"/>
      <c r="AC472" s="196"/>
      <c r="AD472" s="196"/>
      <c r="AE472" s="196"/>
      <c r="AF472" s="196"/>
      <c r="AG472" s="195" t="s">
        <v>671</v>
      </c>
      <c r="AH472" s="195" t="s">
        <v>542</v>
      </c>
      <c r="AI472" s="195" t="s">
        <v>641</v>
      </c>
      <c r="AJ472" s="195" t="s">
        <v>253</v>
      </c>
      <c r="AK472" s="196"/>
      <c r="AL472" s="196"/>
      <c r="AM472" s="196"/>
      <c r="AN472" s="196"/>
      <c r="AO472" s="196"/>
      <c r="AP472" s="196"/>
      <c r="AQ472" s="196"/>
      <c r="AR472" s="196"/>
      <c r="AS472" s="196"/>
      <c r="AT472" s="196"/>
      <c r="AU472" s="196"/>
      <c r="AV472" s="196"/>
      <c r="AW472" s="196"/>
      <c r="AX472" s="196"/>
      <c r="AY472" s="196"/>
      <c r="AZ472" s="196"/>
      <c r="BA472" s="196"/>
      <c r="BB472" s="196"/>
      <c r="BC472" s="196"/>
      <c r="BD472" s="196"/>
      <c r="BE472" s="196"/>
      <c r="BF472" s="196"/>
    </row>
    <row r="473">
      <c r="A473" s="197"/>
      <c r="B473" s="195" t="s">
        <v>529</v>
      </c>
      <c r="C473" s="195" t="s">
        <v>529</v>
      </c>
      <c r="D473" s="195" t="s">
        <v>529</v>
      </c>
      <c r="E473" s="195" t="s">
        <v>529</v>
      </c>
      <c r="F473" s="195" t="s">
        <v>529</v>
      </c>
      <c r="G473" s="195" t="s">
        <v>529</v>
      </c>
      <c r="H473" s="195" t="s">
        <v>529</v>
      </c>
      <c r="I473" s="195" t="s">
        <v>529</v>
      </c>
      <c r="J473" s="195" t="s">
        <v>529</v>
      </c>
      <c r="K473" s="195" t="s">
        <v>531</v>
      </c>
      <c r="L473" s="196"/>
      <c r="M473" s="196"/>
      <c r="N473" s="196"/>
      <c r="O473" s="196"/>
      <c r="P473" s="196"/>
      <c r="Q473" s="195" t="s">
        <v>530</v>
      </c>
      <c r="R473" s="195" t="s">
        <v>530</v>
      </c>
      <c r="S473" s="195" t="s">
        <v>577</v>
      </c>
      <c r="T473" s="195" t="s">
        <v>530</v>
      </c>
      <c r="U473" s="195" t="s">
        <v>577</v>
      </c>
      <c r="V473" s="195" t="s">
        <v>531</v>
      </c>
      <c r="W473" s="195" t="s">
        <v>531</v>
      </c>
      <c r="X473" s="196"/>
      <c r="Y473" s="196"/>
      <c r="Z473" s="196"/>
      <c r="AA473" s="196"/>
      <c r="AB473" s="196"/>
      <c r="AC473" s="196"/>
      <c r="AD473" s="196"/>
      <c r="AE473" s="196"/>
      <c r="AF473" s="196"/>
      <c r="AG473" s="195" t="s">
        <v>530</v>
      </c>
      <c r="AH473" s="195" t="s">
        <v>530</v>
      </c>
      <c r="AI473" s="195" t="s">
        <v>530</v>
      </c>
      <c r="AJ473" s="195" t="s">
        <v>531</v>
      </c>
      <c r="AK473" s="196"/>
      <c r="AL473" s="196"/>
      <c r="AM473" s="196"/>
      <c r="AN473" s="196"/>
      <c r="AO473" s="196"/>
      <c r="AP473" s="196"/>
      <c r="AQ473" s="196"/>
      <c r="AR473" s="196"/>
      <c r="AS473" s="196"/>
      <c r="AT473" s="196"/>
      <c r="AU473" s="196"/>
      <c r="AV473" s="196"/>
      <c r="AW473" s="196"/>
      <c r="AX473" s="196"/>
      <c r="AY473" s="196"/>
      <c r="AZ473" s="196"/>
      <c r="BA473" s="196"/>
      <c r="BB473" s="196"/>
      <c r="BC473" s="196"/>
      <c r="BD473" s="196"/>
      <c r="BE473" s="196"/>
      <c r="BF473" s="196"/>
    </row>
    <row r="474">
      <c r="A474" s="197"/>
      <c r="B474" s="198">
        <v>0.7912</v>
      </c>
      <c r="C474" s="198">
        <v>0.7336</v>
      </c>
      <c r="D474" s="198">
        <v>0.8626</v>
      </c>
      <c r="E474" s="198">
        <v>1.1343</v>
      </c>
      <c r="F474" s="198">
        <v>0.5074</v>
      </c>
      <c r="G474" s="198">
        <v>0.9047</v>
      </c>
      <c r="H474" s="198">
        <v>0.7459</v>
      </c>
      <c r="I474" s="198">
        <v>1.4918</v>
      </c>
      <c r="J474" s="198">
        <v>1.8648</v>
      </c>
      <c r="K474" s="199">
        <v>0.15</v>
      </c>
      <c r="L474" s="196"/>
      <c r="M474" s="196"/>
      <c r="N474" s="196"/>
      <c r="O474" s="196"/>
      <c r="P474" s="196"/>
      <c r="Q474" s="198">
        <v>1.2</v>
      </c>
      <c r="R474" s="198">
        <v>1.6</v>
      </c>
      <c r="S474" s="201">
        <v>770.0</v>
      </c>
      <c r="T474" s="198">
        <v>0.2128</v>
      </c>
      <c r="U474" s="201">
        <v>103.0</v>
      </c>
      <c r="V474" s="199">
        <v>4.0</v>
      </c>
      <c r="W474" s="199">
        <v>4.0</v>
      </c>
      <c r="X474" s="196"/>
      <c r="Y474" s="196"/>
      <c r="Z474" s="196"/>
      <c r="AA474" s="196"/>
      <c r="AB474" s="196"/>
      <c r="AC474" s="196"/>
      <c r="AD474" s="196"/>
      <c r="AE474" s="196"/>
      <c r="AF474" s="196"/>
      <c r="AG474" s="198">
        <v>0.672</v>
      </c>
      <c r="AH474" s="198">
        <v>0.928</v>
      </c>
      <c r="AI474" s="198">
        <v>0.4</v>
      </c>
      <c r="AJ474" s="199">
        <v>0.5</v>
      </c>
      <c r="AK474" s="196"/>
      <c r="AL474" s="196"/>
      <c r="AM474" s="196"/>
      <c r="AN474" s="196"/>
      <c r="AO474" s="196"/>
      <c r="AP474" s="196"/>
      <c r="AQ474" s="196"/>
      <c r="AR474" s="196"/>
      <c r="AS474" s="196"/>
      <c r="AT474" s="196"/>
      <c r="AU474" s="196"/>
      <c r="AV474" s="196"/>
      <c r="AW474" s="196"/>
      <c r="AX474" s="196"/>
      <c r="AY474" s="196"/>
      <c r="AZ474" s="196"/>
      <c r="BA474" s="196"/>
      <c r="BB474" s="196"/>
      <c r="BC474" s="196"/>
      <c r="BD474" s="196"/>
      <c r="BE474" s="196"/>
      <c r="BF474" s="196"/>
    </row>
    <row r="475">
      <c r="A475" s="197"/>
      <c r="B475" s="201" t="s">
        <v>304</v>
      </c>
      <c r="C475" s="201" t="s">
        <v>304</v>
      </c>
      <c r="D475" s="201" t="s">
        <v>304</v>
      </c>
      <c r="E475" s="201" t="s">
        <v>304</v>
      </c>
      <c r="F475" s="201" t="s">
        <v>304</v>
      </c>
      <c r="G475" s="201" t="s">
        <v>304</v>
      </c>
      <c r="H475" s="201" t="s">
        <v>304</v>
      </c>
      <c r="I475" s="201" t="s">
        <v>304</v>
      </c>
      <c r="J475" s="201" t="s">
        <v>304</v>
      </c>
      <c r="K475" s="196"/>
      <c r="L475" s="196"/>
      <c r="M475" s="196"/>
      <c r="N475" s="196"/>
      <c r="O475" s="196"/>
      <c r="P475" s="196"/>
      <c r="Q475" s="201" t="s">
        <v>305</v>
      </c>
      <c r="R475" s="201" t="s">
        <v>305</v>
      </c>
      <c r="S475" s="201"/>
      <c r="T475" s="201" t="s">
        <v>305</v>
      </c>
      <c r="U475" s="201"/>
      <c r="V475" s="195" t="s">
        <v>304</v>
      </c>
      <c r="W475" s="195" t="s">
        <v>305</v>
      </c>
      <c r="X475" s="196"/>
      <c r="Y475" s="196"/>
      <c r="Z475" s="196"/>
      <c r="AA475" s="196"/>
      <c r="AB475" s="196"/>
      <c r="AC475" s="196"/>
      <c r="AD475" s="196"/>
      <c r="AE475" s="196"/>
      <c r="AF475" s="196"/>
      <c r="AG475" s="201" t="s">
        <v>304</v>
      </c>
      <c r="AH475" s="201" t="s">
        <v>304</v>
      </c>
      <c r="AI475" s="201"/>
      <c r="AJ475" s="196"/>
      <c r="AK475" s="196"/>
      <c r="AL475" s="196"/>
      <c r="AM475" s="196"/>
      <c r="AN475" s="196"/>
      <c r="AO475" s="196"/>
      <c r="AP475" s="196"/>
      <c r="AQ475" s="196"/>
      <c r="AR475" s="196"/>
      <c r="AS475" s="196"/>
      <c r="AT475" s="196"/>
      <c r="AU475" s="196"/>
      <c r="AV475" s="196"/>
      <c r="AW475" s="196"/>
      <c r="AX475" s="196"/>
      <c r="AY475" s="196"/>
      <c r="AZ475" s="196"/>
      <c r="BA475" s="196"/>
      <c r="BB475" s="196"/>
      <c r="BC475" s="196"/>
      <c r="BD475" s="196"/>
      <c r="BE475" s="196"/>
      <c r="BF475" s="196"/>
    </row>
    <row r="476">
      <c r="A476" s="197"/>
      <c r="B476" s="201" t="s">
        <v>147</v>
      </c>
      <c r="C476" s="201" t="s">
        <v>147</v>
      </c>
      <c r="D476" s="201" t="s">
        <v>147</v>
      </c>
      <c r="E476" s="201" t="s">
        <v>147</v>
      </c>
      <c r="F476" s="201" t="s">
        <v>152</v>
      </c>
      <c r="G476" s="201" t="s">
        <v>152</v>
      </c>
      <c r="H476" s="201" t="s">
        <v>157</v>
      </c>
      <c r="I476" s="201" t="s">
        <v>157</v>
      </c>
      <c r="J476" s="201" t="s">
        <v>157</v>
      </c>
      <c r="K476" s="196"/>
      <c r="L476" s="196"/>
      <c r="M476" s="196"/>
      <c r="N476" s="196"/>
      <c r="O476" s="196"/>
      <c r="P476" s="196"/>
      <c r="Q476" s="201" t="s">
        <v>160</v>
      </c>
      <c r="R476" s="198"/>
      <c r="S476" s="201"/>
      <c r="T476" s="198"/>
      <c r="U476" s="201"/>
      <c r="V476" s="195" t="s">
        <v>160</v>
      </c>
      <c r="W476" s="196"/>
      <c r="X476" s="196"/>
      <c r="Y476" s="196"/>
      <c r="Z476" s="196"/>
      <c r="AA476" s="196"/>
      <c r="AB476" s="196"/>
      <c r="AC476" s="196"/>
      <c r="AD476" s="196"/>
      <c r="AE476" s="196"/>
      <c r="AF476" s="196"/>
      <c r="AG476" s="201" t="s">
        <v>164</v>
      </c>
      <c r="AH476" s="201" t="s">
        <v>164</v>
      </c>
      <c r="AI476" s="198"/>
      <c r="AJ476" s="196"/>
      <c r="AK476" s="196"/>
      <c r="AL476" s="196"/>
      <c r="AM476" s="196"/>
      <c r="AN476" s="196"/>
      <c r="AO476" s="196"/>
      <c r="AP476" s="196"/>
      <c r="AQ476" s="196"/>
      <c r="AR476" s="196"/>
      <c r="AS476" s="196"/>
      <c r="AT476" s="196"/>
      <c r="AU476" s="196"/>
      <c r="AV476" s="196"/>
      <c r="AW476" s="196"/>
      <c r="AX476" s="196"/>
      <c r="AY476" s="196"/>
      <c r="AZ476" s="196"/>
      <c r="BA476" s="196"/>
      <c r="BB476" s="196"/>
      <c r="BC476" s="196"/>
      <c r="BD476" s="196"/>
      <c r="BE476" s="196"/>
      <c r="BF476" s="196"/>
    </row>
    <row r="477">
      <c r="A477" s="194" t="s">
        <v>335</v>
      </c>
      <c r="B477" s="194" t="s">
        <v>176</v>
      </c>
      <c r="C477" s="194" t="s">
        <v>177</v>
      </c>
      <c r="D477" s="195" t="s">
        <v>244</v>
      </c>
      <c r="E477" s="195" t="s">
        <v>561</v>
      </c>
      <c r="F477" s="195" t="s">
        <v>246</v>
      </c>
      <c r="G477" s="195" t="s">
        <v>672</v>
      </c>
      <c r="H477" s="195" t="s">
        <v>181</v>
      </c>
      <c r="I477" s="195" t="s">
        <v>182</v>
      </c>
      <c r="J477" s="195" t="s">
        <v>183</v>
      </c>
      <c r="K477" s="195" t="s">
        <v>189</v>
      </c>
      <c r="L477" s="196"/>
      <c r="M477" s="196"/>
      <c r="N477" s="196"/>
      <c r="O477" s="196"/>
      <c r="P477" s="196"/>
      <c r="Q477" s="195" t="s">
        <v>588</v>
      </c>
      <c r="R477" s="195" t="s">
        <v>673</v>
      </c>
      <c r="S477" s="195" t="s">
        <v>674</v>
      </c>
      <c r="T477" s="195" t="s">
        <v>572</v>
      </c>
      <c r="U477" s="195" t="s">
        <v>573</v>
      </c>
      <c r="V477" s="195" t="s">
        <v>675</v>
      </c>
      <c r="W477" s="196"/>
      <c r="X477" s="196"/>
      <c r="Y477" s="196"/>
      <c r="Z477" s="196"/>
      <c r="AA477" s="196"/>
      <c r="AB477" s="196"/>
      <c r="AC477" s="196"/>
      <c r="AD477" s="196"/>
      <c r="AE477" s="196"/>
      <c r="AF477" s="196"/>
      <c r="AG477" s="195" t="s">
        <v>542</v>
      </c>
      <c r="AH477" s="195" t="s">
        <v>235</v>
      </c>
      <c r="AI477" s="195" t="s">
        <v>670</v>
      </c>
      <c r="AJ477" s="195"/>
      <c r="AK477" s="196"/>
      <c r="AL477" s="196"/>
      <c r="AM477" s="196"/>
      <c r="AN477" s="196"/>
      <c r="AO477" s="196"/>
      <c r="AP477" s="196"/>
      <c r="AQ477" s="196"/>
      <c r="AR477" s="196"/>
      <c r="AS477" s="196"/>
      <c r="AT477" s="196"/>
      <c r="AU477" s="196"/>
      <c r="AV477" s="196"/>
      <c r="AW477" s="196"/>
      <c r="AX477" s="196"/>
      <c r="AY477" s="196"/>
      <c r="AZ477" s="196"/>
      <c r="BA477" s="196"/>
      <c r="BB477" s="196"/>
      <c r="BC477" s="196"/>
      <c r="BD477" s="196"/>
      <c r="BE477" s="196"/>
      <c r="BF477" s="196"/>
    </row>
    <row r="478">
      <c r="A478" s="197"/>
      <c r="B478" s="195" t="s">
        <v>529</v>
      </c>
      <c r="C478" s="195" t="s">
        <v>529</v>
      </c>
      <c r="D478" s="195" t="s">
        <v>529</v>
      </c>
      <c r="E478" s="195" t="s">
        <v>529</v>
      </c>
      <c r="F478" s="195" t="s">
        <v>529</v>
      </c>
      <c r="G478" s="195" t="s">
        <v>529</v>
      </c>
      <c r="H478" s="195" t="s">
        <v>529</v>
      </c>
      <c r="I478" s="195" t="s">
        <v>529</v>
      </c>
      <c r="J478" s="195" t="s">
        <v>529</v>
      </c>
      <c r="K478" s="195" t="s">
        <v>531</v>
      </c>
      <c r="L478" s="196"/>
      <c r="M478" s="196"/>
      <c r="N478" s="196"/>
      <c r="O478" s="196"/>
      <c r="P478" s="196"/>
      <c r="Q478" s="195" t="s">
        <v>530</v>
      </c>
      <c r="R478" s="195" t="s">
        <v>530</v>
      </c>
      <c r="S478" s="195" t="s">
        <v>577</v>
      </c>
      <c r="T478" s="195" t="s">
        <v>530</v>
      </c>
      <c r="U478" s="195" t="s">
        <v>577</v>
      </c>
      <c r="V478" s="195" t="s">
        <v>530</v>
      </c>
      <c r="W478" s="196"/>
      <c r="X478" s="196"/>
      <c r="Y478" s="196"/>
      <c r="Z478" s="196"/>
      <c r="AA478" s="196"/>
      <c r="AB478" s="196"/>
      <c r="AC478" s="196"/>
      <c r="AD478" s="196"/>
      <c r="AE478" s="196"/>
      <c r="AF478" s="196"/>
      <c r="AG478" s="195" t="s">
        <v>530</v>
      </c>
      <c r="AH478" s="195" t="s">
        <v>530</v>
      </c>
      <c r="AI478" s="195" t="s">
        <v>577</v>
      </c>
      <c r="AJ478" s="195"/>
      <c r="AK478" s="196"/>
      <c r="AL478" s="196"/>
      <c r="AM478" s="196"/>
      <c r="AN478" s="196"/>
      <c r="AO478" s="196"/>
      <c r="AP478" s="196"/>
      <c r="AQ478" s="196"/>
      <c r="AR478" s="196"/>
      <c r="AS478" s="196"/>
      <c r="AT478" s="196"/>
      <c r="AU478" s="196"/>
      <c r="AV478" s="196"/>
      <c r="AW478" s="196"/>
      <c r="AX478" s="196"/>
      <c r="AY478" s="196"/>
      <c r="AZ478" s="196"/>
      <c r="BA478" s="196"/>
      <c r="BB478" s="196"/>
      <c r="BC478" s="196"/>
      <c r="BD478" s="196"/>
      <c r="BE478" s="196"/>
      <c r="BF478" s="196"/>
    </row>
    <row r="479">
      <c r="A479" s="197"/>
      <c r="B479" s="198">
        <v>0.3775</v>
      </c>
      <c r="C479" s="198">
        <v>0.3887</v>
      </c>
      <c r="D479" s="198">
        <v>0.2417</v>
      </c>
      <c r="E479" s="198">
        <v>0.2468</v>
      </c>
      <c r="F479" s="198">
        <v>0.6304</v>
      </c>
      <c r="G479" s="198">
        <v>0.6433</v>
      </c>
      <c r="H479" s="198">
        <v>0.6393</v>
      </c>
      <c r="I479" s="198">
        <v>1.2786</v>
      </c>
      <c r="J479" s="198">
        <v>1.5983</v>
      </c>
      <c r="K479" s="199">
        <v>0.15</v>
      </c>
      <c r="L479" s="196"/>
      <c r="M479" s="196"/>
      <c r="N479" s="196"/>
      <c r="O479" s="196"/>
      <c r="P479" s="196"/>
      <c r="Q479" s="198">
        <v>0.96</v>
      </c>
      <c r="R479" s="198">
        <v>0.1056</v>
      </c>
      <c r="S479" s="201">
        <v>67.0</v>
      </c>
      <c r="T479" s="198">
        <v>0.696</v>
      </c>
      <c r="U479" s="201">
        <v>451.0</v>
      </c>
      <c r="V479" s="198">
        <v>0.36</v>
      </c>
      <c r="W479" s="196"/>
      <c r="X479" s="196"/>
      <c r="Y479" s="196"/>
      <c r="Z479" s="196"/>
      <c r="AA479" s="196"/>
      <c r="AB479" s="196"/>
      <c r="AC479" s="196"/>
      <c r="AD479" s="196"/>
      <c r="AE479" s="196"/>
      <c r="AF479" s="196"/>
      <c r="AG479" s="198">
        <v>2.848</v>
      </c>
      <c r="AH479" s="198">
        <v>0.9</v>
      </c>
      <c r="AI479" s="198">
        <v>577.0</v>
      </c>
      <c r="AJ479" s="199"/>
      <c r="AK479" s="196"/>
      <c r="AL479" s="196"/>
      <c r="AM479" s="196"/>
      <c r="AN479" s="196"/>
      <c r="AO479" s="196"/>
      <c r="AP479" s="196"/>
      <c r="AQ479" s="196"/>
      <c r="AR479" s="196"/>
      <c r="AS479" s="196"/>
      <c r="AT479" s="196"/>
      <c r="AU479" s="196"/>
      <c r="AV479" s="196"/>
      <c r="AW479" s="196"/>
      <c r="AX479" s="196"/>
      <c r="AY479" s="196"/>
      <c r="AZ479" s="196"/>
      <c r="BA479" s="196"/>
      <c r="BB479" s="196"/>
      <c r="BC479" s="196"/>
      <c r="BD479" s="196"/>
      <c r="BE479" s="196"/>
      <c r="BF479" s="196"/>
    </row>
    <row r="480">
      <c r="A480" s="197"/>
      <c r="B480" s="201" t="s">
        <v>304</v>
      </c>
      <c r="C480" s="201" t="s">
        <v>304</v>
      </c>
      <c r="D480" s="201" t="s">
        <v>304</v>
      </c>
      <c r="E480" s="201" t="s">
        <v>304</v>
      </c>
      <c r="F480" s="201" t="s">
        <v>304</v>
      </c>
      <c r="G480" s="201" t="s">
        <v>304</v>
      </c>
      <c r="H480" s="201" t="s">
        <v>304</v>
      </c>
      <c r="I480" s="201" t="s">
        <v>304</v>
      </c>
      <c r="J480" s="201" t="s">
        <v>304</v>
      </c>
      <c r="K480" s="196"/>
      <c r="L480" s="196"/>
      <c r="M480" s="196"/>
      <c r="N480" s="196"/>
      <c r="O480" s="196"/>
      <c r="P480" s="196"/>
      <c r="Q480" s="201" t="s">
        <v>304</v>
      </c>
      <c r="R480" s="201" t="s">
        <v>304</v>
      </c>
      <c r="S480" s="201" t="s">
        <v>390</v>
      </c>
      <c r="T480" s="201" t="s">
        <v>304</v>
      </c>
      <c r="U480" s="201" t="s">
        <v>390</v>
      </c>
      <c r="V480" s="201" t="s">
        <v>304</v>
      </c>
      <c r="W480" s="196"/>
      <c r="X480" s="196"/>
      <c r="Y480" s="196"/>
      <c r="Z480" s="196"/>
      <c r="AA480" s="196"/>
      <c r="AB480" s="196"/>
      <c r="AC480" s="196"/>
      <c r="AD480" s="196"/>
      <c r="AE480" s="196"/>
      <c r="AF480" s="196"/>
      <c r="AG480" s="201" t="s">
        <v>304</v>
      </c>
      <c r="AH480" s="201" t="s">
        <v>304</v>
      </c>
      <c r="AI480" s="201"/>
      <c r="AJ480" s="196"/>
      <c r="AK480" s="196"/>
      <c r="AL480" s="196"/>
      <c r="AM480" s="196"/>
      <c r="AN480" s="196"/>
      <c r="AO480" s="196"/>
      <c r="AP480" s="196"/>
      <c r="AQ480" s="196"/>
      <c r="AR480" s="196"/>
      <c r="AS480" s="196"/>
      <c r="AT480" s="196"/>
      <c r="AU480" s="196"/>
      <c r="AV480" s="196"/>
      <c r="AW480" s="196"/>
      <c r="AX480" s="196"/>
      <c r="AY480" s="196"/>
      <c r="AZ480" s="196"/>
      <c r="BA480" s="196"/>
      <c r="BB480" s="196"/>
      <c r="BC480" s="196"/>
      <c r="BD480" s="196"/>
      <c r="BE480" s="196"/>
      <c r="BF480" s="196"/>
    </row>
    <row r="481">
      <c r="A481" s="197"/>
      <c r="B481" s="201" t="s">
        <v>147</v>
      </c>
      <c r="C481" s="201" t="s">
        <v>147</v>
      </c>
      <c r="D481" s="201" t="s">
        <v>147</v>
      </c>
      <c r="E481" s="201" t="s">
        <v>147</v>
      </c>
      <c r="F481" s="201" t="s">
        <v>147</v>
      </c>
      <c r="G481" s="201" t="s">
        <v>152</v>
      </c>
      <c r="H481" s="201" t="s">
        <v>157</v>
      </c>
      <c r="I481" s="201" t="s">
        <v>157</v>
      </c>
      <c r="J481" s="201" t="s">
        <v>157</v>
      </c>
      <c r="K481" s="196"/>
      <c r="L481" s="196"/>
      <c r="M481" s="196"/>
      <c r="N481" s="196"/>
      <c r="O481" s="196"/>
      <c r="P481" s="196"/>
      <c r="Q481" s="201" t="s">
        <v>160</v>
      </c>
      <c r="R481" s="198"/>
      <c r="S481" s="201"/>
      <c r="T481" s="198"/>
      <c r="U481" s="201"/>
      <c r="V481" s="201" t="s">
        <v>160</v>
      </c>
      <c r="W481" s="196"/>
      <c r="X481" s="196"/>
      <c r="Y481" s="196"/>
      <c r="Z481" s="196"/>
      <c r="AA481" s="196"/>
      <c r="AB481" s="196"/>
      <c r="AC481" s="196"/>
      <c r="AD481" s="196"/>
      <c r="AE481" s="196"/>
      <c r="AF481" s="196"/>
      <c r="AG481" s="201" t="s">
        <v>164</v>
      </c>
      <c r="AH481" s="198"/>
      <c r="AI481" s="198"/>
      <c r="AJ481" s="196"/>
      <c r="AK481" s="196"/>
      <c r="AL481" s="196"/>
      <c r="AM481" s="196"/>
      <c r="AN481" s="196"/>
      <c r="AO481" s="196"/>
      <c r="AP481" s="196"/>
      <c r="AQ481" s="196"/>
      <c r="AR481" s="196"/>
      <c r="AS481" s="196"/>
      <c r="AT481" s="196"/>
      <c r="AU481" s="196"/>
      <c r="AV481" s="196"/>
      <c r="AW481" s="196"/>
      <c r="AX481" s="196"/>
      <c r="AY481" s="196"/>
      <c r="AZ481" s="196"/>
      <c r="BA481" s="196"/>
      <c r="BB481" s="196"/>
      <c r="BC481" s="196"/>
      <c r="BD481" s="196"/>
      <c r="BE481" s="196"/>
      <c r="BF481" s="196"/>
    </row>
    <row r="482">
      <c r="A482" s="194" t="s">
        <v>336</v>
      </c>
      <c r="B482" s="195" t="s">
        <v>176</v>
      </c>
      <c r="C482" s="195" t="s">
        <v>177</v>
      </c>
      <c r="D482" s="195" t="s">
        <v>178</v>
      </c>
      <c r="E482" s="195" t="s">
        <v>561</v>
      </c>
      <c r="F482" s="195" t="s">
        <v>246</v>
      </c>
      <c r="G482" s="195" t="s">
        <v>180</v>
      </c>
      <c r="H482" s="195" t="s">
        <v>181</v>
      </c>
      <c r="I482" s="195" t="s">
        <v>182</v>
      </c>
      <c r="J482" s="195" t="s">
        <v>183</v>
      </c>
      <c r="K482" s="196"/>
      <c r="L482" s="196"/>
      <c r="M482" s="196"/>
      <c r="N482" s="196"/>
      <c r="O482" s="196"/>
      <c r="P482" s="196"/>
      <c r="Q482" s="195" t="s">
        <v>294</v>
      </c>
      <c r="R482" s="194" t="s">
        <v>676</v>
      </c>
      <c r="S482" s="194" t="s">
        <v>677</v>
      </c>
      <c r="T482" s="195" t="s">
        <v>192</v>
      </c>
      <c r="U482" s="195" t="s">
        <v>189</v>
      </c>
      <c r="V482" s="195" t="s">
        <v>293</v>
      </c>
      <c r="W482" s="196"/>
      <c r="X482" s="196"/>
      <c r="Y482" s="196"/>
      <c r="Z482" s="196"/>
      <c r="AA482" s="196"/>
      <c r="AB482" s="196"/>
      <c r="AC482" s="196"/>
      <c r="AD482" s="196"/>
      <c r="AE482" s="196"/>
      <c r="AF482" s="196"/>
      <c r="AG482" s="195" t="s">
        <v>678</v>
      </c>
      <c r="AH482" s="195" t="s">
        <v>679</v>
      </c>
      <c r="AI482" s="195" t="s">
        <v>680</v>
      </c>
      <c r="AJ482" s="195" t="s">
        <v>681</v>
      </c>
      <c r="AK482" s="195" t="s">
        <v>682</v>
      </c>
      <c r="AL482" s="195" t="s">
        <v>683</v>
      </c>
      <c r="AM482" s="195" t="s">
        <v>684</v>
      </c>
      <c r="AN482" s="195" t="s">
        <v>685</v>
      </c>
      <c r="AO482" s="195" t="s">
        <v>686</v>
      </c>
      <c r="AP482" s="195" t="s">
        <v>687</v>
      </c>
      <c r="AQ482" s="195" t="s">
        <v>688</v>
      </c>
      <c r="AR482" s="195" t="s">
        <v>689</v>
      </c>
      <c r="AS482" s="195" t="s">
        <v>690</v>
      </c>
      <c r="AT482" s="195" t="s">
        <v>691</v>
      </c>
      <c r="AU482" s="196"/>
      <c r="AV482" s="196"/>
      <c r="AW482" s="196"/>
      <c r="AX482" s="196"/>
      <c r="AY482" s="196"/>
      <c r="AZ482" s="196"/>
      <c r="BA482" s="196"/>
      <c r="BB482" s="196"/>
      <c r="BC482" s="196"/>
      <c r="BD482" s="196"/>
      <c r="BE482" s="196"/>
      <c r="BF482" s="196"/>
    </row>
    <row r="483">
      <c r="A483" s="197"/>
      <c r="B483" s="195" t="s">
        <v>529</v>
      </c>
      <c r="C483" s="195" t="s">
        <v>529</v>
      </c>
      <c r="D483" s="195" t="s">
        <v>529</v>
      </c>
      <c r="E483" s="195" t="s">
        <v>529</v>
      </c>
      <c r="F483" s="195" t="s">
        <v>529</v>
      </c>
      <c r="G483" s="195" t="s">
        <v>529</v>
      </c>
      <c r="H483" s="195" t="s">
        <v>529</v>
      </c>
      <c r="I483" s="195" t="s">
        <v>529</v>
      </c>
      <c r="J483" s="195" t="s">
        <v>529</v>
      </c>
      <c r="K483" s="196"/>
      <c r="L483" s="196"/>
      <c r="M483" s="196"/>
      <c r="N483" s="196"/>
      <c r="O483" s="196"/>
      <c r="P483" s="196"/>
      <c r="Q483" s="195" t="s">
        <v>530</v>
      </c>
      <c r="R483" s="195" t="s">
        <v>530</v>
      </c>
      <c r="S483" s="195" t="s">
        <v>692</v>
      </c>
      <c r="T483" s="195" t="s">
        <v>531</v>
      </c>
      <c r="U483" s="195" t="s">
        <v>531</v>
      </c>
      <c r="V483" s="195" t="s">
        <v>531</v>
      </c>
      <c r="W483" s="196"/>
      <c r="X483" s="196"/>
      <c r="Y483" s="196"/>
      <c r="Z483" s="196"/>
      <c r="AA483" s="196"/>
      <c r="AB483" s="196"/>
      <c r="AC483" s="196"/>
      <c r="AD483" s="196"/>
      <c r="AE483" s="196"/>
      <c r="AF483" s="196"/>
      <c r="AG483" s="195" t="s">
        <v>530</v>
      </c>
      <c r="AH483" s="195" t="s">
        <v>530</v>
      </c>
      <c r="AI483" s="195" t="s">
        <v>530</v>
      </c>
      <c r="AJ483" s="195" t="s">
        <v>530</v>
      </c>
      <c r="AK483" s="195" t="s">
        <v>530</v>
      </c>
      <c r="AL483" s="195" t="s">
        <v>530</v>
      </c>
      <c r="AM483" s="195" t="s">
        <v>530</v>
      </c>
      <c r="AN483" s="195" t="s">
        <v>530</v>
      </c>
      <c r="AO483" s="195" t="s">
        <v>530</v>
      </c>
      <c r="AP483" s="195" t="s">
        <v>530</v>
      </c>
      <c r="AQ483" s="195" t="s">
        <v>530</v>
      </c>
      <c r="AR483" s="195" t="s">
        <v>530</v>
      </c>
      <c r="AS483" s="195" t="s">
        <v>530</v>
      </c>
      <c r="AT483" s="195" t="s">
        <v>530</v>
      </c>
      <c r="AU483" s="196"/>
      <c r="AV483" s="196"/>
      <c r="AW483" s="196"/>
      <c r="AX483" s="196"/>
      <c r="AY483" s="196"/>
      <c r="AZ483" s="196"/>
      <c r="BA483" s="196"/>
      <c r="BB483" s="196"/>
      <c r="BC483" s="196"/>
      <c r="BD483" s="196"/>
      <c r="BE483" s="196"/>
      <c r="BF483" s="196"/>
    </row>
    <row r="484">
      <c r="A484" s="197"/>
      <c r="B484" s="198">
        <v>0.3965</v>
      </c>
      <c r="C484" s="198">
        <v>0.3973</v>
      </c>
      <c r="D484" s="198">
        <v>0.4988</v>
      </c>
      <c r="E484" s="198">
        <v>0.2898</v>
      </c>
      <c r="F484" s="198">
        <v>0.6545</v>
      </c>
      <c r="G484" s="198">
        <v>0.9959</v>
      </c>
      <c r="H484" s="198">
        <v>0.6393</v>
      </c>
      <c r="I484" s="198">
        <v>1.2786</v>
      </c>
      <c r="J484" s="198">
        <v>1.5983</v>
      </c>
      <c r="K484" s="196"/>
      <c r="L484" s="196"/>
      <c r="M484" s="196"/>
      <c r="N484" s="196"/>
      <c r="O484" s="196"/>
      <c r="P484" s="196"/>
      <c r="Q484" s="198">
        <v>1.172</v>
      </c>
      <c r="R484" s="198">
        <v>0.42</v>
      </c>
      <c r="S484" s="198">
        <v>0.0022</v>
      </c>
      <c r="T484" s="199">
        <v>0.4</v>
      </c>
      <c r="U484" s="199">
        <v>-0.6</v>
      </c>
      <c r="V484" s="199">
        <v>0.3</v>
      </c>
      <c r="W484" s="196"/>
      <c r="X484" s="196"/>
      <c r="Y484" s="196"/>
      <c r="Z484" s="196"/>
      <c r="AA484" s="196"/>
      <c r="AB484" s="196"/>
      <c r="AC484" s="196"/>
      <c r="AD484" s="196"/>
      <c r="AE484" s="196"/>
      <c r="AF484" s="196"/>
      <c r="AG484" s="198">
        <v>4.008</v>
      </c>
      <c r="AH484" s="198">
        <v>0.0389</v>
      </c>
      <c r="AI484" s="198">
        <v>0.0073</v>
      </c>
      <c r="AJ484" s="198">
        <v>0.4474</v>
      </c>
      <c r="AK484" s="198">
        <v>0.4396</v>
      </c>
      <c r="AL484" s="198">
        <v>0.5382</v>
      </c>
      <c r="AM484" s="198">
        <v>0.3089</v>
      </c>
      <c r="AN484" s="198">
        <v>0.3098</v>
      </c>
      <c r="AO484" s="198">
        <v>0.7394</v>
      </c>
      <c r="AP484" s="198">
        <v>0.616</v>
      </c>
      <c r="AQ484" s="198">
        <v>0.7436</v>
      </c>
      <c r="AR484" s="198">
        <v>0.6393</v>
      </c>
      <c r="AS484" s="198">
        <v>1.2786</v>
      </c>
      <c r="AT484" s="198">
        <v>1.5983</v>
      </c>
      <c r="AU484" s="196"/>
      <c r="AV484" s="196"/>
      <c r="AW484" s="196"/>
      <c r="AX484" s="196"/>
      <c r="AY484" s="196"/>
      <c r="AZ484" s="196"/>
      <c r="BA484" s="196"/>
      <c r="BB484" s="196"/>
      <c r="BC484" s="196"/>
      <c r="BD484" s="196"/>
      <c r="BE484" s="196"/>
      <c r="BF484" s="196"/>
    </row>
    <row r="485">
      <c r="A485" s="197"/>
      <c r="B485" s="201" t="s">
        <v>304</v>
      </c>
      <c r="C485" s="201" t="s">
        <v>304</v>
      </c>
      <c r="D485" s="201" t="s">
        <v>304</v>
      </c>
      <c r="E485" s="201" t="s">
        <v>304</v>
      </c>
      <c r="F485" s="201" t="s">
        <v>304</v>
      </c>
      <c r="G485" s="201" t="s">
        <v>304</v>
      </c>
      <c r="H485" s="201" t="s">
        <v>304</v>
      </c>
      <c r="I485" s="201" t="s">
        <v>304</v>
      </c>
      <c r="J485" s="201" t="s">
        <v>304</v>
      </c>
      <c r="K485" s="196"/>
      <c r="L485" s="196"/>
      <c r="M485" s="196"/>
      <c r="N485" s="196"/>
      <c r="O485" s="196"/>
      <c r="P485" s="196"/>
      <c r="Q485" s="201" t="s">
        <v>304</v>
      </c>
      <c r="R485" s="201" t="s">
        <v>304</v>
      </c>
      <c r="S485" s="201" t="s">
        <v>693</v>
      </c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201" t="s">
        <v>304</v>
      </c>
      <c r="AH485" s="201" t="s">
        <v>304</v>
      </c>
      <c r="AI485" s="201" t="s">
        <v>304</v>
      </c>
      <c r="AJ485" s="201" t="s">
        <v>304</v>
      </c>
      <c r="AK485" s="201" t="s">
        <v>304</v>
      </c>
      <c r="AL485" s="201" t="s">
        <v>304</v>
      </c>
      <c r="AM485" s="201" t="s">
        <v>304</v>
      </c>
      <c r="AN485" s="201" t="s">
        <v>304</v>
      </c>
      <c r="AO485" s="201" t="s">
        <v>304</v>
      </c>
      <c r="AP485" s="201" t="s">
        <v>304</v>
      </c>
      <c r="AQ485" s="201" t="s">
        <v>304</v>
      </c>
      <c r="AR485" s="201" t="s">
        <v>304</v>
      </c>
      <c r="AS485" s="201" t="s">
        <v>304</v>
      </c>
      <c r="AT485" s="201" t="s">
        <v>304</v>
      </c>
      <c r="AU485" s="196"/>
      <c r="AV485" s="196"/>
      <c r="AW485" s="196"/>
      <c r="AX485" s="196"/>
      <c r="AY485" s="196"/>
      <c r="AZ485" s="196"/>
      <c r="BA485" s="196"/>
      <c r="BB485" s="196"/>
      <c r="BC485" s="196"/>
      <c r="BD485" s="196"/>
      <c r="BE485" s="196"/>
      <c r="BF485" s="196"/>
    </row>
    <row r="486">
      <c r="A486" s="197"/>
      <c r="B486" s="201" t="s">
        <v>147</v>
      </c>
      <c r="C486" s="201" t="s">
        <v>147</v>
      </c>
      <c r="D486" s="201" t="s">
        <v>147</v>
      </c>
      <c r="E486" s="201" t="s">
        <v>147</v>
      </c>
      <c r="F486" s="201" t="s">
        <v>147</v>
      </c>
      <c r="G486" s="201" t="s">
        <v>152</v>
      </c>
      <c r="H486" s="201" t="s">
        <v>157</v>
      </c>
      <c r="I486" s="201" t="s">
        <v>157</v>
      </c>
      <c r="J486" s="201" t="s">
        <v>157</v>
      </c>
      <c r="K486" s="196"/>
      <c r="L486" s="196"/>
      <c r="M486" s="196"/>
      <c r="N486" s="196"/>
      <c r="O486" s="196"/>
      <c r="P486" s="196"/>
      <c r="Q486" s="201" t="s">
        <v>160</v>
      </c>
      <c r="R486" s="201" t="s">
        <v>160</v>
      </c>
      <c r="S486" s="198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6"/>
      <c r="AD486" s="196"/>
      <c r="AE486" s="196"/>
      <c r="AF486" s="196"/>
      <c r="AG486" s="201" t="s">
        <v>164</v>
      </c>
      <c r="AH486" s="201" t="s">
        <v>164</v>
      </c>
      <c r="AI486" s="201" t="s">
        <v>164</v>
      </c>
      <c r="AJ486" s="201" t="s">
        <v>164</v>
      </c>
      <c r="AK486" s="201" t="s">
        <v>164</v>
      </c>
      <c r="AL486" s="201" t="s">
        <v>164</v>
      </c>
      <c r="AM486" s="201" t="s">
        <v>164</v>
      </c>
      <c r="AN486" s="201" t="s">
        <v>164</v>
      </c>
      <c r="AO486" s="201" t="s">
        <v>164</v>
      </c>
      <c r="AP486" s="201" t="s">
        <v>164</v>
      </c>
      <c r="AQ486" s="201" t="s">
        <v>164</v>
      </c>
      <c r="AR486" s="201" t="s">
        <v>164</v>
      </c>
      <c r="AS486" s="201" t="s">
        <v>164</v>
      </c>
      <c r="AT486" s="201" t="s">
        <v>164</v>
      </c>
      <c r="AU486" s="196"/>
      <c r="AV486" s="196"/>
      <c r="AW486" s="196"/>
      <c r="AX486" s="196"/>
      <c r="AY486" s="196"/>
      <c r="AZ486" s="196"/>
      <c r="BA486" s="196"/>
      <c r="BB486" s="196"/>
      <c r="BC486" s="196"/>
      <c r="BD486" s="196"/>
      <c r="BE486" s="196"/>
      <c r="BF486" s="196"/>
    </row>
    <row r="487">
      <c r="A487" s="194" t="s">
        <v>337</v>
      </c>
      <c r="B487" s="195" t="s">
        <v>176</v>
      </c>
      <c r="C487" s="195" t="s">
        <v>177</v>
      </c>
      <c r="D487" s="195" t="s">
        <v>178</v>
      </c>
      <c r="E487" s="195" t="s">
        <v>179</v>
      </c>
      <c r="F487" s="195" t="s">
        <v>578</v>
      </c>
      <c r="G487" s="195" t="s">
        <v>579</v>
      </c>
      <c r="H487" s="195" t="s">
        <v>181</v>
      </c>
      <c r="I487" s="195" t="s">
        <v>182</v>
      </c>
      <c r="J487" s="195" t="s">
        <v>183</v>
      </c>
      <c r="K487" s="196"/>
      <c r="L487" s="196"/>
      <c r="M487" s="196"/>
      <c r="N487" s="196"/>
      <c r="O487" s="196"/>
      <c r="P487" s="196"/>
      <c r="Q487" s="195" t="s">
        <v>272</v>
      </c>
      <c r="R487" s="195" t="s">
        <v>273</v>
      </c>
      <c r="S487" s="194" t="s">
        <v>694</v>
      </c>
      <c r="T487" s="194" t="s">
        <v>695</v>
      </c>
      <c r="U487" s="196"/>
      <c r="V487" s="196"/>
      <c r="W487" s="196"/>
      <c r="X487" s="196"/>
      <c r="Y487" s="196"/>
      <c r="Z487" s="196"/>
      <c r="AA487" s="196"/>
      <c r="AB487" s="196"/>
      <c r="AC487" s="196"/>
      <c r="AD487" s="196"/>
      <c r="AE487" s="196"/>
      <c r="AF487" s="196"/>
      <c r="AG487" s="195" t="s">
        <v>526</v>
      </c>
      <c r="AH487" s="195" t="s">
        <v>696</v>
      </c>
      <c r="AI487" s="195" t="s">
        <v>697</v>
      </c>
      <c r="AJ487" s="195" t="s">
        <v>698</v>
      </c>
      <c r="AK487" s="195" t="s">
        <v>253</v>
      </c>
      <c r="AL487" s="195" t="s">
        <v>192</v>
      </c>
      <c r="AM487" s="195" t="s">
        <v>248</v>
      </c>
      <c r="AN487" s="195" t="s">
        <v>189</v>
      </c>
      <c r="AO487" s="196"/>
      <c r="AP487" s="196"/>
      <c r="AQ487" s="196"/>
      <c r="AR487" s="196"/>
      <c r="AS487" s="196"/>
      <c r="AT487" s="196"/>
      <c r="AU487" s="196"/>
      <c r="AV487" s="196"/>
      <c r="AW487" s="196"/>
      <c r="AX487" s="196"/>
      <c r="AY487" s="196"/>
      <c r="AZ487" s="196"/>
      <c r="BA487" s="196"/>
      <c r="BB487" s="196"/>
      <c r="BC487" s="196"/>
      <c r="BD487" s="196"/>
      <c r="BE487" s="196"/>
      <c r="BF487" s="196"/>
    </row>
    <row r="488">
      <c r="A488" s="197"/>
      <c r="B488" s="195" t="s">
        <v>637</v>
      </c>
      <c r="C488" s="195" t="s">
        <v>637</v>
      </c>
      <c r="D488" s="195" t="s">
        <v>637</v>
      </c>
      <c r="E488" s="195" t="s">
        <v>637</v>
      </c>
      <c r="F488" s="195" t="s">
        <v>637</v>
      </c>
      <c r="G488" s="195" t="s">
        <v>637</v>
      </c>
      <c r="H488" s="195" t="s">
        <v>529</v>
      </c>
      <c r="I488" s="195" t="s">
        <v>529</v>
      </c>
      <c r="J488" s="195" t="s">
        <v>529</v>
      </c>
      <c r="K488" s="196"/>
      <c r="L488" s="196"/>
      <c r="M488" s="196"/>
      <c r="N488" s="196"/>
      <c r="O488" s="196"/>
      <c r="P488" s="196"/>
      <c r="Q488" s="195" t="s">
        <v>530</v>
      </c>
      <c r="R488" s="195" t="s">
        <v>530</v>
      </c>
      <c r="S488" s="195" t="s">
        <v>531</v>
      </c>
      <c r="T488" s="195" t="s">
        <v>531</v>
      </c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5" t="s">
        <v>530</v>
      </c>
      <c r="AH488" s="195" t="s">
        <v>530</v>
      </c>
      <c r="AI488" s="195" t="s">
        <v>699</v>
      </c>
      <c r="AJ488" s="195" t="s">
        <v>531</v>
      </c>
      <c r="AK488" s="195" t="s">
        <v>531</v>
      </c>
      <c r="AL488" s="195" t="s">
        <v>531</v>
      </c>
      <c r="AM488" s="195" t="s">
        <v>531</v>
      </c>
      <c r="AN488" s="195" t="s">
        <v>531</v>
      </c>
      <c r="AO488" s="196"/>
      <c r="AP488" s="196"/>
      <c r="AQ488" s="196"/>
      <c r="AR488" s="196"/>
      <c r="AS488" s="196"/>
      <c r="AT488" s="196"/>
      <c r="AU488" s="196"/>
      <c r="AV488" s="196"/>
      <c r="AW488" s="196"/>
      <c r="AX488" s="196"/>
      <c r="AY488" s="196"/>
      <c r="AZ488" s="196"/>
      <c r="BA488" s="196"/>
      <c r="BB488" s="196"/>
      <c r="BC488" s="196"/>
      <c r="BD488" s="196"/>
      <c r="BE488" s="196"/>
      <c r="BF488" s="196"/>
    </row>
    <row r="489">
      <c r="A489" s="197"/>
      <c r="B489" s="198">
        <v>0.9592</v>
      </c>
      <c r="C489" s="198">
        <v>0.8263</v>
      </c>
      <c r="D489" s="198">
        <v>1.0331</v>
      </c>
      <c r="E489" s="198">
        <v>1.3605</v>
      </c>
      <c r="F489" s="198">
        <v>0.6254</v>
      </c>
      <c r="G489" s="198">
        <v>1.1309</v>
      </c>
      <c r="H489" s="198">
        <v>0.8205</v>
      </c>
      <c r="I489" s="198">
        <v>1.641</v>
      </c>
      <c r="J489" s="198">
        <v>2.0513</v>
      </c>
      <c r="K489" s="196"/>
      <c r="L489" s="196"/>
      <c r="M489" s="196"/>
      <c r="N489" s="196"/>
      <c r="O489" s="196"/>
      <c r="P489" s="196"/>
      <c r="Q489" s="198">
        <v>1.992</v>
      </c>
      <c r="R489" s="198">
        <v>2.952</v>
      </c>
      <c r="S489" s="198">
        <v>0.2</v>
      </c>
      <c r="T489" s="199">
        <v>0.15</v>
      </c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8">
        <v>1.6</v>
      </c>
      <c r="AH489" s="198">
        <v>0.24</v>
      </c>
      <c r="AI489" s="198">
        <v>0.26</v>
      </c>
      <c r="AJ489" s="198">
        <v>0.8</v>
      </c>
      <c r="AK489" s="199">
        <v>1.0</v>
      </c>
      <c r="AL489" s="199">
        <v>0.3</v>
      </c>
      <c r="AM489" s="199">
        <v>0.1</v>
      </c>
      <c r="AN489" s="199">
        <v>0.1</v>
      </c>
      <c r="AO489" s="196"/>
      <c r="AP489" s="196"/>
      <c r="AQ489" s="196"/>
      <c r="AR489" s="196"/>
      <c r="AS489" s="196"/>
      <c r="AT489" s="196"/>
      <c r="AU489" s="196"/>
      <c r="AV489" s="196"/>
      <c r="AW489" s="196"/>
      <c r="AX489" s="196"/>
      <c r="AY489" s="196"/>
      <c r="AZ489" s="196"/>
      <c r="BA489" s="196"/>
      <c r="BB489" s="196"/>
      <c r="BC489" s="196"/>
      <c r="BD489" s="196"/>
      <c r="BE489" s="196"/>
      <c r="BF489" s="196"/>
    </row>
    <row r="490">
      <c r="A490" s="197"/>
      <c r="B490" s="201" t="s">
        <v>304</v>
      </c>
      <c r="C490" s="201" t="s">
        <v>304</v>
      </c>
      <c r="D490" s="201" t="s">
        <v>304</v>
      </c>
      <c r="E490" s="201" t="s">
        <v>304</v>
      </c>
      <c r="F490" s="201" t="s">
        <v>304</v>
      </c>
      <c r="G490" s="201" t="s">
        <v>304</v>
      </c>
      <c r="H490" s="201" t="s">
        <v>304</v>
      </c>
      <c r="I490" s="201" t="s">
        <v>304</v>
      </c>
      <c r="J490" s="201" t="s">
        <v>304</v>
      </c>
      <c r="K490" s="196"/>
      <c r="L490" s="196"/>
      <c r="M490" s="196"/>
      <c r="N490" s="196"/>
      <c r="O490" s="196"/>
      <c r="P490" s="196"/>
      <c r="Q490" s="201" t="s">
        <v>304</v>
      </c>
      <c r="R490" s="201" t="s">
        <v>304</v>
      </c>
      <c r="S490" s="201"/>
      <c r="T490" s="196"/>
      <c r="U490" s="196"/>
      <c r="V490" s="196"/>
      <c r="W490" s="196"/>
      <c r="X490" s="196"/>
      <c r="Y490" s="196"/>
      <c r="Z490" s="196"/>
      <c r="AA490" s="196"/>
      <c r="AB490" s="196"/>
      <c r="AC490" s="196"/>
      <c r="AD490" s="196"/>
      <c r="AE490" s="196"/>
      <c r="AF490" s="196"/>
      <c r="AG490" s="201" t="s">
        <v>304</v>
      </c>
      <c r="AH490" s="201" t="s">
        <v>304</v>
      </c>
      <c r="AI490" s="201" t="s">
        <v>390</v>
      </c>
      <c r="AJ490" s="201" t="s">
        <v>390</v>
      </c>
      <c r="AK490" s="195" t="s">
        <v>304</v>
      </c>
      <c r="AL490" s="196"/>
      <c r="AM490" s="196"/>
      <c r="AN490" s="196"/>
      <c r="AO490" s="196"/>
      <c r="AP490" s="196"/>
      <c r="AQ490" s="196"/>
      <c r="AR490" s="196"/>
      <c r="AS490" s="196"/>
      <c r="AT490" s="196"/>
      <c r="AU490" s="196"/>
      <c r="AV490" s="196"/>
      <c r="AW490" s="196"/>
      <c r="AX490" s="196"/>
      <c r="AY490" s="196"/>
      <c r="AZ490" s="196"/>
      <c r="BA490" s="196"/>
      <c r="BB490" s="196"/>
      <c r="BC490" s="196"/>
      <c r="BD490" s="196"/>
      <c r="BE490" s="196"/>
      <c r="BF490" s="196"/>
    </row>
    <row r="491">
      <c r="A491" s="197"/>
      <c r="B491" s="201" t="s">
        <v>147</v>
      </c>
      <c r="C491" s="201" t="s">
        <v>147</v>
      </c>
      <c r="D491" s="201" t="s">
        <v>147</v>
      </c>
      <c r="E491" s="201" t="s">
        <v>147</v>
      </c>
      <c r="F491" s="201" t="s">
        <v>152</v>
      </c>
      <c r="G491" s="201" t="s">
        <v>152</v>
      </c>
      <c r="H491" s="201" t="s">
        <v>157</v>
      </c>
      <c r="I491" s="201" t="s">
        <v>157</v>
      </c>
      <c r="J491" s="201" t="s">
        <v>157</v>
      </c>
      <c r="K491" s="196"/>
      <c r="L491" s="196"/>
      <c r="M491" s="196"/>
      <c r="N491" s="196"/>
      <c r="O491" s="196"/>
      <c r="P491" s="196"/>
      <c r="Q491" s="201" t="s">
        <v>160</v>
      </c>
      <c r="R491" s="201" t="s">
        <v>160</v>
      </c>
      <c r="S491" s="198"/>
      <c r="T491" s="196"/>
      <c r="U491" s="196"/>
      <c r="V491" s="196"/>
      <c r="W491" s="196"/>
      <c r="X491" s="196"/>
      <c r="Y491" s="196"/>
      <c r="Z491" s="196"/>
      <c r="AA491" s="196"/>
      <c r="AB491" s="196"/>
      <c r="AC491" s="196"/>
      <c r="AD491" s="196"/>
      <c r="AE491" s="196"/>
      <c r="AF491" s="196"/>
      <c r="AG491" s="201" t="s">
        <v>164</v>
      </c>
      <c r="AH491" s="201" t="s">
        <v>147</v>
      </c>
      <c r="AI491" s="198"/>
      <c r="AJ491" s="198"/>
      <c r="AK491" s="196"/>
      <c r="AL491" s="196"/>
      <c r="AM491" s="196"/>
      <c r="AN491" s="196"/>
      <c r="AO491" s="196"/>
      <c r="AP491" s="196"/>
      <c r="AQ491" s="196"/>
      <c r="AR491" s="196"/>
      <c r="AS491" s="196"/>
      <c r="AT491" s="196"/>
      <c r="AU491" s="196"/>
      <c r="AV491" s="196"/>
      <c r="AW491" s="196"/>
      <c r="AX491" s="196"/>
      <c r="AY491" s="196"/>
      <c r="AZ491" s="196"/>
      <c r="BA491" s="196"/>
      <c r="BB491" s="196"/>
      <c r="BC491" s="196"/>
      <c r="BD491" s="196"/>
      <c r="BE491" s="196"/>
      <c r="BF491" s="196"/>
    </row>
    <row r="492">
      <c r="A492" s="194" t="s">
        <v>338</v>
      </c>
      <c r="B492" s="195" t="s">
        <v>176</v>
      </c>
      <c r="C492" s="195" t="s">
        <v>177</v>
      </c>
      <c r="D492" s="195" t="s">
        <v>244</v>
      </c>
      <c r="E492" s="195" t="s">
        <v>179</v>
      </c>
      <c r="F492" s="195" t="s">
        <v>604</v>
      </c>
      <c r="G492" s="195" t="s">
        <v>630</v>
      </c>
      <c r="H492" s="195" t="s">
        <v>180</v>
      </c>
      <c r="I492" s="195" t="s">
        <v>181</v>
      </c>
      <c r="J492" s="195" t="s">
        <v>182</v>
      </c>
      <c r="K492" s="195" t="s">
        <v>183</v>
      </c>
      <c r="L492" s="195" t="s">
        <v>248</v>
      </c>
      <c r="M492" s="196"/>
      <c r="N492" s="196"/>
      <c r="O492" s="196"/>
      <c r="P492" s="196"/>
      <c r="Q492" s="195" t="s">
        <v>700</v>
      </c>
      <c r="R492" s="195" t="s">
        <v>701</v>
      </c>
      <c r="S492" s="195" t="s">
        <v>274</v>
      </c>
      <c r="T492" s="196"/>
      <c r="U492" s="196"/>
      <c r="V492" s="196"/>
      <c r="W492" s="196"/>
      <c r="X492" s="196"/>
      <c r="Y492" s="196"/>
      <c r="Z492" s="196"/>
      <c r="AA492" s="196"/>
      <c r="AB492" s="196"/>
      <c r="AC492" s="196"/>
      <c r="AD492" s="196"/>
      <c r="AE492" s="196"/>
      <c r="AF492" s="196"/>
      <c r="AG492" s="195" t="s">
        <v>702</v>
      </c>
      <c r="AH492" s="195" t="s">
        <v>703</v>
      </c>
      <c r="AI492" s="195" t="s">
        <v>704</v>
      </c>
      <c r="AJ492" s="195" t="s">
        <v>192</v>
      </c>
      <c r="AK492" s="195" t="s">
        <v>253</v>
      </c>
      <c r="AL492" s="196"/>
      <c r="AM492" s="196"/>
      <c r="AN492" s="196"/>
      <c r="AO492" s="196"/>
      <c r="AP492" s="196"/>
      <c r="AQ492" s="196"/>
      <c r="AR492" s="196"/>
      <c r="AS492" s="196"/>
      <c r="AT492" s="196"/>
      <c r="AU492" s="196"/>
      <c r="AV492" s="196"/>
      <c r="AW492" s="196"/>
      <c r="AX492" s="196"/>
      <c r="AY492" s="196"/>
      <c r="AZ492" s="196"/>
      <c r="BA492" s="196"/>
      <c r="BB492" s="196"/>
      <c r="BC492" s="196"/>
      <c r="BD492" s="196"/>
      <c r="BE492" s="196"/>
      <c r="BF492" s="196"/>
    </row>
    <row r="493">
      <c r="A493" s="197"/>
      <c r="B493" s="195" t="s">
        <v>529</v>
      </c>
      <c r="C493" s="195" t="s">
        <v>529</v>
      </c>
      <c r="D493" s="195" t="s">
        <v>529</v>
      </c>
      <c r="E493" s="195" t="s">
        <v>529</v>
      </c>
      <c r="F493" s="195" t="s">
        <v>529</v>
      </c>
      <c r="G493" s="195" t="s">
        <v>529</v>
      </c>
      <c r="H493" s="195" t="s">
        <v>529</v>
      </c>
      <c r="I493" s="195" t="s">
        <v>529</v>
      </c>
      <c r="J493" s="195" t="s">
        <v>529</v>
      </c>
      <c r="K493" s="195" t="s">
        <v>529</v>
      </c>
      <c r="L493" s="195" t="s">
        <v>531</v>
      </c>
      <c r="M493" s="196"/>
      <c r="N493" s="196"/>
      <c r="O493" s="196"/>
      <c r="P493" s="196"/>
      <c r="Q493" s="195" t="s">
        <v>530</v>
      </c>
      <c r="R493" s="195" t="s">
        <v>530</v>
      </c>
      <c r="S493" s="195" t="s">
        <v>531</v>
      </c>
      <c r="T493" s="196"/>
      <c r="U493" s="196"/>
      <c r="V493" s="196"/>
      <c r="W493" s="196"/>
      <c r="X493" s="196"/>
      <c r="Y493" s="196"/>
      <c r="Z493" s="196"/>
      <c r="AA493" s="196"/>
      <c r="AB493" s="196"/>
      <c r="AC493" s="196"/>
      <c r="AD493" s="196"/>
      <c r="AE493" s="196"/>
      <c r="AF493" s="196"/>
      <c r="AG493" s="195" t="s">
        <v>530</v>
      </c>
      <c r="AH493" s="195" t="s">
        <v>530</v>
      </c>
      <c r="AI493" s="195" t="s">
        <v>530</v>
      </c>
      <c r="AJ493" s="195" t="s">
        <v>531</v>
      </c>
      <c r="AK493" s="195" t="s">
        <v>531</v>
      </c>
      <c r="AL493" s="196"/>
      <c r="AM493" s="196"/>
      <c r="AN493" s="196"/>
      <c r="AO493" s="196"/>
      <c r="AP493" s="196"/>
      <c r="AQ493" s="196"/>
      <c r="AR493" s="196"/>
      <c r="AS493" s="196"/>
      <c r="AT493" s="196"/>
      <c r="AU493" s="196"/>
      <c r="AV493" s="196"/>
      <c r="AW493" s="196"/>
      <c r="AX493" s="196"/>
      <c r="AY493" s="196"/>
      <c r="AZ493" s="196"/>
      <c r="BA493" s="196"/>
      <c r="BB493" s="196"/>
      <c r="BC493" s="196"/>
      <c r="BD493" s="196"/>
      <c r="BE493" s="196"/>
      <c r="BF493" s="196"/>
    </row>
    <row r="494">
      <c r="A494" s="197"/>
      <c r="B494" s="198">
        <v>0.5246</v>
      </c>
      <c r="C494" s="198">
        <v>0.516</v>
      </c>
      <c r="D494" s="198">
        <v>0.3182</v>
      </c>
      <c r="E494" s="198">
        <v>0.6966</v>
      </c>
      <c r="F494" s="198">
        <v>0.4162</v>
      </c>
      <c r="G494" s="198">
        <v>0.43</v>
      </c>
      <c r="H494" s="198">
        <v>1.3674</v>
      </c>
      <c r="I494" s="198">
        <v>0.6393</v>
      </c>
      <c r="J494" s="198">
        <v>1.2786</v>
      </c>
      <c r="K494" s="198">
        <v>1.5983</v>
      </c>
      <c r="L494" s="199">
        <v>0.1</v>
      </c>
      <c r="M494" s="196"/>
      <c r="N494" s="196"/>
      <c r="O494" s="196"/>
      <c r="P494" s="196"/>
      <c r="Q494" s="198">
        <v>0.584</v>
      </c>
      <c r="R494" s="198">
        <v>1.36</v>
      </c>
      <c r="S494" s="199">
        <v>0.12</v>
      </c>
      <c r="T494" s="196"/>
      <c r="U494" s="196"/>
      <c r="V494" s="196"/>
      <c r="W494" s="196"/>
      <c r="X494" s="196"/>
      <c r="Y494" s="196"/>
      <c r="Z494" s="196"/>
      <c r="AA494" s="196"/>
      <c r="AB494" s="196"/>
      <c r="AC494" s="196"/>
      <c r="AD494" s="196"/>
      <c r="AE494" s="196"/>
      <c r="AF494" s="196"/>
      <c r="AG494" s="198">
        <v>1.04</v>
      </c>
      <c r="AH494" s="198">
        <v>1.52</v>
      </c>
      <c r="AI494" s="198">
        <v>1.32</v>
      </c>
      <c r="AJ494" s="199">
        <v>0.15</v>
      </c>
      <c r="AK494" s="199">
        <v>-0.2</v>
      </c>
      <c r="AL494" s="196"/>
      <c r="AM494" s="196"/>
      <c r="AN494" s="196"/>
      <c r="AO494" s="196"/>
      <c r="AP494" s="196"/>
      <c r="AQ494" s="196"/>
      <c r="AR494" s="196"/>
      <c r="AS494" s="196"/>
      <c r="AT494" s="196"/>
      <c r="AU494" s="196"/>
      <c r="AV494" s="196"/>
      <c r="AW494" s="196"/>
      <c r="AX494" s="196"/>
      <c r="AY494" s="196"/>
      <c r="AZ494" s="196"/>
      <c r="BA494" s="196"/>
      <c r="BB494" s="196"/>
      <c r="BC494" s="196"/>
      <c r="BD494" s="196"/>
      <c r="BE494" s="196"/>
      <c r="BF494" s="196"/>
    </row>
    <row r="495">
      <c r="A495" s="197"/>
      <c r="B495" s="201" t="s">
        <v>304</v>
      </c>
      <c r="C495" s="201" t="s">
        <v>304</v>
      </c>
      <c r="D495" s="201" t="s">
        <v>304</v>
      </c>
      <c r="E495" s="201" t="s">
        <v>304</v>
      </c>
      <c r="F495" s="201" t="s">
        <v>304</v>
      </c>
      <c r="G495" s="201" t="s">
        <v>304</v>
      </c>
      <c r="H495" s="201" t="s">
        <v>304</v>
      </c>
      <c r="I495" s="201" t="s">
        <v>304</v>
      </c>
      <c r="J495" s="201" t="s">
        <v>304</v>
      </c>
      <c r="K495" s="201" t="s">
        <v>304</v>
      </c>
      <c r="L495" s="196"/>
      <c r="M495" s="196"/>
      <c r="N495" s="196"/>
      <c r="O495" s="196"/>
      <c r="P495" s="196"/>
      <c r="Q495" s="201" t="s">
        <v>304</v>
      </c>
      <c r="R495" s="201" t="s">
        <v>304</v>
      </c>
      <c r="S495" s="196"/>
      <c r="T495" s="196"/>
      <c r="U495" s="196"/>
      <c r="V495" s="196"/>
      <c r="W495" s="196"/>
      <c r="X495" s="196"/>
      <c r="Y495" s="196"/>
      <c r="Z495" s="196"/>
      <c r="AA495" s="196"/>
      <c r="AB495" s="196"/>
      <c r="AC495" s="196"/>
      <c r="AD495" s="196"/>
      <c r="AE495" s="196"/>
      <c r="AF495" s="196"/>
      <c r="AG495" s="201" t="s">
        <v>304</v>
      </c>
      <c r="AH495" s="201" t="s">
        <v>304</v>
      </c>
      <c r="AI495" s="201" t="s">
        <v>304</v>
      </c>
      <c r="AJ495" s="196"/>
      <c r="AK495" s="196"/>
      <c r="AL495" s="196"/>
      <c r="AM495" s="196"/>
      <c r="AN495" s="196"/>
      <c r="AO495" s="196"/>
      <c r="AP495" s="196"/>
      <c r="AQ495" s="196"/>
      <c r="AR495" s="196"/>
      <c r="AS495" s="196"/>
      <c r="AT495" s="196"/>
      <c r="AU495" s="196"/>
      <c r="AV495" s="196"/>
      <c r="AW495" s="196"/>
      <c r="AX495" s="196"/>
      <c r="AY495" s="196"/>
      <c r="AZ495" s="196"/>
      <c r="BA495" s="196"/>
      <c r="BB495" s="196"/>
      <c r="BC495" s="196"/>
      <c r="BD495" s="196"/>
      <c r="BE495" s="196"/>
      <c r="BF495" s="196"/>
    </row>
    <row r="496">
      <c r="A496" s="197"/>
      <c r="B496" s="201" t="s">
        <v>147</v>
      </c>
      <c r="C496" s="201" t="s">
        <v>147</v>
      </c>
      <c r="D496" s="201" t="s">
        <v>147</v>
      </c>
      <c r="E496" s="201" t="s">
        <v>147</v>
      </c>
      <c r="F496" s="201" t="s">
        <v>147</v>
      </c>
      <c r="G496" s="201" t="s">
        <v>147</v>
      </c>
      <c r="H496" s="201" t="s">
        <v>152</v>
      </c>
      <c r="I496" s="201" t="s">
        <v>157</v>
      </c>
      <c r="J496" s="201" t="s">
        <v>157</v>
      </c>
      <c r="K496" s="201" t="s">
        <v>157</v>
      </c>
      <c r="L496" s="196"/>
      <c r="M496" s="196"/>
      <c r="N496" s="196"/>
      <c r="O496" s="196"/>
      <c r="P496" s="196"/>
      <c r="Q496" s="201" t="s">
        <v>160</v>
      </c>
      <c r="R496" s="201" t="s">
        <v>160</v>
      </c>
      <c r="S496" s="196"/>
      <c r="T496" s="196"/>
      <c r="U496" s="196"/>
      <c r="V496" s="196"/>
      <c r="W496" s="196"/>
      <c r="X496" s="196"/>
      <c r="Y496" s="196"/>
      <c r="Z496" s="196"/>
      <c r="AA496" s="196"/>
      <c r="AB496" s="196"/>
      <c r="AC496" s="196"/>
      <c r="AD496" s="196"/>
      <c r="AE496" s="196"/>
      <c r="AF496" s="196"/>
      <c r="AG496" s="201" t="s">
        <v>164</v>
      </c>
      <c r="AH496" s="201" t="s">
        <v>164</v>
      </c>
      <c r="AI496" s="201" t="s">
        <v>164</v>
      </c>
      <c r="AJ496" s="196"/>
      <c r="AK496" s="196"/>
      <c r="AL496" s="196"/>
      <c r="AM496" s="196"/>
      <c r="AN496" s="196"/>
      <c r="AO496" s="196"/>
      <c r="AP496" s="196"/>
      <c r="AQ496" s="196"/>
      <c r="AR496" s="196"/>
      <c r="AS496" s="196"/>
      <c r="AT496" s="196"/>
      <c r="AU496" s="196"/>
      <c r="AV496" s="196"/>
      <c r="AW496" s="196"/>
      <c r="AX496" s="196"/>
      <c r="AY496" s="196"/>
      <c r="AZ496" s="196"/>
      <c r="BA496" s="196"/>
      <c r="BB496" s="196"/>
      <c r="BC496" s="196"/>
      <c r="BD496" s="196"/>
      <c r="BE496" s="196"/>
      <c r="BF496" s="196"/>
    </row>
    <row r="497">
      <c r="A497" s="194" t="s">
        <v>339</v>
      </c>
      <c r="B497" s="195" t="s">
        <v>176</v>
      </c>
      <c r="C497" s="195" t="s">
        <v>177</v>
      </c>
      <c r="D497" s="195" t="s">
        <v>178</v>
      </c>
      <c r="E497" s="195" t="s">
        <v>179</v>
      </c>
      <c r="F497" s="195" t="s">
        <v>246</v>
      </c>
      <c r="G497" s="195" t="s">
        <v>534</v>
      </c>
      <c r="H497" s="195" t="s">
        <v>535</v>
      </c>
      <c r="I497" s="195" t="s">
        <v>181</v>
      </c>
      <c r="J497" s="195" t="s">
        <v>182</v>
      </c>
      <c r="K497" s="195" t="s">
        <v>183</v>
      </c>
      <c r="L497" s="196"/>
      <c r="M497" s="196"/>
      <c r="N497" s="196"/>
      <c r="O497" s="196"/>
      <c r="P497" s="196"/>
      <c r="Q497" s="194" t="s">
        <v>705</v>
      </c>
      <c r="R497" s="194" t="s">
        <v>297</v>
      </c>
      <c r="S497" s="195" t="s">
        <v>189</v>
      </c>
      <c r="T497" s="196"/>
      <c r="U497" s="196"/>
      <c r="V497" s="196"/>
      <c r="W497" s="196"/>
      <c r="X497" s="196"/>
      <c r="Y497" s="196"/>
      <c r="Z497" s="196"/>
      <c r="AA497" s="196"/>
      <c r="AB497" s="196"/>
      <c r="AC497" s="196"/>
      <c r="AD497" s="196"/>
      <c r="AE497" s="196"/>
      <c r="AF497" s="196"/>
      <c r="AG497" s="194" t="s">
        <v>706</v>
      </c>
      <c r="AH497" s="194" t="s">
        <v>707</v>
      </c>
      <c r="AI497" s="195" t="s">
        <v>253</v>
      </c>
      <c r="AJ497" s="196"/>
      <c r="AK497" s="196"/>
      <c r="AL497" s="196"/>
      <c r="AM497" s="196"/>
      <c r="AN497" s="196"/>
      <c r="AO497" s="196"/>
      <c r="AP497" s="196"/>
      <c r="AQ497" s="196"/>
      <c r="AR497" s="196"/>
      <c r="AS497" s="196"/>
      <c r="AT497" s="196"/>
      <c r="AU497" s="196"/>
      <c r="AV497" s="196"/>
      <c r="AW497" s="196"/>
      <c r="AX497" s="196"/>
      <c r="AY497" s="196"/>
      <c r="AZ497" s="196"/>
      <c r="BA497" s="196"/>
      <c r="BB497" s="196"/>
      <c r="BC497" s="196"/>
      <c r="BD497" s="196"/>
      <c r="BE497" s="196"/>
      <c r="BF497" s="196"/>
    </row>
    <row r="498">
      <c r="A498" s="197"/>
      <c r="B498" s="195" t="s">
        <v>529</v>
      </c>
      <c r="C498" s="195" t="s">
        <v>529</v>
      </c>
      <c r="D498" s="195" t="s">
        <v>529</v>
      </c>
      <c r="E498" s="195" t="s">
        <v>529</v>
      </c>
      <c r="F498" s="195" t="s">
        <v>529</v>
      </c>
      <c r="G498" s="195" t="s">
        <v>530</v>
      </c>
      <c r="H498" s="195" t="s">
        <v>530</v>
      </c>
      <c r="I498" s="196"/>
      <c r="J498" s="196"/>
      <c r="K498" s="196"/>
      <c r="L498" s="196"/>
      <c r="M498" s="196"/>
      <c r="N498" s="196"/>
      <c r="O498" s="196"/>
      <c r="P498" s="196"/>
      <c r="Q498" s="195" t="s">
        <v>530</v>
      </c>
      <c r="R498" s="195" t="s">
        <v>530</v>
      </c>
      <c r="S498" s="195" t="s">
        <v>531</v>
      </c>
      <c r="T498" s="196"/>
      <c r="U498" s="196"/>
      <c r="V498" s="196"/>
      <c r="W498" s="196"/>
      <c r="X498" s="196"/>
      <c r="Y498" s="196"/>
      <c r="Z498" s="196"/>
      <c r="AA498" s="196"/>
      <c r="AB498" s="196"/>
      <c r="AC498" s="196"/>
      <c r="AD498" s="196"/>
      <c r="AE498" s="196"/>
      <c r="AF498" s="196"/>
      <c r="AG498" s="195" t="s">
        <v>530</v>
      </c>
      <c r="AH498" s="195" t="s">
        <v>530</v>
      </c>
      <c r="AI498" s="195" t="s">
        <v>531</v>
      </c>
      <c r="AJ498" s="196"/>
      <c r="AK498" s="196"/>
      <c r="AL498" s="196"/>
      <c r="AM498" s="196"/>
      <c r="AN498" s="196"/>
      <c r="AO498" s="196"/>
      <c r="AP498" s="196"/>
      <c r="AQ498" s="196"/>
      <c r="AR498" s="196"/>
      <c r="AS498" s="196"/>
      <c r="AT498" s="196"/>
      <c r="AU498" s="196"/>
      <c r="AV498" s="196"/>
      <c r="AW498" s="196"/>
      <c r="AX498" s="196"/>
      <c r="AY498" s="196"/>
      <c r="AZ498" s="196"/>
      <c r="BA498" s="196"/>
      <c r="BB498" s="196"/>
      <c r="BC498" s="196"/>
      <c r="BD498" s="196"/>
      <c r="BE498" s="196"/>
      <c r="BF498" s="196"/>
    </row>
    <row r="499">
      <c r="A499" s="197"/>
      <c r="B499" s="198">
        <v>0.3689</v>
      </c>
      <c r="C499" s="198">
        <v>0.387</v>
      </c>
      <c r="D499" s="198">
        <v>0.485</v>
      </c>
      <c r="E499" s="198">
        <v>0.504</v>
      </c>
      <c r="F499" s="198">
        <v>0.5805</v>
      </c>
      <c r="G499" s="198">
        <v>0.4386</v>
      </c>
      <c r="H499" s="198">
        <v>1.24</v>
      </c>
      <c r="I499" s="198">
        <v>0.5683</v>
      </c>
      <c r="J499" s="198">
        <v>1.1366</v>
      </c>
      <c r="K499" s="198">
        <v>1.4208</v>
      </c>
      <c r="L499" s="196"/>
      <c r="M499" s="196"/>
      <c r="N499" s="196"/>
      <c r="O499" s="196"/>
      <c r="P499" s="196"/>
      <c r="Q499" s="198">
        <v>1.2576</v>
      </c>
      <c r="R499" s="198">
        <v>0.4296</v>
      </c>
      <c r="S499" s="199">
        <v>0.3</v>
      </c>
      <c r="T499" s="196"/>
      <c r="U499" s="196"/>
      <c r="V499" s="196"/>
      <c r="W499" s="196"/>
      <c r="X499" s="196"/>
      <c r="Y499" s="196"/>
      <c r="Z499" s="196"/>
      <c r="AA499" s="196"/>
      <c r="AB499" s="196"/>
      <c r="AC499" s="196"/>
      <c r="AD499" s="196"/>
      <c r="AE499" s="196"/>
      <c r="AF499" s="196"/>
      <c r="AG499" s="198">
        <v>4.096</v>
      </c>
      <c r="AH499" s="198">
        <v>0.3412</v>
      </c>
      <c r="AI499" s="199">
        <v>0.6</v>
      </c>
      <c r="AJ499" s="196"/>
      <c r="AK499" s="196"/>
      <c r="AL499" s="196"/>
      <c r="AM499" s="196"/>
      <c r="AN499" s="196"/>
      <c r="AO499" s="196"/>
      <c r="AP499" s="196"/>
      <c r="AQ499" s="196"/>
      <c r="AR499" s="196"/>
      <c r="AS499" s="196"/>
      <c r="AT499" s="196"/>
      <c r="AU499" s="196"/>
      <c r="AV499" s="196"/>
      <c r="AW499" s="196"/>
      <c r="AX499" s="196"/>
      <c r="AY499" s="196"/>
      <c r="AZ499" s="196"/>
      <c r="BA499" s="196"/>
      <c r="BB499" s="196"/>
      <c r="BC499" s="196"/>
      <c r="BD499" s="196"/>
      <c r="BE499" s="196"/>
      <c r="BF499" s="196"/>
    </row>
    <row r="500">
      <c r="A500" s="197"/>
      <c r="B500" s="201" t="s">
        <v>304</v>
      </c>
      <c r="C500" s="201" t="s">
        <v>304</v>
      </c>
      <c r="D500" s="201" t="s">
        <v>304</v>
      </c>
      <c r="E500" s="201" t="s">
        <v>304</v>
      </c>
      <c r="F500" s="201" t="s">
        <v>304</v>
      </c>
      <c r="G500" s="201" t="s">
        <v>304</v>
      </c>
      <c r="H500" s="201" t="s">
        <v>304</v>
      </c>
      <c r="I500" s="201" t="s">
        <v>304</v>
      </c>
      <c r="J500" s="201" t="s">
        <v>304</v>
      </c>
      <c r="K500" s="201" t="s">
        <v>304</v>
      </c>
      <c r="L500" s="196"/>
      <c r="M500" s="196"/>
      <c r="N500" s="196"/>
      <c r="O500" s="196"/>
      <c r="P500" s="196"/>
      <c r="Q500" s="201" t="s">
        <v>304</v>
      </c>
      <c r="R500" s="201" t="s">
        <v>693</v>
      </c>
      <c r="S500" s="196"/>
      <c r="T500" s="196"/>
      <c r="U500" s="196"/>
      <c r="V500" s="196"/>
      <c r="W500" s="196"/>
      <c r="X500" s="196"/>
      <c r="Y500" s="196"/>
      <c r="Z500" s="196"/>
      <c r="AA500" s="196"/>
      <c r="AB500" s="196"/>
      <c r="AC500" s="196"/>
      <c r="AD500" s="196"/>
      <c r="AE500" s="196"/>
      <c r="AF500" s="196"/>
      <c r="AG500" s="201" t="s">
        <v>304</v>
      </c>
      <c r="AH500" s="201" t="s">
        <v>304</v>
      </c>
      <c r="AI500" s="196"/>
      <c r="AJ500" s="196"/>
      <c r="AK500" s="196"/>
      <c r="AL500" s="196"/>
      <c r="AM500" s="196"/>
      <c r="AN500" s="196"/>
      <c r="AO500" s="196"/>
      <c r="AP500" s="196"/>
      <c r="AQ500" s="196"/>
      <c r="AR500" s="196"/>
      <c r="AS500" s="196"/>
      <c r="AT500" s="196"/>
      <c r="AU500" s="196"/>
      <c r="AV500" s="196"/>
      <c r="AW500" s="196"/>
      <c r="AX500" s="196"/>
      <c r="AY500" s="196"/>
      <c r="AZ500" s="196"/>
      <c r="BA500" s="196"/>
      <c r="BB500" s="196"/>
      <c r="BC500" s="196"/>
      <c r="BD500" s="196"/>
      <c r="BE500" s="196"/>
      <c r="BF500" s="196"/>
    </row>
    <row r="501">
      <c r="A501" s="197"/>
      <c r="B501" s="201" t="s">
        <v>147</v>
      </c>
      <c r="C501" s="201" t="s">
        <v>147</v>
      </c>
      <c r="D501" s="201" t="s">
        <v>147</v>
      </c>
      <c r="E501" s="201" t="s">
        <v>147</v>
      </c>
      <c r="F501" s="201" t="s">
        <v>147</v>
      </c>
      <c r="G501" s="201" t="s">
        <v>152</v>
      </c>
      <c r="H501" s="201" t="s">
        <v>152</v>
      </c>
      <c r="I501" s="201" t="s">
        <v>157</v>
      </c>
      <c r="J501" s="201" t="s">
        <v>157</v>
      </c>
      <c r="K501" s="201" t="s">
        <v>157</v>
      </c>
      <c r="L501" s="196"/>
      <c r="M501" s="196"/>
      <c r="N501" s="196"/>
      <c r="O501" s="196"/>
      <c r="P501" s="196"/>
      <c r="Q501" s="201" t="s">
        <v>160</v>
      </c>
      <c r="R501" s="198"/>
      <c r="S501" s="196"/>
      <c r="T501" s="196"/>
      <c r="U501" s="196"/>
      <c r="V501" s="196"/>
      <c r="W501" s="196"/>
      <c r="X501" s="196"/>
      <c r="Y501" s="196"/>
      <c r="Z501" s="196"/>
      <c r="AA501" s="196"/>
      <c r="AB501" s="196"/>
      <c r="AC501" s="196"/>
      <c r="AD501" s="196"/>
      <c r="AE501" s="196"/>
      <c r="AF501" s="196"/>
      <c r="AG501" s="201" t="s">
        <v>164</v>
      </c>
      <c r="AH501" s="201" t="s">
        <v>164</v>
      </c>
      <c r="AI501" s="196"/>
      <c r="AJ501" s="196"/>
      <c r="AK501" s="196"/>
      <c r="AL501" s="196"/>
      <c r="AM501" s="196"/>
      <c r="AN501" s="196"/>
      <c r="AO501" s="196"/>
      <c r="AP501" s="196"/>
      <c r="AQ501" s="196"/>
      <c r="AR501" s="196"/>
      <c r="AS501" s="196"/>
      <c r="AT501" s="196"/>
      <c r="AU501" s="196"/>
      <c r="AV501" s="196"/>
      <c r="AW501" s="196"/>
      <c r="AX501" s="196"/>
      <c r="AY501" s="196"/>
      <c r="AZ501" s="196"/>
      <c r="BA501" s="196"/>
      <c r="BB501" s="196"/>
      <c r="BC501" s="196"/>
      <c r="BD501" s="196"/>
      <c r="BE501" s="196"/>
      <c r="BF501" s="196"/>
    </row>
    <row r="502">
      <c r="A502" s="194" t="s">
        <v>340</v>
      </c>
      <c r="B502" s="195" t="s">
        <v>176</v>
      </c>
      <c r="C502" s="195" t="s">
        <v>177</v>
      </c>
      <c r="D502" s="195" t="s">
        <v>244</v>
      </c>
      <c r="E502" s="195" t="s">
        <v>179</v>
      </c>
      <c r="F502" s="195" t="s">
        <v>578</v>
      </c>
      <c r="G502" s="195" t="s">
        <v>579</v>
      </c>
      <c r="H502" s="195" t="s">
        <v>181</v>
      </c>
      <c r="I502" s="195" t="s">
        <v>182</v>
      </c>
      <c r="J502" s="195" t="s">
        <v>183</v>
      </c>
      <c r="K502" s="195" t="s">
        <v>708</v>
      </c>
      <c r="L502" s="195" t="s">
        <v>709</v>
      </c>
      <c r="M502" s="196"/>
      <c r="N502" s="196"/>
      <c r="O502" s="196"/>
      <c r="P502" s="196"/>
      <c r="Q502" s="195" t="s">
        <v>710</v>
      </c>
      <c r="R502" s="195" t="s">
        <v>711</v>
      </c>
      <c r="S502" s="195" t="s">
        <v>712</v>
      </c>
      <c r="T502" s="195" t="s">
        <v>713</v>
      </c>
      <c r="U502" s="195" t="s">
        <v>714</v>
      </c>
      <c r="V502" s="195" t="s">
        <v>189</v>
      </c>
      <c r="W502" s="196"/>
      <c r="X502" s="196"/>
      <c r="Y502" s="196"/>
      <c r="Z502" s="196"/>
      <c r="AA502" s="196"/>
      <c r="AB502" s="196"/>
      <c r="AC502" s="196"/>
      <c r="AD502" s="196"/>
      <c r="AE502" s="196"/>
      <c r="AF502" s="196"/>
      <c r="AG502" s="195" t="s">
        <v>715</v>
      </c>
      <c r="AH502" s="195" t="s">
        <v>716</v>
      </c>
      <c r="AI502" s="195" t="s">
        <v>717</v>
      </c>
      <c r="AJ502" s="195" t="s">
        <v>718</v>
      </c>
      <c r="AK502" s="195" t="s">
        <v>719</v>
      </c>
      <c r="AL502" s="195" t="s">
        <v>720</v>
      </c>
      <c r="AM502" s="195" t="s">
        <v>721</v>
      </c>
      <c r="AN502" s="195" t="s">
        <v>722</v>
      </c>
      <c r="AO502" s="196"/>
      <c r="AP502" s="196"/>
      <c r="AQ502" s="196"/>
      <c r="AR502" s="196"/>
      <c r="AS502" s="196"/>
      <c r="AT502" s="196"/>
      <c r="AU502" s="196"/>
      <c r="AV502" s="196"/>
      <c r="AW502" s="196"/>
      <c r="AX502" s="196"/>
      <c r="AY502" s="196"/>
      <c r="AZ502" s="196"/>
      <c r="BA502" s="196"/>
      <c r="BB502" s="196"/>
      <c r="BC502" s="196"/>
      <c r="BD502" s="196"/>
      <c r="BE502" s="196"/>
      <c r="BF502" s="196"/>
    </row>
    <row r="503">
      <c r="A503" s="197"/>
      <c r="B503" s="195" t="s">
        <v>528</v>
      </c>
      <c r="C503" s="195" t="s">
        <v>528</v>
      </c>
      <c r="D503" s="195" t="s">
        <v>528</v>
      </c>
      <c r="E503" s="195" t="s">
        <v>528</v>
      </c>
      <c r="F503" s="195" t="s">
        <v>528</v>
      </c>
      <c r="G503" s="195" t="s">
        <v>528</v>
      </c>
      <c r="H503" s="195" t="s">
        <v>529</v>
      </c>
      <c r="I503" s="195" t="s">
        <v>529</v>
      </c>
      <c r="J503" s="195" t="s">
        <v>529</v>
      </c>
      <c r="K503" s="195" t="s">
        <v>531</v>
      </c>
      <c r="L503" s="195" t="s">
        <v>531</v>
      </c>
      <c r="M503" s="196"/>
      <c r="N503" s="196"/>
      <c r="O503" s="196"/>
      <c r="P503" s="196"/>
      <c r="Q503" s="195" t="s">
        <v>530</v>
      </c>
      <c r="R503" s="195" t="s">
        <v>530</v>
      </c>
      <c r="S503" s="195" t="s">
        <v>530</v>
      </c>
      <c r="T503" s="195" t="s">
        <v>530</v>
      </c>
      <c r="U503" s="195" t="s">
        <v>530</v>
      </c>
      <c r="V503" s="195" t="s">
        <v>531</v>
      </c>
      <c r="W503" s="196"/>
      <c r="X503" s="196"/>
      <c r="Y503" s="196"/>
      <c r="Z503" s="196"/>
      <c r="AA503" s="196"/>
      <c r="AB503" s="196"/>
      <c r="AC503" s="196"/>
      <c r="AD503" s="196"/>
      <c r="AE503" s="196"/>
      <c r="AF503" s="196"/>
      <c r="AG503" s="195" t="s">
        <v>530</v>
      </c>
      <c r="AH503" s="195" t="s">
        <v>530</v>
      </c>
      <c r="AI503" s="195" t="s">
        <v>577</v>
      </c>
      <c r="AJ503" s="195" t="s">
        <v>530</v>
      </c>
      <c r="AK503" s="195" t="s">
        <v>530</v>
      </c>
      <c r="AL503" s="195" t="s">
        <v>577</v>
      </c>
      <c r="AM503" s="195" t="s">
        <v>531</v>
      </c>
      <c r="AN503" s="195" t="s">
        <v>531</v>
      </c>
      <c r="AO503" s="196"/>
      <c r="AP503" s="196"/>
      <c r="AQ503" s="196"/>
      <c r="AR503" s="196"/>
      <c r="AS503" s="196"/>
      <c r="AT503" s="196"/>
      <c r="AU503" s="196"/>
      <c r="AV503" s="196"/>
      <c r="AW503" s="196"/>
      <c r="AX503" s="196"/>
      <c r="AY503" s="196"/>
      <c r="AZ503" s="196"/>
      <c r="BA503" s="196"/>
      <c r="BB503" s="196"/>
      <c r="BC503" s="196"/>
      <c r="BD503" s="196"/>
      <c r="BE503" s="196"/>
      <c r="BF503" s="196"/>
    </row>
    <row r="504">
      <c r="A504" s="197"/>
      <c r="B504" s="198">
        <v>0.7224</v>
      </c>
      <c r="C504" s="198">
        <v>0.7138</v>
      </c>
      <c r="D504" s="198">
        <v>0.4343</v>
      </c>
      <c r="E504" s="198">
        <v>0.9813</v>
      </c>
      <c r="F504" s="198">
        <v>0.6255</v>
      </c>
      <c r="G504" s="198">
        <v>1.1309</v>
      </c>
      <c r="H504" s="198">
        <v>0.7459</v>
      </c>
      <c r="I504" s="198">
        <v>1.4918</v>
      </c>
      <c r="J504" s="198">
        <v>1.8648</v>
      </c>
      <c r="K504" s="195">
        <v>300.0</v>
      </c>
      <c r="L504" s="195">
        <v>1.2</v>
      </c>
      <c r="M504" s="196"/>
      <c r="N504" s="196"/>
      <c r="O504" s="196"/>
      <c r="P504" s="196"/>
      <c r="Q504" s="198">
        <v>0.36</v>
      </c>
      <c r="R504" s="198">
        <v>1.584</v>
      </c>
      <c r="S504" s="198">
        <v>2.176</v>
      </c>
      <c r="T504" s="198">
        <v>0.168</v>
      </c>
      <c r="U504" s="198">
        <v>0.7616</v>
      </c>
      <c r="V504" s="200">
        <v>0.033</v>
      </c>
      <c r="W504" s="196"/>
      <c r="X504" s="196"/>
      <c r="Y504" s="196"/>
      <c r="Z504" s="196"/>
      <c r="AA504" s="196"/>
      <c r="AB504" s="196"/>
      <c r="AC504" s="196"/>
      <c r="AD504" s="196"/>
      <c r="AE504" s="196"/>
      <c r="AF504" s="196"/>
      <c r="AG504" s="198">
        <v>1.168</v>
      </c>
      <c r="AH504" s="198">
        <v>0.9216</v>
      </c>
      <c r="AI504" s="198">
        <v>577.0</v>
      </c>
      <c r="AJ504" s="198">
        <v>0.52</v>
      </c>
      <c r="AK504" s="198">
        <v>0.7987</v>
      </c>
      <c r="AL504" s="198">
        <v>500.0</v>
      </c>
      <c r="AM504" s="200">
        <v>0.002</v>
      </c>
      <c r="AN504" s="195">
        <v>3.0</v>
      </c>
      <c r="AO504" s="196"/>
      <c r="AP504" s="196"/>
      <c r="AQ504" s="196"/>
      <c r="AR504" s="196"/>
      <c r="AS504" s="196"/>
      <c r="AT504" s="196"/>
      <c r="AU504" s="196"/>
      <c r="AV504" s="196"/>
      <c r="AW504" s="196"/>
      <c r="AX504" s="196"/>
      <c r="AY504" s="196"/>
      <c r="AZ504" s="196"/>
      <c r="BA504" s="196"/>
      <c r="BB504" s="196"/>
      <c r="BC504" s="196"/>
      <c r="BD504" s="196"/>
      <c r="BE504" s="196"/>
      <c r="BF504" s="196"/>
    </row>
    <row r="505">
      <c r="A505" s="197"/>
      <c r="B505" s="201" t="s">
        <v>304</v>
      </c>
      <c r="C505" s="201" t="s">
        <v>304</v>
      </c>
      <c r="D505" s="201" t="s">
        <v>304</v>
      </c>
      <c r="E505" s="201" t="s">
        <v>304</v>
      </c>
      <c r="F505" s="201" t="s">
        <v>304</v>
      </c>
      <c r="G505" s="201" t="s">
        <v>304</v>
      </c>
      <c r="H505" s="201" t="s">
        <v>304</v>
      </c>
      <c r="I505" s="201" t="s">
        <v>304</v>
      </c>
      <c r="J505" s="201" t="s">
        <v>304</v>
      </c>
      <c r="K505" s="195" t="s">
        <v>390</v>
      </c>
      <c r="L505" s="195" t="s">
        <v>4</v>
      </c>
      <c r="M505" s="196"/>
      <c r="N505" s="196"/>
      <c r="O505" s="196"/>
      <c r="P505" s="196"/>
      <c r="Q505" s="201" t="s">
        <v>304</v>
      </c>
      <c r="R505" s="201" t="s">
        <v>304</v>
      </c>
      <c r="S505" s="201" t="s">
        <v>304</v>
      </c>
      <c r="T505" s="201" t="s">
        <v>304</v>
      </c>
      <c r="U505" s="201" t="s">
        <v>304</v>
      </c>
      <c r="V505" s="196"/>
      <c r="W505" s="196"/>
      <c r="X505" s="196"/>
      <c r="Y505" s="196"/>
      <c r="Z505" s="196"/>
      <c r="AA505" s="196"/>
      <c r="AB505" s="196"/>
      <c r="AC505" s="196"/>
      <c r="AD505" s="196"/>
      <c r="AE505" s="196"/>
      <c r="AF505" s="196"/>
      <c r="AG505" s="201" t="s">
        <v>304</v>
      </c>
      <c r="AH505" s="201" t="s">
        <v>304</v>
      </c>
      <c r="AI505" s="201" t="s">
        <v>390</v>
      </c>
      <c r="AJ505" s="201" t="s">
        <v>304</v>
      </c>
      <c r="AK505" s="201" t="s">
        <v>304</v>
      </c>
      <c r="AL505" s="201" t="s">
        <v>390</v>
      </c>
      <c r="AM505" s="195"/>
      <c r="AN505" s="195" t="s">
        <v>4</v>
      </c>
      <c r="AO505" s="196"/>
      <c r="AP505" s="196"/>
      <c r="AQ505" s="196"/>
      <c r="AR505" s="196"/>
      <c r="AS505" s="196"/>
      <c r="AT505" s="196"/>
      <c r="AU505" s="196"/>
      <c r="AV505" s="196"/>
      <c r="AW505" s="196"/>
      <c r="AX505" s="196"/>
      <c r="AY505" s="196"/>
      <c r="AZ505" s="196"/>
      <c r="BA505" s="196"/>
      <c r="BB505" s="196"/>
      <c r="BC505" s="196"/>
      <c r="BD505" s="196"/>
      <c r="BE505" s="196"/>
      <c r="BF505" s="196"/>
    </row>
    <row r="506">
      <c r="A506" s="197"/>
      <c r="B506" s="201" t="s">
        <v>147</v>
      </c>
      <c r="C506" s="201" t="s">
        <v>147</v>
      </c>
      <c r="D506" s="201" t="s">
        <v>147</v>
      </c>
      <c r="E506" s="201" t="s">
        <v>147</v>
      </c>
      <c r="F506" s="201" t="s">
        <v>152</v>
      </c>
      <c r="G506" s="201" t="s">
        <v>152</v>
      </c>
      <c r="H506" s="201" t="s">
        <v>157</v>
      </c>
      <c r="I506" s="201" t="s">
        <v>157</v>
      </c>
      <c r="J506" s="201" t="s">
        <v>157</v>
      </c>
      <c r="K506" s="196"/>
      <c r="L506" s="196"/>
      <c r="M506" s="196"/>
      <c r="N506" s="196"/>
      <c r="O506" s="196"/>
      <c r="P506" s="196"/>
      <c r="Q506" s="201" t="s">
        <v>160</v>
      </c>
      <c r="R506" s="201" t="s">
        <v>160</v>
      </c>
      <c r="S506" s="201" t="s">
        <v>160</v>
      </c>
      <c r="T506" s="201" t="s">
        <v>160</v>
      </c>
      <c r="U506" s="201" t="s">
        <v>160</v>
      </c>
      <c r="V506" s="196"/>
      <c r="W506" s="196"/>
      <c r="X506" s="196"/>
      <c r="Y506" s="196"/>
      <c r="Z506" s="196"/>
      <c r="AA506" s="196"/>
      <c r="AB506" s="196"/>
      <c r="AC506" s="196"/>
      <c r="AD506" s="196"/>
      <c r="AE506" s="196"/>
      <c r="AF506" s="196"/>
      <c r="AG506" s="201" t="s">
        <v>164</v>
      </c>
      <c r="AH506" s="198"/>
      <c r="AI506" s="198"/>
      <c r="AJ506" s="201" t="s">
        <v>164</v>
      </c>
      <c r="AK506" s="198"/>
      <c r="AL506" s="198"/>
      <c r="AM506" s="195"/>
      <c r="AN506" s="196"/>
      <c r="AO506" s="196"/>
      <c r="AP506" s="196"/>
      <c r="AQ506" s="196"/>
      <c r="AR506" s="196"/>
      <c r="AS506" s="196"/>
      <c r="AT506" s="196"/>
      <c r="AU506" s="196"/>
      <c r="AV506" s="196"/>
      <c r="AW506" s="196"/>
      <c r="AX506" s="196"/>
      <c r="AY506" s="196"/>
      <c r="AZ506" s="196"/>
      <c r="BA506" s="196"/>
      <c r="BB506" s="196"/>
      <c r="BC506" s="196"/>
      <c r="BD506" s="196"/>
      <c r="BE506" s="196"/>
      <c r="BF506" s="196"/>
    </row>
    <row r="507">
      <c r="A507" s="194" t="s">
        <v>341</v>
      </c>
      <c r="B507" s="195" t="s">
        <v>176</v>
      </c>
      <c r="C507" s="195" t="s">
        <v>177</v>
      </c>
      <c r="D507" s="195" t="s">
        <v>178</v>
      </c>
      <c r="E507" s="195" t="s">
        <v>561</v>
      </c>
      <c r="F507" s="195" t="s">
        <v>246</v>
      </c>
      <c r="G507" s="195" t="s">
        <v>180</v>
      </c>
      <c r="H507" s="195" t="s">
        <v>181</v>
      </c>
      <c r="I507" s="195" t="s">
        <v>182</v>
      </c>
      <c r="J507" s="195" t="s">
        <v>183</v>
      </c>
      <c r="K507" s="196"/>
      <c r="L507" s="196"/>
      <c r="M507" s="196"/>
      <c r="N507" s="196"/>
      <c r="O507" s="196"/>
      <c r="P507" s="196"/>
      <c r="Q507" s="195" t="s">
        <v>272</v>
      </c>
      <c r="R507" s="195" t="s">
        <v>273</v>
      </c>
      <c r="S507" s="195" t="s">
        <v>663</v>
      </c>
      <c r="T507" s="195" t="s">
        <v>192</v>
      </c>
      <c r="U507" s="195" t="s">
        <v>293</v>
      </c>
      <c r="V507" s="196"/>
      <c r="W507" s="196"/>
      <c r="X507" s="196"/>
      <c r="Y507" s="196"/>
      <c r="Z507" s="196"/>
      <c r="AA507" s="196"/>
      <c r="AB507" s="196"/>
      <c r="AC507" s="196"/>
      <c r="AD507" s="196"/>
      <c r="AE507" s="196"/>
      <c r="AF507" s="196"/>
      <c r="AG507" s="195" t="s">
        <v>542</v>
      </c>
      <c r="AH507" s="195" t="s">
        <v>276</v>
      </c>
      <c r="AI507" s="195" t="s">
        <v>607</v>
      </c>
      <c r="AJ507" s="195" t="s">
        <v>274</v>
      </c>
      <c r="AK507" s="195" t="s">
        <v>189</v>
      </c>
      <c r="AL507" s="212"/>
      <c r="AM507" s="211"/>
      <c r="AN507" s="196"/>
      <c r="AO507" s="196"/>
      <c r="AP507" s="196"/>
      <c r="AQ507" s="196"/>
      <c r="AR507" s="196"/>
      <c r="AS507" s="196"/>
      <c r="AT507" s="196"/>
      <c r="AU507" s="196"/>
      <c r="AV507" s="196"/>
      <c r="AW507" s="196"/>
      <c r="AX507" s="196"/>
      <c r="AY507" s="196"/>
      <c r="AZ507" s="196"/>
      <c r="BA507" s="196"/>
      <c r="BB507" s="196"/>
      <c r="BC507" s="196"/>
      <c r="BD507" s="196"/>
      <c r="BE507" s="196"/>
      <c r="BF507" s="196"/>
    </row>
    <row r="508">
      <c r="A508" s="197"/>
      <c r="B508" s="195" t="s">
        <v>529</v>
      </c>
      <c r="C508" s="195" t="s">
        <v>529</v>
      </c>
      <c r="D508" s="195" t="s">
        <v>529</v>
      </c>
      <c r="E508" s="195" t="s">
        <v>529</v>
      </c>
      <c r="F508" s="195" t="s">
        <v>529</v>
      </c>
      <c r="G508" s="195" t="s">
        <v>529</v>
      </c>
      <c r="H508" s="195" t="s">
        <v>529</v>
      </c>
      <c r="I508" s="195" t="s">
        <v>529</v>
      </c>
      <c r="J508" s="195" t="s">
        <v>529</v>
      </c>
      <c r="K508" s="196"/>
      <c r="L508" s="196"/>
      <c r="M508" s="196"/>
      <c r="N508" s="196"/>
      <c r="O508" s="196"/>
      <c r="P508" s="196"/>
      <c r="Q508" s="195" t="s">
        <v>530</v>
      </c>
      <c r="R508" s="195" t="s">
        <v>530</v>
      </c>
      <c r="S508" s="195" t="s">
        <v>530</v>
      </c>
      <c r="T508" s="195" t="s">
        <v>531</v>
      </c>
      <c r="U508" s="195" t="s">
        <v>531</v>
      </c>
      <c r="V508" s="196"/>
      <c r="W508" s="196"/>
      <c r="X508" s="196"/>
      <c r="Y508" s="196"/>
      <c r="Z508" s="196"/>
      <c r="AA508" s="196"/>
      <c r="AB508" s="196"/>
      <c r="AC508" s="196"/>
      <c r="AD508" s="196"/>
      <c r="AE508" s="196"/>
      <c r="AF508" s="196"/>
      <c r="AG508" s="195" t="s">
        <v>530</v>
      </c>
      <c r="AH508" s="195" t="s">
        <v>530</v>
      </c>
      <c r="AI508" s="195" t="s">
        <v>723</v>
      </c>
      <c r="AJ508" s="195" t="s">
        <v>531</v>
      </c>
      <c r="AK508" s="195" t="s">
        <v>589</v>
      </c>
      <c r="AL508" s="212"/>
      <c r="AM508" s="211"/>
      <c r="AN508" s="196"/>
      <c r="AO508" s="196"/>
      <c r="AP508" s="196"/>
      <c r="AQ508" s="196"/>
      <c r="AR508" s="196"/>
      <c r="AS508" s="196"/>
      <c r="AT508" s="196"/>
      <c r="AU508" s="196"/>
      <c r="AV508" s="196"/>
      <c r="AW508" s="196"/>
      <c r="AX508" s="196"/>
      <c r="AY508" s="196"/>
      <c r="AZ508" s="196"/>
      <c r="BA508" s="196"/>
      <c r="BB508" s="196"/>
      <c r="BC508" s="196"/>
      <c r="BD508" s="196"/>
      <c r="BE508" s="196"/>
      <c r="BF508" s="196"/>
    </row>
    <row r="509">
      <c r="A509" s="197"/>
      <c r="B509" s="198">
        <v>0.4326</v>
      </c>
      <c r="C509" s="198">
        <v>0.4025</v>
      </c>
      <c r="D509" s="198">
        <v>0.5332</v>
      </c>
      <c r="E509" s="198">
        <v>0.2632</v>
      </c>
      <c r="F509" s="198">
        <v>0.6562</v>
      </c>
      <c r="G509" s="198">
        <v>1.1067</v>
      </c>
      <c r="H509" s="198">
        <v>0.6393</v>
      </c>
      <c r="I509" s="198">
        <v>1.2784</v>
      </c>
      <c r="J509" s="198">
        <v>1.5968</v>
      </c>
      <c r="K509" s="196"/>
      <c r="L509" s="196"/>
      <c r="M509" s="196"/>
      <c r="N509" s="196"/>
      <c r="O509" s="196"/>
      <c r="P509" s="196"/>
      <c r="Q509" s="198">
        <v>1.392</v>
      </c>
      <c r="R509" s="198">
        <v>1.888</v>
      </c>
      <c r="S509" s="198">
        <v>0.4566</v>
      </c>
      <c r="T509" s="199">
        <v>0.15</v>
      </c>
      <c r="U509" s="199">
        <v>0.05</v>
      </c>
      <c r="V509" s="196"/>
      <c r="W509" s="196"/>
      <c r="X509" s="196"/>
      <c r="Y509" s="196"/>
      <c r="Z509" s="196"/>
      <c r="AA509" s="196"/>
      <c r="AB509" s="196"/>
      <c r="AC509" s="196"/>
      <c r="AD509" s="196"/>
      <c r="AE509" s="196"/>
      <c r="AF509" s="196"/>
      <c r="AG509" s="198">
        <v>1.008</v>
      </c>
      <c r="AH509" s="198">
        <v>0.3312</v>
      </c>
      <c r="AI509" s="198">
        <v>-0.06</v>
      </c>
      <c r="AJ509" s="199">
        <v>0.15</v>
      </c>
      <c r="AK509" s="199">
        <v>0.15</v>
      </c>
      <c r="AL509" s="212"/>
      <c r="AM509" s="211"/>
      <c r="AN509" s="196"/>
      <c r="AO509" s="196"/>
      <c r="AP509" s="196"/>
      <c r="AQ509" s="196"/>
      <c r="AR509" s="196"/>
      <c r="AS509" s="196"/>
      <c r="AT509" s="196"/>
      <c r="AU509" s="196"/>
      <c r="AV509" s="196"/>
      <c r="AW509" s="196"/>
      <c r="AX509" s="196"/>
      <c r="AY509" s="196"/>
      <c r="AZ509" s="196"/>
      <c r="BA509" s="196"/>
      <c r="BB509" s="196"/>
      <c r="BC509" s="196"/>
      <c r="BD509" s="196"/>
      <c r="BE509" s="196"/>
      <c r="BF509" s="196"/>
    </row>
    <row r="510">
      <c r="A510" s="197"/>
      <c r="B510" s="201" t="s">
        <v>304</v>
      </c>
      <c r="C510" s="201" t="s">
        <v>304</v>
      </c>
      <c r="D510" s="201" t="s">
        <v>304</v>
      </c>
      <c r="E510" s="201" t="s">
        <v>304</v>
      </c>
      <c r="F510" s="201" t="s">
        <v>304</v>
      </c>
      <c r="G510" s="201" t="s">
        <v>304</v>
      </c>
      <c r="H510" s="201" t="s">
        <v>304</v>
      </c>
      <c r="I510" s="201" t="s">
        <v>304</v>
      </c>
      <c r="J510" s="201" t="s">
        <v>304</v>
      </c>
      <c r="K510" s="196"/>
      <c r="L510" s="196"/>
      <c r="M510" s="196"/>
      <c r="N510" s="196"/>
      <c r="O510" s="196"/>
      <c r="P510" s="196"/>
      <c r="Q510" s="201" t="s">
        <v>304</v>
      </c>
      <c r="R510" s="201" t="s">
        <v>304</v>
      </c>
      <c r="S510" s="201"/>
      <c r="T510" s="201"/>
      <c r="U510" s="201"/>
      <c r="V510" s="196"/>
      <c r="W510" s="196"/>
      <c r="X510" s="196"/>
      <c r="Y510" s="196"/>
      <c r="Z510" s="196"/>
      <c r="AA510" s="196"/>
      <c r="AB510" s="196"/>
      <c r="AC510" s="196"/>
      <c r="AD510" s="196"/>
      <c r="AE510" s="196"/>
      <c r="AF510" s="196"/>
      <c r="AG510" s="201" t="s">
        <v>304</v>
      </c>
      <c r="AH510" s="201" t="s">
        <v>304</v>
      </c>
      <c r="AI510" s="198"/>
      <c r="AJ510" s="201"/>
      <c r="AK510" s="198"/>
      <c r="AL510" s="198"/>
      <c r="AM510" s="195"/>
      <c r="AN510" s="196"/>
      <c r="AO510" s="196"/>
      <c r="AP510" s="196"/>
      <c r="AQ510" s="196"/>
      <c r="AR510" s="196"/>
      <c r="AS510" s="196"/>
      <c r="AT510" s="196"/>
      <c r="AU510" s="196"/>
      <c r="AV510" s="196"/>
      <c r="AW510" s="196"/>
      <c r="AX510" s="196"/>
      <c r="AY510" s="196"/>
      <c r="AZ510" s="196"/>
      <c r="BA510" s="196"/>
      <c r="BB510" s="196"/>
      <c r="BC510" s="196"/>
      <c r="BD510" s="196"/>
      <c r="BE510" s="196"/>
      <c r="BF510" s="196"/>
    </row>
    <row r="511">
      <c r="A511" s="197"/>
      <c r="B511" s="201" t="s">
        <v>147</v>
      </c>
      <c r="C511" s="201" t="s">
        <v>147</v>
      </c>
      <c r="D511" s="201" t="s">
        <v>147</v>
      </c>
      <c r="E511" s="201" t="s">
        <v>147</v>
      </c>
      <c r="F511" s="201" t="s">
        <v>147</v>
      </c>
      <c r="G511" s="201" t="s">
        <v>152</v>
      </c>
      <c r="H511" s="201" t="s">
        <v>157</v>
      </c>
      <c r="I511" s="201" t="s">
        <v>157</v>
      </c>
      <c r="J511" s="201" t="s">
        <v>157</v>
      </c>
      <c r="K511" s="196"/>
      <c r="L511" s="196"/>
      <c r="M511" s="196"/>
      <c r="N511" s="196"/>
      <c r="O511" s="196"/>
      <c r="P511" s="196"/>
      <c r="Q511" s="201" t="s">
        <v>160</v>
      </c>
      <c r="R511" s="201" t="s">
        <v>160</v>
      </c>
      <c r="S511" s="201"/>
      <c r="T511" s="201"/>
      <c r="U511" s="201"/>
      <c r="V511" s="196"/>
      <c r="W511" s="196"/>
      <c r="X511" s="196"/>
      <c r="Y511" s="196"/>
      <c r="Z511" s="196"/>
      <c r="AA511" s="196"/>
      <c r="AB511" s="196"/>
      <c r="AC511" s="196"/>
      <c r="AD511" s="196"/>
      <c r="AE511" s="196"/>
      <c r="AF511" s="196"/>
      <c r="AG511" s="201" t="s">
        <v>164</v>
      </c>
      <c r="AH511" s="201" t="s">
        <v>164</v>
      </c>
      <c r="AI511" s="198"/>
      <c r="AJ511" s="201"/>
      <c r="AK511" s="198"/>
      <c r="AL511" s="198"/>
      <c r="AM511" s="195"/>
      <c r="AN511" s="196"/>
      <c r="AO511" s="196"/>
      <c r="AP511" s="196"/>
      <c r="AQ511" s="196"/>
      <c r="AR511" s="196"/>
      <c r="AS511" s="196"/>
      <c r="AT511" s="196"/>
      <c r="AU511" s="196"/>
      <c r="AV511" s="196"/>
      <c r="AW511" s="196"/>
      <c r="AX511" s="196"/>
      <c r="AY511" s="196"/>
      <c r="AZ511" s="196"/>
      <c r="BA511" s="196"/>
      <c r="BB511" s="196"/>
      <c r="BC511" s="196"/>
      <c r="BD511" s="196"/>
      <c r="BE511" s="196"/>
      <c r="BF511" s="196"/>
    </row>
    <row r="512">
      <c r="A512" s="194" t="s">
        <v>342</v>
      </c>
      <c r="B512" s="195" t="s">
        <v>176</v>
      </c>
      <c r="C512" s="195" t="s">
        <v>177</v>
      </c>
      <c r="D512" s="195" t="s">
        <v>178</v>
      </c>
      <c r="E512" s="195" t="s">
        <v>179</v>
      </c>
      <c r="F512" s="195" t="s">
        <v>270</v>
      </c>
      <c r="G512" s="195" t="s">
        <v>271</v>
      </c>
      <c r="H512" s="195" t="s">
        <v>181</v>
      </c>
      <c r="I512" s="195" t="s">
        <v>182</v>
      </c>
      <c r="J512" s="195" t="s">
        <v>183</v>
      </c>
      <c r="K512" s="196"/>
      <c r="L512" s="196"/>
      <c r="M512" s="196"/>
      <c r="N512" s="196"/>
      <c r="O512" s="196"/>
      <c r="P512" s="201"/>
      <c r="Q512" s="201" t="s">
        <v>588</v>
      </c>
      <c r="R512" s="201" t="s">
        <v>724</v>
      </c>
      <c r="S512" s="201" t="s">
        <v>725</v>
      </c>
      <c r="T512" s="201" t="s">
        <v>726</v>
      </c>
      <c r="U512" s="195" t="s">
        <v>293</v>
      </c>
      <c r="V512" s="195" t="s">
        <v>727</v>
      </c>
      <c r="W512" s="195" t="s">
        <v>728</v>
      </c>
      <c r="X512" s="196"/>
      <c r="Y512" s="196"/>
      <c r="Z512" s="196"/>
      <c r="AA512" s="196"/>
      <c r="AB512" s="196"/>
      <c r="AC512" s="196"/>
      <c r="AD512" s="196"/>
      <c r="AE512" s="196"/>
      <c r="AF512" s="201"/>
      <c r="AG512" s="201" t="s">
        <v>729</v>
      </c>
      <c r="AH512" s="5" t="s">
        <v>730</v>
      </c>
      <c r="AI512" s="201" t="s">
        <v>274</v>
      </c>
      <c r="AJ512" s="201" t="s">
        <v>253</v>
      </c>
      <c r="AK512" s="198"/>
      <c r="AL512" s="195"/>
      <c r="AM512" s="196"/>
      <c r="AN512" s="196"/>
      <c r="AO512" s="196"/>
      <c r="AP512" s="196"/>
      <c r="AQ512" s="196"/>
      <c r="AR512" s="196"/>
      <c r="AS512" s="196"/>
      <c r="AT512" s="196"/>
      <c r="AU512" s="196"/>
      <c r="AV512" s="196"/>
      <c r="AW512" s="196"/>
      <c r="AX512" s="196"/>
      <c r="AY512" s="196"/>
      <c r="AZ512" s="196"/>
      <c r="BA512" s="196"/>
      <c r="BB512" s="196"/>
      <c r="BC512" s="196"/>
      <c r="BD512" s="196"/>
      <c r="BE512" s="196"/>
    </row>
    <row r="513">
      <c r="A513" s="197"/>
      <c r="B513" s="201" t="s">
        <v>529</v>
      </c>
      <c r="C513" s="201" t="s">
        <v>529</v>
      </c>
      <c r="D513" s="201" t="s">
        <v>529</v>
      </c>
      <c r="E513" s="201" t="s">
        <v>529</v>
      </c>
      <c r="F513" s="201" t="s">
        <v>529</v>
      </c>
      <c r="G513" s="201" t="s">
        <v>529</v>
      </c>
      <c r="H513" s="201" t="s">
        <v>529</v>
      </c>
      <c r="I513" s="201" t="s">
        <v>529</v>
      </c>
      <c r="J513" s="201" t="s">
        <v>529</v>
      </c>
      <c r="K513" s="196"/>
      <c r="L513" s="196"/>
      <c r="M513" s="196"/>
      <c r="N513" s="196"/>
      <c r="O513" s="196"/>
      <c r="P513" s="196"/>
      <c r="Q513" s="201" t="s">
        <v>530</v>
      </c>
      <c r="R513" s="201" t="s">
        <v>530</v>
      </c>
      <c r="S513" s="201" t="s">
        <v>577</v>
      </c>
      <c r="T513" s="201" t="s">
        <v>530</v>
      </c>
      <c r="U513" s="201" t="s">
        <v>531</v>
      </c>
      <c r="V513" s="195" t="s">
        <v>531</v>
      </c>
      <c r="W513" s="195" t="s">
        <v>531</v>
      </c>
      <c r="X513" s="196"/>
      <c r="Y513" s="196"/>
      <c r="Z513" s="196"/>
      <c r="AA513" s="196"/>
      <c r="AB513" s="196"/>
      <c r="AC513" s="196"/>
      <c r="AD513" s="196"/>
      <c r="AE513" s="196"/>
      <c r="AF513" s="196"/>
      <c r="AG513" s="201" t="s">
        <v>530</v>
      </c>
      <c r="AH513" s="5" t="s">
        <v>530</v>
      </c>
      <c r="AI513" s="201" t="s">
        <v>531</v>
      </c>
      <c r="AJ513" s="201" t="s">
        <v>531</v>
      </c>
      <c r="AK513" s="198"/>
      <c r="AL513" s="198"/>
      <c r="AM513" s="195"/>
      <c r="AN513" s="196"/>
      <c r="AO513" s="196"/>
      <c r="AP513" s="196"/>
      <c r="AQ513" s="196"/>
      <c r="AR513" s="196"/>
      <c r="AS513" s="196"/>
      <c r="AT513" s="196"/>
      <c r="AU513" s="196"/>
      <c r="AV513" s="196"/>
      <c r="AW513" s="196"/>
      <c r="AX513" s="196"/>
      <c r="AY513" s="196"/>
      <c r="AZ513" s="196"/>
      <c r="BA513" s="196"/>
      <c r="BB513" s="196"/>
      <c r="BC513" s="196"/>
      <c r="BD513" s="196"/>
      <c r="BE513" s="196"/>
      <c r="BF513" s="196"/>
    </row>
    <row r="514">
      <c r="A514" s="197"/>
      <c r="B514" s="193">
        <v>0.4876</v>
      </c>
      <c r="C514" s="193">
        <v>0.4455</v>
      </c>
      <c r="D514" s="193">
        <v>0.5934</v>
      </c>
      <c r="E514" s="193">
        <v>0.7611</v>
      </c>
      <c r="F514" s="193">
        <v>0.5563</v>
      </c>
      <c r="G514" s="193">
        <v>0.6677</v>
      </c>
      <c r="H514" s="193">
        <v>0.6393</v>
      </c>
      <c r="I514" s="193">
        <v>1.2784</v>
      </c>
      <c r="J514" s="193">
        <v>1.5968</v>
      </c>
      <c r="K514" s="196"/>
      <c r="L514" s="196"/>
      <c r="M514" s="196"/>
      <c r="N514" s="196"/>
      <c r="O514" s="196"/>
      <c r="P514" s="196"/>
      <c r="Q514" s="201">
        <v>0.7571</v>
      </c>
      <c r="R514" s="201">
        <v>0.03</v>
      </c>
      <c r="S514" s="201">
        <v>289.0</v>
      </c>
      <c r="T514" s="201">
        <v>0.2524</v>
      </c>
      <c r="U514" s="201">
        <v>0.097</v>
      </c>
      <c r="V514" s="199">
        <v>0.75</v>
      </c>
      <c r="W514" s="199">
        <v>0.25</v>
      </c>
      <c r="X514" s="196"/>
      <c r="Y514" s="196"/>
      <c r="Z514" s="196"/>
      <c r="AA514" s="196"/>
      <c r="AB514" s="196"/>
      <c r="AC514" s="196"/>
      <c r="AD514" s="196"/>
      <c r="AE514" s="196"/>
      <c r="AF514" s="196"/>
      <c r="AG514" s="201">
        <v>0.036</v>
      </c>
      <c r="AH514" s="159">
        <v>0.252</v>
      </c>
      <c r="AI514" s="209">
        <v>0.15</v>
      </c>
      <c r="AJ514" s="210">
        <v>150.0</v>
      </c>
      <c r="AK514" s="198"/>
      <c r="AL514" s="198"/>
      <c r="AM514" s="195"/>
      <c r="AN514" s="196"/>
      <c r="AO514" s="196"/>
      <c r="AP514" s="196"/>
      <c r="AQ514" s="196"/>
      <c r="AR514" s="196"/>
      <c r="AS514" s="196"/>
      <c r="AT514" s="196"/>
      <c r="AU514" s="196"/>
      <c r="AV514" s="196"/>
      <c r="AW514" s="196"/>
      <c r="AX514" s="196"/>
      <c r="AY514" s="196"/>
      <c r="AZ514" s="196"/>
      <c r="BA514" s="196"/>
      <c r="BB514" s="196"/>
      <c r="BC514" s="196"/>
      <c r="BD514" s="196"/>
      <c r="BE514" s="196"/>
      <c r="BF514" s="196"/>
    </row>
    <row r="515">
      <c r="A515" s="197"/>
      <c r="B515" s="201" t="s">
        <v>304</v>
      </c>
      <c r="C515" s="201" t="s">
        <v>304</v>
      </c>
      <c r="D515" s="201" t="s">
        <v>304</v>
      </c>
      <c r="E515" s="201" t="s">
        <v>304</v>
      </c>
      <c r="F515" s="201" t="s">
        <v>304</v>
      </c>
      <c r="G515" s="201" t="s">
        <v>304</v>
      </c>
      <c r="H515" s="201" t="s">
        <v>304</v>
      </c>
      <c r="I515" s="201" t="s">
        <v>304</v>
      </c>
      <c r="J515" s="201" t="s">
        <v>304</v>
      </c>
      <c r="K515" s="196"/>
      <c r="L515" s="196"/>
      <c r="M515" s="196"/>
      <c r="N515" s="196"/>
      <c r="O515" s="196"/>
      <c r="P515" s="196"/>
      <c r="Q515" s="201" t="s">
        <v>304</v>
      </c>
      <c r="R515" s="201" t="s">
        <v>303</v>
      </c>
      <c r="S515" s="201" t="s">
        <v>390</v>
      </c>
      <c r="T515" s="201" t="s">
        <v>304</v>
      </c>
      <c r="U515" s="201" t="s">
        <v>303</v>
      </c>
      <c r="V515" s="196"/>
      <c r="W515" s="196"/>
      <c r="X515" s="196"/>
      <c r="Y515" s="196"/>
      <c r="Z515" s="196"/>
      <c r="AA515" s="196"/>
      <c r="AB515" s="196"/>
      <c r="AC515" s="196"/>
      <c r="AD515" s="196"/>
      <c r="AE515" s="196"/>
      <c r="AF515" s="196"/>
      <c r="AG515" s="201" t="s">
        <v>303</v>
      </c>
      <c r="AH515" s="201" t="s">
        <v>303</v>
      </c>
      <c r="AI515" s="198"/>
      <c r="AJ515" s="201"/>
      <c r="AK515" s="198"/>
      <c r="AL515" s="198"/>
      <c r="AM515" s="195"/>
      <c r="AN515" s="196"/>
      <c r="AO515" s="196"/>
      <c r="AP515" s="196"/>
      <c r="AQ515" s="196"/>
      <c r="AR515" s="196"/>
      <c r="AS515" s="196"/>
      <c r="AT515" s="196"/>
      <c r="AU515" s="196"/>
      <c r="AV515" s="196"/>
      <c r="AW515" s="196"/>
      <c r="AX515" s="196"/>
      <c r="AY515" s="196"/>
      <c r="AZ515" s="196"/>
      <c r="BA515" s="196"/>
      <c r="BB515" s="196"/>
      <c r="BC515" s="196"/>
      <c r="BD515" s="196"/>
      <c r="BE515" s="196"/>
      <c r="BF515" s="196"/>
    </row>
    <row r="516">
      <c r="A516" s="197"/>
      <c r="B516" s="201" t="s">
        <v>147</v>
      </c>
      <c r="C516" s="201" t="s">
        <v>147</v>
      </c>
      <c r="D516" s="201" t="s">
        <v>147</v>
      </c>
      <c r="E516" s="201" t="s">
        <v>147</v>
      </c>
      <c r="F516" s="201" t="s">
        <v>152</v>
      </c>
      <c r="G516" s="201" t="s">
        <v>152</v>
      </c>
      <c r="H516" s="201" t="s">
        <v>157</v>
      </c>
      <c r="I516" s="201" t="s">
        <v>157</v>
      </c>
      <c r="J516" s="201" t="s">
        <v>157</v>
      </c>
      <c r="K516" s="196"/>
      <c r="L516" s="196"/>
      <c r="M516" s="196"/>
      <c r="N516" s="196"/>
      <c r="O516" s="196"/>
      <c r="P516" s="196"/>
      <c r="Q516" s="201" t="s">
        <v>160</v>
      </c>
      <c r="R516" s="201"/>
      <c r="S516" s="201"/>
      <c r="T516" s="201" t="s">
        <v>160</v>
      </c>
      <c r="U516" s="201" t="s">
        <v>160</v>
      </c>
      <c r="V516" s="196"/>
      <c r="W516" s="196"/>
      <c r="X516" s="196"/>
      <c r="Y516" s="196"/>
      <c r="Z516" s="196"/>
      <c r="AA516" s="196"/>
      <c r="AB516" s="196"/>
      <c r="AC516" s="196"/>
      <c r="AD516" s="196"/>
      <c r="AE516" s="196"/>
      <c r="AF516" s="196"/>
      <c r="AG516" s="201" t="s">
        <v>164</v>
      </c>
      <c r="AH516" s="201" t="s">
        <v>164</v>
      </c>
      <c r="AI516" s="198"/>
      <c r="AJ516" s="201"/>
      <c r="AK516" s="198"/>
      <c r="AL516" s="198"/>
      <c r="AM516" s="195"/>
      <c r="AN516" s="196"/>
      <c r="AO516" s="196"/>
      <c r="AP516" s="196"/>
      <c r="AQ516" s="196"/>
      <c r="AR516" s="196"/>
      <c r="AS516" s="196"/>
      <c r="AT516" s="196"/>
      <c r="AU516" s="196"/>
      <c r="AV516" s="196"/>
      <c r="AW516" s="196"/>
      <c r="AX516" s="196"/>
      <c r="AY516" s="196"/>
      <c r="AZ516" s="196"/>
      <c r="BA516" s="196"/>
      <c r="BB516" s="196"/>
      <c r="BC516" s="196"/>
      <c r="BD516" s="196"/>
      <c r="BE516" s="196"/>
      <c r="BF516" s="196"/>
    </row>
    <row r="517">
      <c r="A517" s="194" t="s">
        <v>343</v>
      </c>
      <c r="B517" s="195" t="s">
        <v>176</v>
      </c>
      <c r="C517" s="195" t="s">
        <v>177</v>
      </c>
      <c r="D517" s="195" t="s">
        <v>178</v>
      </c>
      <c r="E517" s="195" t="s">
        <v>179</v>
      </c>
      <c r="F517" s="195" t="s">
        <v>180</v>
      </c>
      <c r="G517" s="195" t="s">
        <v>181</v>
      </c>
      <c r="H517" s="195" t="s">
        <v>182</v>
      </c>
      <c r="I517" s="195" t="s">
        <v>183</v>
      </c>
      <c r="J517" s="196"/>
      <c r="K517" s="196"/>
      <c r="L517" s="196"/>
      <c r="M517" s="196"/>
      <c r="N517" s="196"/>
      <c r="O517" s="196"/>
      <c r="P517" s="196"/>
      <c r="Q517" s="195" t="s">
        <v>294</v>
      </c>
      <c r="R517" s="196"/>
      <c r="S517" s="196"/>
      <c r="T517" s="196"/>
      <c r="U517" s="196"/>
      <c r="V517" s="196"/>
      <c r="W517" s="196"/>
      <c r="X517" s="196"/>
      <c r="Y517" s="196"/>
      <c r="Z517" s="196"/>
      <c r="AA517" s="196"/>
      <c r="AB517" s="196"/>
      <c r="AC517" s="196"/>
      <c r="AD517" s="196"/>
      <c r="AE517" s="196"/>
      <c r="AF517" s="196"/>
      <c r="AG517" s="195" t="s">
        <v>276</v>
      </c>
      <c r="AH517" s="195" t="s">
        <v>277</v>
      </c>
      <c r="AI517" s="195" t="s">
        <v>274</v>
      </c>
      <c r="AJ517" s="195" t="s">
        <v>192</v>
      </c>
      <c r="AK517" s="195" t="s">
        <v>253</v>
      </c>
      <c r="AL517" s="196"/>
      <c r="AM517" s="196"/>
      <c r="AN517" s="196"/>
      <c r="AO517" s="196"/>
      <c r="AP517" s="196"/>
      <c r="AQ517" s="196"/>
      <c r="AR517" s="196"/>
      <c r="AS517" s="196"/>
      <c r="AT517" s="196"/>
      <c r="AU517" s="196"/>
      <c r="AV517" s="196"/>
      <c r="AW517" s="196"/>
      <c r="AX517" s="196"/>
      <c r="AY517" s="196"/>
      <c r="AZ517" s="196"/>
      <c r="BA517" s="196"/>
      <c r="BB517" s="196"/>
      <c r="BC517" s="196"/>
      <c r="BD517" s="196"/>
      <c r="BE517" s="196"/>
      <c r="BF517" s="196"/>
    </row>
    <row r="518">
      <c r="A518" s="197"/>
      <c r="B518" s="195" t="s">
        <v>530</v>
      </c>
      <c r="C518" s="195" t="s">
        <v>530</v>
      </c>
      <c r="D518" s="195" t="s">
        <v>530</v>
      </c>
      <c r="E518" s="195" t="s">
        <v>530</v>
      </c>
      <c r="F518" s="195" t="s">
        <v>530</v>
      </c>
      <c r="G518" s="195" t="s">
        <v>529</v>
      </c>
      <c r="H518" s="195" t="s">
        <v>529</v>
      </c>
      <c r="I518" s="195" t="s">
        <v>529</v>
      </c>
      <c r="J518" s="196"/>
      <c r="K518" s="196"/>
      <c r="L518" s="196"/>
      <c r="M518" s="196"/>
      <c r="N518" s="196"/>
      <c r="O518" s="196"/>
      <c r="P518" s="196"/>
      <c r="Q518" s="195" t="s">
        <v>530</v>
      </c>
      <c r="R518" s="196"/>
      <c r="S518" s="196"/>
      <c r="T518" s="196"/>
      <c r="U518" s="196"/>
      <c r="V518" s="196"/>
      <c r="W518" s="196"/>
      <c r="X518" s="196"/>
      <c r="Y518" s="196"/>
      <c r="Z518" s="196"/>
      <c r="AA518" s="196"/>
      <c r="AB518" s="196"/>
      <c r="AC518" s="196"/>
      <c r="AD518" s="196"/>
      <c r="AE518" s="196"/>
      <c r="AF518" s="196"/>
      <c r="AG518" s="195" t="s">
        <v>530</v>
      </c>
      <c r="AH518" s="195" t="s">
        <v>530</v>
      </c>
      <c r="AI518" s="195" t="s">
        <v>531</v>
      </c>
      <c r="AJ518" s="195" t="s">
        <v>531</v>
      </c>
      <c r="AK518" s="195" t="s">
        <v>531</v>
      </c>
      <c r="AL518" s="196"/>
      <c r="AM518" s="196"/>
      <c r="AN518" s="196"/>
      <c r="AO518" s="196"/>
      <c r="AP518" s="196"/>
      <c r="AQ518" s="196"/>
      <c r="AR518" s="196"/>
      <c r="AS518" s="196"/>
      <c r="AT518" s="196"/>
      <c r="AU518" s="196"/>
      <c r="AV518" s="196"/>
      <c r="AW518" s="196"/>
      <c r="AX518" s="196"/>
      <c r="AY518" s="196"/>
      <c r="AZ518" s="196"/>
      <c r="BA518" s="196"/>
      <c r="BB518" s="196"/>
      <c r="BC518" s="196"/>
      <c r="BD518" s="196"/>
      <c r="BE518" s="196"/>
      <c r="BF518" s="196"/>
    </row>
    <row r="519">
      <c r="A519" s="197"/>
      <c r="B519" s="198">
        <v>0.3346</v>
      </c>
      <c r="C519" s="198">
        <v>0.3062</v>
      </c>
      <c r="D519" s="198">
        <v>0.3845</v>
      </c>
      <c r="E519" s="198">
        <v>0.4792</v>
      </c>
      <c r="F519" s="198">
        <v>1.2016</v>
      </c>
      <c r="G519" s="198">
        <v>0.5683</v>
      </c>
      <c r="H519" s="198">
        <v>1.1366</v>
      </c>
      <c r="I519" s="198">
        <v>1.4208</v>
      </c>
      <c r="J519" s="196"/>
      <c r="K519" s="196"/>
      <c r="L519" s="196"/>
      <c r="M519" s="196"/>
      <c r="N519" s="196"/>
      <c r="O519" s="196"/>
      <c r="P519" s="196"/>
      <c r="Q519" s="198">
        <v>2.212</v>
      </c>
      <c r="R519" s="196"/>
      <c r="S519" s="196"/>
      <c r="T519" s="196"/>
      <c r="U519" s="196"/>
      <c r="V519" s="196"/>
      <c r="W519" s="196"/>
      <c r="X519" s="196"/>
      <c r="Y519" s="196"/>
      <c r="Z519" s="196"/>
      <c r="AA519" s="196"/>
      <c r="AB519" s="196"/>
      <c r="AC519" s="196"/>
      <c r="AD519" s="196"/>
      <c r="AE519" s="196"/>
      <c r="AF519" s="196"/>
      <c r="AG519" s="198">
        <v>1.48</v>
      </c>
      <c r="AH519" s="198">
        <v>0.44</v>
      </c>
      <c r="AI519" s="195">
        <v>50.0</v>
      </c>
      <c r="AJ519" s="199">
        <v>0.2</v>
      </c>
      <c r="AK519" s="199">
        <v>0.2</v>
      </c>
      <c r="AL519" s="196"/>
      <c r="AM519" s="196"/>
      <c r="AN519" s="196"/>
      <c r="AO519" s="196"/>
      <c r="AP519" s="196"/>
      <c r="AQ519" s="196"/>
      <c r="AR519" s="196"/>
      <c r="AS519" s="196"/>
      <c r="AT519" s="196"/>
      <c r="AU519" s="196"/>
      <c r="AV519" s="196"/>
      <c r="AW519" s="196"/>
      <c r="AX519" s="196"/>
      <c r="AY519" s="196"/>
      <c r="AZ519" s="196"/>
      <c r="BA519" s="196"/>
      <c r="BB519" s="196"/>
      <c r="BC519" s="196"/>
      <c r="BD519" s="196"/>
      <c r="BE519" s="196"/>
      <c r="BF519" s="196"/>
    </row>
    <row r="520">
      <c r="A520" s="197"/>
      <c r="B520" s="201" t="s">
        <v>304</v>
      </c>
      <c r="C520" s="201" t="s">
        <v>304</v>
      </c>
      <c r="D520" s="201" t="s">
        <v>304</v>
      </c>
      <c r="E520" s="201" t="s">
        <v>304</v>
      </c>
      <c r="F520" s="201" t="s">
        <v>304</v>
      </c>
      <c r="G520" s="201" t="s">
        <v>304</v>
      </c>
      <c r="H520" s="201" t="s">
        <v>304</v>
      </c>
      <c r="I520" s="201" t="s">
        <v>304</v>
      </c>
      <c r="J520" s="196"/>
      <c r="K520" s="196"/>
      <c r="L520" s="196"/>
      <c r="M520" s="196"/>
      <c r="N520" s="196"/>
      <c r="O520" s="196"/>
      <c r="P520" s="196"/>
      <c r="Q520" s="201" t="s">
        <v>304</v>
      </c>
      <c r="R520" s="196"/>
      <c r="S520" s="196"/>
      <c r="T520" s="196"/>
      <c r="U520" s="196"/>
      <c r="V520" s="196"/>
      <c r="W520" s="196"/>
      <c r="X520" s="196"/>
      <c r="Y520" s="196"/>
      <c r="Z520" s="196"/>
      <c r="AA520" s="196"/>
      <c r="AB520" s="196"/>
      <c r="AC520" s="196"/>
      <c r="AD520" s="196"/>
      <c r="AE520" s="196"/>
      <c r="AF520" s="196"/>
      <c r="AG520" s="201" t="s">
        <v>304</v>
      </c>
      <c r="AH520" s="201" t="s">
        <v>304</v>
      </c>
      <c r="AI520" s="196"/>
      <c r="AJ520" s="196"/>
      <c r="AK520" s="196"/>
      <c r="AL520" s="196"/>
      <c r="AM520" s="196"/>
      <c r="AN520" s="196"/>
      <c r="AO520" s="196"/>
      <c r="AP520" s="196"/>
      <c r="AQ520" s="196"/>
      <c r="AR520" s="196"/>
      <c r="AS520" s="196"/>
      <c r="AT520" s="196"/>
      <c r="AU520" s="196"/>
      <c r="AV520" s="196"/>
      <c r="AW520" s="196"/>
      <c r="AX520" s="196"/>
      <c r="AY520" s="196"/>
      <c r="AZ520" s="196"/>
      <c r="BA520" s="196"/>
      <c r="BB520" s="196"/>
      <c r="BC520" s="196"/>
      <c r="BD520" s="196"/>
      <c r="BE520" s="196"/>
      <c r="BF520" s="196"/>
    </row>
    <row r="521">
      <c r="A521" s="197"/>
      <c r="B521" s="201" t="s">
        <v>147</v>
      </c>
      <c r="C521" s="201" t="s">
        <v>147</v>
      </c>
      <c r="D521" s="201" t="s">
        <v>147</v>
      </c>
      <c r="E521" s="201" t="s">
        <v>147</v>
      </c>
      <c r="F521" s="201" t="s">
        <v>152</v>
      </c>
      <c r="G521" s="201" t="s">
        <v>157</v>
      </c>
      <c r="H521" s="201" t="s">
        <v>157</v>
      </c>
      <c r="I521" s="201" t="s">
        <v>157</v>
      </c>
      <c r="J521" s="196"/>
      <c r="K521" s="196"/>
      <c r="L521" s="196"/>
      <c r="M521" s="196"/>
      <c r="N521" s="196"/>
      <c r="O521" s="196"/>
      <c r="P521" s="196"/>
      <c r="Q521" s="201" t="s">
        <v>160</v>
      </c>
      <c r="R521" s="196"/>
      <c r="S521" s="196"/>
      <c r="T521" s="196"/>
      <c r="U521" s="196"/>
      <c r="V521" s="196"/>
      <c r="W521" s="196"/>
      <c r="X521" s="196"/>
      <c r="Y521" s="196"/>
      <c r="Z521" s="196"/>
      <c r="AA521" s="196"/>
      <c r="AB521" s="196"/>
      <c r="AC521" s="196"/>
      <c r="AD521" s="196"/>
      <c r="AE521" s="196"/>
      <c r="AF521" s="196"/>
      <c r="AG521" s="201" t="s">
        <v>164</v>
      </c>
      <c r="AH521" s="201" t="s">
        <v>164</v>
      </c>
      <c r="AI521" s="196"/>
      <c r="AJ521" s="196"/>
      <c r="AK521" s="196"/>
      <c r="AL521" s="196"/>
      <c r="AM521" s="196"/>
      <c r="AN521" s="196"/>
      <c r="AO521" s="196"/>
      <c r="AP521" s="196"/>
      <c r="AQ521" s="196"/>
      <c r="AR521" s="196"/>
      <c r="AS521" s="196"/>
      <c r="AT521" s="196"/>
      <c r="AU521" s="196"/>
      <c r="AV521" s="196"/>
      <c r="AW521" s="196"/>
      <c r="AX521" s="196"/>
      <c r="AY521" s="196"/>
      <c r="AZ521" s="196"/>
      <c r="BA521" s="196"/>
      <c r="BB521" s="196"/>
      <c r="BC521" s="196"/>
      <c r="BD521" s="196"/>
      <c r="BE521" s="196"/>
      <c r="BF521" s="196"/>
    </row>
    <row r="522">
      <c r="A522" s="194" t="s">
        <v>344</v>
      </c>
      <c r="B522" s="195" t="s">
        <v>176</v>
      </c>
      <c r="C522" s="195" t="s">
        <v>177</v>
      </c>
      <c r="D522" s="195" t="s">
        <v>178</v>
      </c>
      <c r="E522" s="195" t="s">
        <v>179</v>
      </c>
      <c r="F522" s="195" t="s">
        <v>246</v>
      </c>
      <c r="G522" s="195" t="s">
        <v>616</v>
      </c>
      <c r="H522" s="195" t="s">
        <v>534</v>
      </c>
      <c r="I522" s="195" t="s">
        <v>535</v>
      </c>
      <c r="J522" s="195" t="s">
        <v>731</v>
      </c>
      <c r="K522" s="195" t="s">
        <v>732</v>
      </c>
      <c r="L522" s="195" t="s">
        <v>181</v>
      </c>
      <c r="M522" s="195" t="s">
        <v>182</v>
      </c>
      <c r="N522" s="195" t="s">
        <v>183</v>
      </c>
      <c r="O522" s="196"/>
      <c r="P522" s="196"/>
      <c r="Q522" s="195" t="s">
        <v>733</v>
      </c>
      <c r="R522" s="195" t="s">
        <v>590</v>
      </c>
      <c r="S522" s="195" t="s">
        <v>591</v>
      </c>
      <c r="T522" s="195" t="s">
        <v>592</v>
      </c>
      <c r="U522" s="195" t="s">
        <v>734</v>
      </c>
      <c r="V522" s="195" t="s">
        <v>735</v>
      </c>
      <c r="W522" s="195" t="s">
        <v>736</v>
      </c>
      <c r="X522" s="195" t="s">
        <v>737</v>
      </c>
      <c r="Y522" s="195" t="s">
        <v>738</v>
      </c>
      <c r="Z522" s="195" t="s">
        <v>739</v>
      </c>
      <c r="AA522" s="195" t="s">
        <v>740</v>
      </c>
      <c r="AB522" s="196"/>
      <c r="AC522" s="196"/>
      <c r="AD522" s="196"/>
      <c r="AE522" s="196"/>
      <c r="AF522" s="196"/>
      <c r="AG522" s="195" t="s">
        <v>741</v>
      </c>
      <c r="AH522" s="195" t="s">
        <v>742</v>
      </c>
      <c r="AI522" s="195" t="s">
        <v>743</v>
      </c>
      <c r="AJ522" s="196"/>
      <c r="AK522" s="196"/>
      <c r="AL522" s="196"/>
      <c r="AM522" s="196"/>
      <c r="AN522" s="196"/>
      <c r="AO522" s="196"/>
      <c r="AP522" s="196"/>
      <c r="AQ522" s="196"/>
      <c r="AR522" s="196"/>
      <c r="AS522" s="196"/>
      <c r="AT522" s="196"/>
      <c r="AU522" s="196"/>
      <c r="AV522" s="196"/>
      <c r="AW522" s="196"/>
      <c r="AX522" s="196"/>
      <c r="AY522" s="196"/>
      <c r="AZ522" s="196"/>
      <c r="BA522" s="196"/>
      <c r="BB522" s="196"/>
      <c r="BC522" s="196"/>
      <c r="BD522" s="196"/>
      <c r="BE522" s="196"/>
      <c r="BF522" s="196"/>
    </row>
    <row r="523">
      <c r="A523" s="197"/>
      <c r="B523" s="195" t="s">
        <v>529</v>
      </c>
      <c r="C523" s="195" t="s">
        <v>529</v>
      </c>
      <c r="D523" s="195" t="s">
        <v>529</v>
      </c>
      <c r="E523" s="195" t="s">
        <v>529</v>
      </c>
      <c r="F523" s="195" t="s">
        <v>529</v>
      </c>
      <c r="G523" s="195" t="s">
        <v>529</v>
      </c>
      <c r="H523" s="195" t="s">
        <v>530</v>
      </c>
      <c r="I523" s="195" t="s">
        <v>530</v>
      </c>
      <c r="J523" s="195" t="s">
        <v>530</v>
      </c>
      <c r="K523" s="195" t="s">
        <v>530</v>
      </c>
      <c r="L523" s="195" t="s">
        <v>529</v>
      </c>
      <c r="M523" s="195" t="s">
        <v>529</v>
      </c>
      <c r="N523" s="195" t="s">
        <v>529</v>
      </c>
      <c r="O523" s="196"/>
      <c r="P523" s="196"/>
      <c r="Q523" s="195" t="s">
        <v>530</v>
      </c>
      <c r="R523" s="195" t="s">
        <v>529</v>
      </c>
      <c r="S523" s="195" t="s">
        <v>529</v>
      </c>
      <c r="T523" s="195" t="s">
        <v>529</v>
      </c>
      <c r="U523" s="195" t="s">
        <v>529</v>
      </c>
      <c r="V523" s="195" t="s">
        <v>529</v>
      </c>
      <c r="W523" s="195" t="s">
        <v>529</v>
      </c>
      <c r="X523" s="195" t="s">
        <v>529</v>
      </c>
      <c r="Y523" s="195" t="s">
        <v>529</v>
      </c>
      <c r="Z523" s="195" t="s">
        <v>529</v>
      </c>
      <c r="AA523" s="195" t="s">
        <v>529</v>
      </c>
      <c r="AB523" s="196"/>
      <c r="AC523" s="196"/>
      <c r="AD523" s="196"/>
      <c r="AE523" s="196"/>
      <c r="AF523" s="196"/>
      <c r="AG523" s="195" t="s">
        <v>530</v>
      </c>
      <c r="AH523" s="195" t="s">
        <v>530</v>
      </c>
      <c r="AI523" s="195" t="s">
        <v>530</v>
      </c>
      <c r="AJ523" s="196"/>
      <c r="AK523" s="196"/>
      <c r="AL523" s="196"/>
      <c r="AM523" s="196"/>
      <c r="AN523" s="196"/>
      <c r="AO523" s="196"/>
      <c r="AP523" s="196"/>
      <c r="AQ523" s="196"/>
      <c r="AR523" s="196"/>
      <c r="AS523" s="196"/>
      <c r="AT523" s="196"/>
      <c r="AU523" s="196"/>
      <c r="AV523" s="196"/>
      <c r="AW523" s="196"/>
      <c r="AX523" s="196"/>
      <c r="AY523" s="196"/>
      <c r="AZ523" s="196"/>
      <c r="BA523" s="196"/>
      <c r="BB523" s="196"/>
      <c r="BC523" s="196"/>
      <c r="BD523" s="196"/>
      <c r="BE523" s="196"/>
      <c r="BF523" s="196"/>
    </row>
    <row r="524">
      <c r="A524" s="197"/>
      <c r="B524" s="198">
        <v>0.4128</v>
      </c>
      <c r="C524" s="198">
        <v>0.4627</v>
      </c>
      <c r="D524" s="198">
        <v>0.5538</v>
      </c>
      <c r="E524" s="198">
        <v>0.5702</v>
      </c>
      <c r="F524" s="198">
        <v>0.6089</v>
      </c>
      <c r="G524" s="198">
        <v>0.7276</v>
      </c>
      <c r="H524" s="198">
        <v>0.4386</v>
      </c>
      <c r="I524" s="198">
        <v>1.24</v>
      </c>
      <c r="J524" s="198">
        <v>0.124</v>
      </c>
      <c r="K524" s="198">
        <v>0.62</v>
      </c>
      <c r="L524" s="198">
        <v>0.6393</v>
      </c>
      <c r="M524" s="198">
        <v>1.2786</v>
      </c>
      <c r="N524" s="198">
        <v>1.5983</v>
      </c>
      <c r="O524" s="196"/>
      <c r="P524" s="196"/>
      <c r="Q524" s="198">
        <v>0.72</v>
      </c>
      <c r="R524" s="198">
        <v>0.3887</v>
      </c>
      <c r="S524" s="198">
        <v>0.4162</v>
      </c>
      <c r="T524" s="198">
        <v>0.5633</v>
      </c>
      <c r="U524" s="198">
        <v>0.5994</v>
      </c>
      <c r="V524" s="198">
        <v>0.553</v>
      </c>
      <c r="W524" s="198">
        <v>0.3543</v>
      </c>
      <c r="X524" s="198">
        <v>0.3767</v>
      </c>
      <c r="Y524" s="198">
        <v>0.602</v>
      </c>
      <c r="Z524" s="198">
        <v>0.7198</v>
      </c>
      <c r="AA524" s="198">
        <v>0.602</v>
      </c>
      <c r="AB524" s="196"/>
      <c r="AC524" s="196"/>
      <c r="AD524" s="196"/>
      <c r="AE524" s="196"/>
      <c r="AF524" s="196"/>
      <c r="AG524" s="198">
        <v>4.64</v>
      </c>
      <c r="AH524" s="198">
        <v>3.784</v>
      </c>
      <c r="AI524" s="198">
        <v>1.2</v>
      </c>
      <c r="AJ524" s="196"/>
      <c r="AK524" s="196"/>
      <c r="AL524" s="196"/>
      <c r="AM524" s="196"/>
      <c r="AN524" s="196"/>
      <c r="AO524" s="196"/>
      <c r="AP524" s="196"/>
      <c r="AQ524" s="196"/>
      <c r="AR524" s="196"/>
      <c r="AS524" s="196"/>
      <c r="AT524" s="196"/>
      <c r="AU524" s="196"/>
      <c r="AV524" s="196"/>
      <c r="AW524" s="196"/>
      <c r="AX524" s="196"/>
      <c r="AY524" s="196"/>
      <c r="AZ524" s="196"/>
      <c r="BA524" s="196"/>
      <c r="BB524" s="196"/>
      <c r="BC524" s="196"/>
      <c r="BD524" s="196"/>
      <c r="BE524" s="196"/>
      <c r="BF524" s="196"/>
    </row>
    <row r="525">
      <c r="A525" s="197"/>
      <c r="B525" s="201" t="s">
        <v>304</v>
      </c>
      <c r="C525" s="201" t="s">
        <v>304</v>
      </c>
      <c r="D525" s="201" t="s">
        <v>304</v>
      </c>
      <c r="E525" s="201" t="s">
        <v>304</v>
      </c>
      <c r="F525" s="201" t="s">
        <v>304</v>
      </c>
      <c r="G525" s="201" t="s">
        <v>304</v>
      </c>
      <c r="H525" s="201" t="s">
        <v>304</v>
      </c>
      <c r="I525" s="201" t="s">
        <v>304</v>
      </c>
      <c r="J525" s="201" t="s">
        <v>304</v>
      </c>
      <c r="K525" s="201" t="s">
        <v>304</v>
      </c>
      <c r="L525" s="201" t="s">
        <v>304</v>
      </c>
      <c r="M525" s="201" t="s">
        <v>304</v>
      </c>
      <c r="N525" s="201" t="s">
        <v>304</v>
      </c>
      <c r="O525" s="196"/>
      <c r="P525" s="196"/>
      <c r="Q525" s="201" t="s">
        <v>304</v>
      </c>
      <c r="R525" s="201" t="s">
        <v>304</v>
      </c>
      <c r="S525" s="201" t="s">
        <v>304</v>
      </c>
      <c r="T525" s="201" t="s">
        <v>304</v>
      </c>
      <c r="U525" s="201" t="s">
        <v>304</v>
      </c>
      <c r="V525" s="201" t="s">
        <v>304</v>
      </c>
      <c r="W525" s="201" t="s">
        <v>304</v>
      </c>
      <c r="X525" s="201" t="s">
        <v>304</v>
      </c>
      <c r="Y525" s="201" t="s">
        <v>304</v>
      </c>
      <c r="Z525" s="201" t="s">
        <v>304</v>
      </c>
      <c r="AA525" s="201" t="s">
        <v>304</v>
      </c>
      <c r="AB525" s="196"/>
      <c r="AC525" s="196"/>
      <c r="AD525" s="196"/>
      <c r="AE525" s="196"/>
      <c r="AF525" s="196"/>
      <c r="AG525" s="201" t="s">
        <v>304</v>
      </c>
      <c r="AH525" s="201" t="s">
        <v>304</v>
      </c>
      <c r="AI525" s="201" t="s">
        <v>304</v>
      </c>
      <c r="AJ525" s="196"/>
      <c r="AK525" s="196"/>
      <c r="AL525" s="196"/>
      <c r="AM525" s="196"/>
      <c r="AN525" s="196"/>
      <c r="AO525" s="196"/>
      <c r="AP525" s="196"/>
      <c r="AQ525" s="196"/>
      <c r="AR525" s="196"/>
      <c r="AS525" s="196"/>
      <c r="AT525" s="196"/>
      <c r="AU525" s="196"/>
      <c r="AV525" s="196"/>
      <c r="AW525" s="196"/>
      <c r="AX525" s="196"/>
      <c r="AY525" s="196"/>
      <c r="AZ525" s="196"/>
      <c r="BA525" s="196"/>
      <c r="BB525" s="196"/>
      <c r="BC525" s="196"/>
      <c r="BD525" s="196"/>
      <c r="BE525" s="196"/>
      <c r="BF525" s="196"/>
    </row>
    <row r="526">
      <c r="A526" s="197"/>
      <c r="B526" s="201" t="s">
        <v>147</v>
      </c>
      <c r="C526" s="201" t="s">
        <v>147</v>
      </c>
      <c r="D526" s="201" t="s">
        <v>147</v>
      </c>
      <c r="E526" s="201" t="s">
        <v>147</v>
      </c>
      <c r="F526" s="201" t="s">
        <v>147</v>
      </c>
      <c r="G526" s="201" t="s">
        <v>147</v>
      </c>
      <c r="H526" s="201" t="s">
        <v>152</v>
      </c>
      <c r="I526" s="201" t="s">
        <v>152</v>
      </c>
      <c r="J526" s="201" t="s">
        <v>147</v>
      </c>
      <c r="K526" s="201" t="s">
        <v>147</v>
      </c>
      <c r="L526" s="201" t="s">
        <v>157</v>
      </c>
      <c r="M526" s="201" t="s">
        <v>157</v>
      </c>
      <c r="N526" s="201" t="s">
        <v>157</v>
      </c>
      <c r="O526" s="196"/>
      <c r="P526" s="196"/>
      <c r="Q526" s="201" t="s">
        <v>160</v>
      </c>
      <c r="R526" s="201" t="s">
        <v>147</v>
      </c>
      <c r="S526" s="201" t="s">
        <v>147</v>
      </c>
      <c r="T526" s="201" t="s">
        <v>147</v>
      </c>
      <c r="U526" s="201" t="s">
        <v>147</v>
      </c>
      <c r="V526" s="201" t="s">
        <v>147</v>
      </c>
      <c r="W526" s="201" t="s">
        <v>147</v>
      </c>
      <c r="X526" s="201" t="s">
        <v>147</v>
      </c>
      <c r="Y526" s="201" t="s">
        <v>152</v>
      </c>
      <c r="Z526" s="201" t="s">
        <v>152</v>
      </c>
      <c r="AA526" s="201" t="s">
        <v>160</v>
      </c>
      <c r="AB526" s="196"/>
      <c r="AC526" s="196"/>
      <c r="AD526" s="196"/>
      <c r="AE526" s="196"/>
      <c r="AF526" s="196"/>
      <c r="AG526" s="201" t="s">
        <v>164</v>
      </c>
      <c r="AH526" s="201" t="s">
        <v>164</v>
      </c>
      <c r="AI526" s="201" t="s">
        <v>164</v>
      </c>
      <c r="AJ526" s="196"/>
      <c r="AK526" s="196"/>
      <c r="AL526" s="196"/>
      <c r="AM526" s="196"/>
      <c r="AN526" s="196"/>
      <c r="AO526" s="196"/>
      <c r="AP526" s="196"/>
      <c r="AQ526" s="196"/>
      <c r="AR526" s="196"/>
      <c r="AS526" s="196"/>
      <c r="AT526" s="196"/>
      <c r="AU526" s="196"/>
      <c r="AV526" s="196"/>
      <c r="AW526" s="196"/>
      <c r="AX526" s="196"/>
      <c r="AY526" s="196"/>
      <c r="AZ526" s="196"/>
      <c r="BA526" s="196"/>
      <c r="BB526" s="196"/>
      <c r="BC526" s="196"/>
      <c r="BD526" s="196"/>
      <c r="BE526" s="196"/>
      <c r="BF526" s="196"/>
    </row>
    <row r="527">
      <c r="A527" s="194" t="s">
        <v>345</v>
      </c>
      <c r="B527" s="195" t="s">
        <v>176</v>
      </c>
      <c r="C527" s="195" t="s">
        <v>177</v>
      </c>
      <c r="D527" s="195" t="s">
        <v>244</v>
      </c>
      <c r="E527" s="195" t="s">
        <v>179</v>
      </c>
      <c r="F527" s="195" t="s">
        <v>180</v>
      </c>
      <c r="G527" s="195" t="s">
        <v>181</v>
      </c>
      <c r="H527" s="195" t="s">
        <v>182</v>
      </c>
      <c r="I527" s="195" t="s">
        <v>183</v>
      </c>
      <c r="J527" s="196"/>
      <c r="K527" s="196"/>
      <c r="L527" s="196"/>
      <c r="M527" s="196"/>
      <c r="N527" s="196"/>
      <c r="O527" s="196"/>
      <c r="P527" s="196"/>
      <c r="Q527" s="195" t="s">
        <v>588</v>
      </c>
      <c r="R527" s="195" t="s">
        <v>744</v>
      </c>
      <c r="S527" s="195" t="s">
        <v>745</v>
      </c>
      <c r="T527" s="195" t="s">
        <v>746</v>
      </c>
      <c r="U527" s="195" t="s">
        <v>747</v>
      </c>
      <c r="V527" s="196"/>
      <c r="W527" s="196"/>
      <c r="X527" s="196"/>
      <c r="Y527" s="196"/>
      <c r="Z527" s="196"/>
      <c r="AA527" s="196"/>
      <c r="AB527" s="196"/>
      <c r="AC527" s="196"/>
      <c r="AD527" s="196"/>
      <c r="AE527" s="196"/>
      <c r="AF527" s="196"/>
      <c r="AG527" s="195" t="s">
        <v>542</v>
      </c>
      <c r="AH527" s="195" t="s">
        <v>748</v>
      </c>
      <c r="AI527" s="195" t="s">
        <v>749</v>
      </c>
      <c r="AJ527" s="195" t="s">
        <v>750</v>
      </c>
      <c r="AK527" s="195" t="s">
        <v>192</v>
      </c>
      <c r="AL527" s="195" t="s">
        <v>253</v>
      </c>
      <c r="AM527" s="196"/>
      <c r="AN527" s="196"/>
      <c r="AO527" s="196"/>
      <c r="AP527" s="196"/>
      <c r="AQ527" s="196"/>
      <c r="AR527" s="196"/>
      <c r="AS527" s="196"/>
      <c r="AT527" s="196"/>
      <c r="AU527" s="196"/>
      <c r="AV527" s="196"/>
      <c r="AW527" s="196"/>
      <c r="AX527" s="196"/>
      <c r="AY527" s="196"/>
      <c r="AZ527" s="196"/>
      <c r="BA527" s="196"/>
      <c r="BB527" s="196"/>
      <c r="BC527" s="196"/>
      <c r="BD527" s="196"/>
      <c r="BE527" s="196"/>
      <c r="BF527" s="196"/>
    </row>
    <row r="528">
      <c r="A528" s="197"/>
      <c r="B528" s="195" t="s">
        <v>529</v>
      </c>
      <c r="C528" s="195" t="s">
        <v>529</v>
      </c>
      <c r="D528" s="195" t="s">
        <v>529</v>
      </c>
      <c r="E528" s="195" t="s">
        <v>529</v>
      </c>
      <c r="F528" s="195" t="s">
        <v>529</v>
      </c>
      <c r="G528" s="195" t="s">
        <v>529</v>
      </c>
      <c r="H528" s="195" t="s">
        <v>529</v>
      </c>
      <c r="I528" s="195" t="s">
        <v>529</v>
      </c>
      <c r="J528" s="196"/>
      <c r="K528" s="196"/>
      <c r="L528" s="196"/>
      <c r="M528" s="196"/>
      <c r="N528" s="196"/>
      <c r="O528" s="196"/>
      <c r="P528" s="196"/>
      <c r="Q528" s="195" t="s">
        <v>530</v>
      </c>
      <c r="R528" s="195" t="s">
        <v>530</v>
      </c>
      <c r="S528" s="195" t="s">
        <v>577</v>
      </c>
      <c r="T528" s="195" t="s">
        <v>530</v>
      </c>
      <c r="U528" s="195" t="s">
        <v>577</v>
      </c>
      <c r="V528" s="196"/>
      <c r="W528" s="196"/>
      <c r="X528" s="196"/>
      <c r="Y528" s="196"/>
      <c r="Z528" s="196"/>
      <c r="AA528" s="196"/>
      <c r="AB528" s="196"/>
      <c r="AC528" s="196"/>
      <c r="AD528" s="196"/>
      <c r="AE528" s="196"/>
      <c r="AF528" s="196"/>
      <c r="AG528" s="195" t="s">
        <v>530</v>
      </c>
      <c r="AH528" s="195" t="s">
        <v>530</v>
      </c>
      <c r="AI528" s="195" t="s">
        <v>530</v>
      </c>
      <c r="AJ528" s="195" t="s">
        <v>577</v>
      </c>
      <c r="AK528" s="195" t="s">
        <v>531</v>
      </c>
      <c r="AL528" s="195" t="s">
        <v>531</v>
      </c>
      <c r="AM528" s="196"/>
      <c r="AN528" s="196"/>
      <c r="AO528" s="196"/>
      <c r="AP528" s="196"/>
      <c r="AQ528" s="196"/>
      <c r="AR528" s="196"/>
      <c r="AS528" s="196"/>
      <c r="AT528" s="196"/>
      <c r="AU528" s="196"/>
      <c r="AV528" s="196"/>
      <c r="AW528" s="196"/>
      <c r="AX528" s="196"/>
      <c r="AY528" s="196"/>
      <c r="AZ528" s="196"/>
      <c r="BA528" s="196"/>
      <c r="BB528" s="196"/>
      <c r="BC528" s="196"/>
      <c r="BD528" s="196"/>
      <c r="BE528" s="196"/>
      <c r="BF528" s="196"/>
    </row>
    <row r="529">
      <c r="A529" s="197"/>
      <c r="B529" s="198">
        <v>0.4439</v>
      </c>
      <c r="C529" s="198">
        <v>0.4363</v>
      </c>
      <c r="D529" s="198">
        <v>0.2679</v>
      </c>
      <c r="E529" s="198">
        <v>0.6736</v>
      </c>
      <c r="F529" s="198">
        <v>1.1275</v>
      </c>
      <c r="G529" s="198">
        <v>0.6393</v>
      </c>
      <c r="H529" s="198">
        <v>1.2786</v>
      </c>
      <c r="I529" s="198">
        <v>1.5983</v>
      </c>
      <c r="J529" s="196"/>
      <c r="K529" s="196"/>
      <c r="L529" s="196"/>
      <c r="M529" s="196"/>
      <c r="N529" s="196"/>
      <c r="O529" s="196"/>
      <c r="P529" s="196"/>
      <c r="Q529" s="198">
        <v>1.464</v>
      </c>
      <c r="R529" s="198">
        <v>0.072</v>
      </c>
      <c r="S529" s="198">
        <v>693.0</v>
      </c>
      <c r="T529" s="198">
        <v>0.196</v>
      </c>
      <c r="U529" s="198">
        <v>1887.0</v>
      </c>
      <c r="V529" s="196"/>
      <c r="W529" s="196"/>
      <c r="X529" s="196"/>
      <c r="Y529" s="196"/>
      <c r="Z529" s="196"/>
      <c r="AA529" s="196"/>
      <c r="AB529" s="196"/>
      <c r="AC529" s="196"/>
      <c r="AD529" s="196"/>
      <c r="AE529" s="196"/>
      <c r="AF529" s="196"/>
      <c r="AG529" s="198">
        <v>0.88</v>
      </c>
      <c r="AH529" s="198">
        <v>0.58</v>
      </c>
      <c r="AI529" s="198">
        <v>0.0114</v>
      </c>
      <c r="AJ529" s="198">
        <v>110.0</v>
      </c>
      <c r="AK529" s="200">
        <v>0.022</v>
      </c>
      <c r="AL529" s="199">
        <v>0.15</v>
      </c>
      <c r="AM529" s="196"/>
      <c r="AN529" s="196"/>
      <c r="AO529" s="196"/>
      <c r="AP529" s="196"/>
      <c r="AQ529" s="196"/>
      <c r="AR529" s="196"/>
      <c r="AS529" s="196"/>
      <c r="AT529" s="196"/>
      <c r="AU529" s="196"/>
      <c r="AV529" s="196"/>
      <c r="AW529" s="196"/>
      <c r="AX529" s="196"/>
      <c r="AY529" s="196"/>
      <c r="AZ529" s="196"/>
      <c r="BA529" s="196"/>
      <c r="BB529" s="196"/>
      <c r="BC529" s="196"/>
      <c r="BD529" s="196"/>
      <c r="BE529" s="196"/>
      <c r="BF529" s="196"/>
    </row>
    <row r="530">
      <c r="A530" s="197"/>
      <c r="B530" s="201" t="s">
        <v>304</v>
      </c>
      <c r="C530" s="201" t="s">
        <v>304</v>
      </c>
      <c r="D530" s="201" t="s">
        <v>304</v>
      </c>
      <c r="E530" s="201" t="s">
        <v>304</v>
      </c>
      <c r="F530" s="201" t="s">
        <v>304</v>
      </c>
      <c r="G530" s="201" t="s">
        <v>304</v>
      </c>
      <c r="H530" s="201" t="s">
        <v>304</v>
      </c>
      <c r="I530" s="201" t="s">
        <v>304</v>
      </c>
      <c r="J530" s="196"/>
      <c r="K530" s="196"/>
      <c r="L530" s="196"/>
      <c r="M530" s="196"/>
      <c r="N530" s="196"/>
      <c r="O530" s="196"/>
      <c r="P530" s="196"/>
      <c r="Q530" s="201" t="s">
        <v>304</v>
      </c>
      <c r="R530" s="201" t="s">
        <v>303</v>
      </c>
      <c r="S530" s="201" t="s">
        <v>390</v>
      </c>
      <c r="T530" s="201" t="s">
        <v>303</v>
      </c>
      <c r="U530" s="201" t="s">
        <v>390</v>
      </c>
      <c r="V530" s="196"/>
      <c r="W530" s="196"/>
      <c r="X530" s="196"/>
      <c r="Y530" s="196"/>
      <c r="Z530" s="196"/>
      <c r="AA530" s="196"/>
      <c r="AB530" s="196"/>
      <c r="AC530" s="196"/>
      <c r="AD530" s="196"/>
      <c r="AE530" s="196"/>
      <c r="AF530" s="196"/>
      <c r="AG530" s="201" t="s">
        <v>304</v>
      </c>
      <c r="AH530" s="201" t="s">
        <v>304</v>
      </c>
      <c r="AI530" s="201" t="s">
        <v>303</v>
      </c>
      <c r="AJ530" s="201" t="s">
        <v>390</v>
      </c>
      <c r="AK530" s="195" t="s">
        <v>303</v>
      </c>
      <c r="AL530" s="196"/>
      <c r="AM530" s="196"/>
      <c r="AN530" s="196"/>
      <c r="AO530" s="196"/>
      <c r="AP530" s="196"/>
      <c r="AQ530" s="196"/>
      <c r="AR530" s="196"/>
      <c r="AS530" s="196"/>
      <c r="AT530" s="196"/>
      <c r="AU530" s="196"/>
      <c r="AV530" s="196"/>
      <c r="AW530" s="196"/>
      <c r="AX530" s="196"/>
      <c r="AY530" s="196"/>
      <c r="AZ530" s="196"/>
      <c r="BA530" s="196"/>
      <c r="BB530" s="196"/>
      <c r="BC530" s="196"/>
      <c r="BD530" s="196"/>
      <c r="BE530" s="196"/>
      <c r="BF530" s="196"/>
    </row>
    <row r="531">
      <c r="A531" s="197"/>
      <c r="B531" s="201" t="s">
        <v>147</v>
      </c>
      <c r="C531" s="201" t="s">
        <v>147</v>
      </c>
      <c r="D531" s="201" t="s">
        <v>147</v>
      </c>
      <c r="E531" s="201" t="s">
        <v>147</v>
      </c>
      <c r="F531" s="201" t="s">
        <v>152</v>
      </c>
      <c r="G531" s="201" t="s">
        <v>157</v>
      </c>
      <c r="H531" s="201" t="s">
        <v>157</v>
      </c>
      <c r="I531" s="201" t="s">
        <v>157</v>
      </c>
      <c r="J531" s="196"/>
      <c r="K531" s="196"/>
      <c r="L531" s="196"/>
      <c r="M531" s="196"/>
      <c r="N531" s="196"/>
      <c r="O531" s="196"/>
      <c r="P531" s="196"/>
      <c r="Q531" s="201" t="s">
        <v>160</v>
      </c>
      <c r="R531" s="198"/>
      <c r="S531" s="198"/>
      <c r="T531" s="198"/>
      <c r="U531" s="198"/>
      <c r="V531" s="196"/>
      <c r="W531" s="196"/>
      <c r="X531" s="196"/>
      <c r="Y531" s="196"/>
      <c r="Z531" s="196"/>
      <c r="AA531" s="196"/>
      <c r="AB531" s="196"/>
      <c r="AC531" s="196"/>
      <c r="AD531" s="196"/>
      <c r="AE531" s="196"/>
      <c r="AF531" s="196"/>
      <c r="AG531" s="201" t="s">
        <v>164</v>
      </c>
      <c r="AH531" s="201" t="s">
        <v>164</v>
      </c>
      <c r="AI531" s="198"/>
      <c r="AJ531" s="198"/>
      <c r="AK531" s="195" t="s">
        <v>164</v>
      </c>
      <c r="AL531" s="196"/>
      <c r="AM531" s="196"/>
      <c r="AN531" s="196"/>
      <c r="AO531" s="196"/>
      <c r="AP531" s="196"/>
      <c r="AQ531" s="196"/>
      <c r="AR531" s="196"/>
      <c r="AS531" s="196"/>
      <c r="AT531" s="196"/>
      <c r="AU531" s="196"/>
      <c r="AV531" s="196"/>
      <c r="AW531" s="196"/>
      <c r="AX531" s="196"/>
      <c r="AY531" s="196"/>
      <c r="AZ531" s="196"/>
      <c r="BA531" s="196"/>
      <c r="BB531" s="196"/>
      <c r="BC531" s="196"/>
      <c r="BD531" s="196"/>
      <c r="BE531" s="196"/>
      <c r="BF531" s="196"/>
    </row>
    <row r="532">
      <c r="A532" s="194" t="s">
        <v>346</v>
      </c>
      <c r="B532" s="195" t="s">
        <v>751</v>
      </c>
      <c r="C532" s="195" t="s">
        <v>177</v>
      </c>
      <c r="D532" s="195" t="s">
        <v>178</v>
      </c>
      <c r="E532" s="195" t="s">
        <v>561</v>
      </c>
      <c r="F532" s="195" t="s">
        <v>246</v>
      </c>
      <c r="G532" s="195" t="s">
        <v>616</v>
      </c>
      <c r="H532" s="195" t="s">
        <v>534</v>
      </c>
      <c r="I532" s="195" t="s">
        <v>535</v>
      </c>
      <c r="J532" s="195" t="s">
        <v>181</v>
      </c>
      <c r="K532" s="195" t="s">
        <v>182</v>
      </c>
      <c r="L532" s="195" t="s">
        <v>183</v>
      </c>
      <c r="M532" s="195" t="s">
        <v>248</v>
      </c>
      <c r="N532" s="196"/>
      <c r="O532" s="196"/>
      <c r="P532" s="196"/>
      <c r="Q532" s="195" t="s">
        <v>184</v>
      </c>
      <c r="R532" s="195" t="s">
        <v>605</v>
      </c>
      <c r="S532" s="195" t="s">
        <v>189</v>
      </c>
      <c r="T532" s="196"/>
      <c r="U532" s="196"/>
      <c r="V532" s="196"/>
      <c r="W532" s="196"/>
      <c r="X532" s="196"/>
      <c r="Y532" s="196"/>
      <c r="Z532" s="196"/>
      <c r="AA532" s="196"/>
      <c r="AB532" s="196"/>
      <c r="AC532" s="196"/>
      <c r="AD532" s="196"/>
      <c r="AE532" s="196"/>
      <c r="AF532" s="196"/>
      <c r="AG532" s="195" t="s">
        <v>276</v>
      </c>
      <c r="AH532" s="195" t="s">
        <v>277</v>
      </c>
      <c r="AI532" s="195" t="s">
        <v>293</v>
      </c>
      <c r="AJ532" s="195" t="s">
        <v>253</v>
      </c>
      <c r="AK532" s="196"/>
      <c r="AL532" s="196"/>
      <c r="AM532" s="196"/>
      <c r="AN532" s="196"/>
      <c r="AO532" s="196"/>
      <c r="AP532" s="196"/>
      <c r="AQ532" s="196"/>
      <c r="AR532" s="196"/>
      <c r="AS532" s="196"/>
      <c r="AT532" s="196"/>
      <c r="AU532" s="196"/>
      <c r="AV532" s="196"/>
      <c r="AW532" s="196"/>
      <c r="AX532" s="196"/>
      <c r="AY532" s="196"/>
      <c r="AZ532" s="196"/>
      <c r="BA532" s="196"/>
      <c r="BB532" s="196"/>
      <c r="BC532" s="196"/>
      <c r="BD532" s="196"/>
      <c r="BE532" s="196"/>
      <c r="BF532" s="196"/>
    </row>
    <row r="533">
      <c r="A533" s="197"/>
      <c r="B533" s="195" t="s">
        <v>528</v>
      </c>
      <c r="C533" s="195" t="s">
        <v>528</v>
      </c>
      <c r="D533" s="195" t="s">
        <v>528</v>
      </c>
      <c r="E533" s="195" t="s">
        <v>528</v>
      </c>
      <c r="F533" s="195" t="s">
        <v>528</v>
      </c>
      <c r="G533" s="195" t="s">
        <v>528</v>
      </c>
      <c r="H533" s="195" t="s">
        <v>601</v>
      </c>
      <c r="I533" s="195" t="s">
        <v>601</v>
      </c>
      <c r="J533" s="195" t="s">
        <v>529</v>
      </c>
      <c r="K533" s="195" t="s">
        <v>529</v>
      </c>
      <c r="L533" s="195" t="s">
        <v>529</v>
      </c>
      <c r="M533" s="195" t="s">
        <v>531</v>
      </c>
      <c r="N533" s="196"/>
      <c r="O533" s="196"/>
      <c r="P533" s="196"/>
      <c r="Q533" s="195" t="s">
        <v>530</v>
      </c>
      <c r="R533" s="195" t="s">
        <v>530</v>
      </c>
      <c r="S533" s="195" t="s">
        <v>531</v>
      </c>
      <c r="T533" s="196"/>
      <c r="U533" s="196"/>
      <c r="V533" s="196"/>
      <c r="W533" s="196"/>
      <c r="X533" s="196"/>
      <c r="Y533" s="196"/>
      <c r="Z533" s="196"/>
      <c r="AA533" s="196"/>
      <c r="AB533" s="196"/>
      <c r="AC533" s="196"/>
      <c r="AD533" s="196"/>
      <c r="AE533" s="196"/>
      <c r="AF533" s="196"/>
      <c r="AG533" s="195" t="s">
        <v>530</v>
      </c>
      <c r="AH533" s="195" t="s">
        <v>530</v>
      </c>
      <c r="AI533" s="195" t="s">
        <v>531</v>
      </c>
      <c r="AJ533" s="195" t="s">
        <v>531</v>
      </c>
      <c r="AK533" s="196"/>
      <c r="AL533" s="196"/>
      <c r="AM533" s="196"/>
      <c r="AN533" s="196"/>
      <c r="AO533" s="196"/>
      <c r="AP533" s="196"/>
      <c r="AQ533" s="196"/>
      <c r="AR533" s="196"/>
      <c r="AS533" s="196"/>
      <c r="AT533" s="196"/>
      <c r="AU533" s="196"/>
      <c r="AV533" s="196"/>
      <c r="AW533" s="196"/>
      <c r="AX533" s="196"/>
      <c r="AY533" s="196"/>
      <c r="AZ533" s="196"/>
      <c r="BA533" s="196"/>
      <c r="BB533" s="196"/>
      <c r="BC533" s="196"/>
      <c r="BD533" s="196"/>
      <c r="BE533" s="196"/>
      <c r="BF533" s="196"/>
    </row>
    <row r="534">
      <c r="A534" s="197"/>
      <c r="B534" s="198">
        <v>0.2038</v>
      </c>
      <c r="C534" s="198">
        <v>0.4438</v>
      </c>
      <c r="D534" s="198">
        <v>0.5237</v>
      </c>
      <c r="E534" s="198">
        <v>0.2606</v>
      </c>
      <c r="F534" s="198">
        <v>0.5065</v>
      </c>
      <c r="G534" s="198">
        <v>0.7095</v>
      </c>
      <c r="H534" s="198">
        <v>0.4386</v>
      </c>
      <c r="I534" s="198">
        <v>1.24</v>
      </c>
      <c r="J534" s="198">
        <v>0.5683</v>
      </c>
      <c r="K534" s="198">
        <v>1.1366</v>
      </c>
      <c r="L534" s="198">
        <v>1.4208</v>
      </c>
      <c r="M534" s="199">
        <v>0.33</v>
      </c>
      <c r="N534" s="196"/>
      <c r="O534" s="196"/>
      <c r="P534" s="196"/>
      <c r="Q534" s="198">
        <v>2.76</v>
      </c>
      <c r="R534" s="198">
        <v>3.8</v>
      </c>
      <c r="S534" s="199">
        <v>-0.12</v>
      </c>
      <c r="T534" s="196"/>
      <c r="U534" s="196"/>
      <c r="V534" s="196"/>
      <c r="W534" s="196"/>
      <c r="X534" s="196"/>
      <c r="Y534" s="196"/>
      <c r="Z534" s="196"/>
      <c r="AA534" s="196"/>
      <c r="AB534" s="196"/>
      <c r="AC534" s="196"/>
      <c r="AD534" s="196"/>
      <c r="AE534" s="196"/>
      <c r="AF534" s="196"/>
      <c r="AG534" s="198">
        <v>0.376</v>
      </c>
      <c r="AH534" s="198">
        <v>0.188</v>
      </c>
      <c r="AI534" s="199">
        <v>0.25</v>
      </c>
      <c r="AJ534" s="199">
        <v>-0.2</v>
      </c>
      <c r="AK534" s="196"/>
      <c r="AL534" s="196"/>
      <c r="AM534" s="196"/>
      <c r="AN534" s="196"/>
      <c r="AO534" s="196"/>
      <c r="AP534" s="196"/>
      <c r="AQ534" s="196"/>
      <c r="AR534" s="196"/>
      <c r="AS534" s="196"/>
      <c r="AT534" s="196"/>
      <c r="AU534" s="196"/>
      <c r="AV534" s="196"/>
      <c r="AW534" s="196"/>
      <c r="AX534" s="196"/>
      <c r="AY534" s="196"/>
      <c r="AZ534" s="196"/>
      <c r="BA534" s="196"/>
      <c r="BB534" s="196"/>
      <c r="BC534" s="196"/>
      <c r="BD534" s="196"/>
      <c r="BE534" s="196"/>
      <c r="BF534" s="196"/>
    </row>
    <row r="535">
      <c r="A535" s="197"/>
      <c r="B535" s="201" t="s">
        <v>304</v>
      </c>
      <c r="C535" s="201" t="s">
        <v>304</v>
      </c>
      <c r="D535" s="201" t="s">
        <v>304</v>
      </c>
      <c r="E535" s="201" t="s">
        <v>304</v>
      </c>
      <c r="F535" s="201" t="s">
        <v>304</v>
      </c>
      <c r="G535" s="201" t="s">
        <v>304</v>
      </c>
      <c r="H535" s="201" t="s">
        <v>304</v>
      </c>
      <c r="I535" s="201" t="s">
        <v>304</v>
      </c>
      <c r="J535" s="201" t="s">
        <v>304</v>
      </c>
      <c r="K535" s="201" t="s">
        <v>304</v>
      </c>
      <c r="L535" s="201" t="s">
        <v>304</v>
      </c>
      <c r="M535" s="196"/>
      <c r="N535" s="196"/>
      <c r="O535" s="196"/>
      <c r="P535" s="196"/>
      <c r="Q535" s="201" t="s">
        <v>304</v>
      </c>
      <c r="R535" s="201" t="s">
        <v>304</v>
      </c>
      <c r="S535" s="196"/>
      <c r="T535" s="196"/>
      <c r="U535" s="196"/>
      <c r="V535" s="196"/>
      <c r="W535" s="196"/>
      <c r="X535" s="196"/>
      <c r="Y535" s="196"/>
      <c r="Z535" s="196"/>
      <c r="AA535" s="196"/>
      <c r="AB535" s="196"/>
      <c r="AC535" s="196"/>
      <c r="AD535" s="196"/>
      <c r="AE535" s="196"/>
      <c r="AF535" s="196"/>
      <c r="AG535" s="201" t="s">
        <v>304</v>
      </c>
      <c r="AH535" s="201" t="s">
        <v>304</v>
      </c>
      <c r="AI535" s="196"/>
      <c r="AJ535" s="196"/>
      <c r="AK535" s="196"/>
      <c r="AL535" s="196"/>
      <c r="AM535" s="196"/>
      <c r="AN535" s="196"/>
      <c r="AO535" s="196"/>
      <c r="AP535" s="196"/>
      <c r="AQ535" s="196"/>
      <c r="AR535" s="196"/>
      <c r="AS535" s="196"/>
      <c r="AT535" s="196"/>
      <c r="AU535" s="196"/>
      <c r="AV535" s="196"/>
      <c r="AW535" s="196"/>
      <c r="AX535" s="196"/>
      <c r="AY535" s="196"/>
      <c r="AZ535" s="196"/>
      <c r="BA535" s="196"/>
      <c r="BB535" s="196"/>
      <c r="BC535" s="196"/>
      <c r="BD535" s="196"/>
      <c r="BE535" s="196"/>
      <c r="BF535" s="196"/>
    </row>
    <row r="536">
      <c r="A536" s="197"/>
      <c r="B536" s="201" t="s">
        <v>147</v>
      </c>
      <c r="C536" s="201" t="s">
        <v>147</v>
      </c>
      <c r="D536" s="201" t="s">
        <v>147</v>
      </c>
      <c r="E536" s="201" t="s">
        <v>147</v>
      </c>
      <c r="F536" s="201" t="s">
        <v>147</v>
      </c>
      <c r="G536" s="201" t="s">
        <v>147</v>
      </c>
      <c r="H536" s="201" t="s">
        <v>152</v>
      </c>
      <c r="I536" s="201" t="s">
        <v>152</v>
      </c>
      <c r="J536" s="201" t="s">
        <v>157</v>
      </c>
      <c r="K536" s="201" t="s">
        <v>157</v>
      </c>
      <c r="L536" s="201" t="s">
        <v>157</v>
      </c>
      <c r="M536" s="196"/>
      <c r="N536" s="196"/>
      <c r="O536" s="196"/>
      <c r="P536" s="196"/>
      <c r="Q536" s="201" t="s">
        <v>160</v>
      </c>
      <c r="R536" s="201" t="s">
        <v>160</v>
      </c>
      <c r="S536" s="196"/>
      <c r="T536" s="196"/>
      <c r="U536" s="196"/>
      <c r="V536" s="196"/>
      <c r="W536" s="196"/>
      <c r="X536" s="196"/>
      <c r="Y536" s="196"/>
      <c r="Z536" s="196"/>
      <c r="AA536" s="196"/>
      <c r="AB536" s="196"/>
      <c r="AC536" s="196"/>
      <c r="AD536" s="196"/>
      <c r="AE536" s="196"/>
      <c r="AF536" s="196"/>
      <c r="AG536" s="201" t="s">
        <v>164</v>
      </c>
      <c r="AH536" s="201" t="s">
        <v>164</v>
      </c>
      <c r="AI536" s="196"/>
      <c r="AJ536" s="196"/>
      <c r="AK536" s="196"/>
      <c r="AL536" s="196"/>
      <c r="AM536" s="196"/>
      <c r="AN536" s="196"/>
      <c r="AO536" s="196"/>
      <c r="AP536" s="196"/>
      <c r="AQ536" s="196"/>
      <c r="AR536" s="196"/>
      <c r="AS536" s="196"/>
      <c r="AT536" s="196"/>
      <c r="AU536" s="196"/>
      <c r="AV536" s="196"/>
      <c r="AW536" s="196"/>
      <c r="AX536" s="196"/>
      <c r="AY536" s="196"/>
      <c r="AZ536" s="196"/>
      <c r="BA536" s="196"/>
      <c r="BB536" s="196"/>
      <c r="BC536" s="196"/>
      <c r="BD536" s="196"/>
      <c r="BE536" s="196"/>
      <c r="BF536" s="196"/>
    </row>
    <row r="537">
      <c r="A537" s="194" t="s">
        <v>241</v>
      </c>
      <c r="B537" s="195" t="s">
        <v>176</v>
      </c>
      <c r="C537" s="195" t="s">
        <v>177</v>
      </c>
      <c r="D537" s="195" t="s">
        <v>244</v>
      </c>
      <c r="E537" s="195" t="s">
        <v>245</v>
      </c>
      <c r="F537" s="195" t="s">
        <v>246</v>
      </c>
      <c r="G537" s="195" t="s">
        <v>180</v>
      </c>
      <c r="H537" s="195" t="s">
        <v>181</v>
      </c>
      <c r="I537" s="195" t="s">
        <v>182</v>
      </c>
      <c r="J537" s="195" t="s">
        <v>183</v>
      </c>
      <c r="K537" s="195" t="s">
        <v>189</v>
      </c>
      <c r="L537" s="196"/>
      <c r="M537" s="196"/>
      <c r="N537" s="196"/>
      <c r="O537" s="196"/>
      <c r="P537" s="196"/>
      <c r="Q537" s="195" t="s">
        <v>247</v>
      </c>
      <c r="R537" s="195" t="s">
        <v>192</v>
      </c>
      <c r="S537" s="195" t="s">
        <v>248</v>
      </c>
      <c r="T537" s="196"/>
      <c r="U537" s="196"/>
      <c r="V537" s="196"/>
      <c r="W537" s="196"/>
      <c r="X537" s="196"/>
      <c r="Y537" s="196"/>
      <c r="Z537" s="196"/>
      <c r="AA537" s="196"/>
      <c r="AB537" s="196"/>
      <c r="AC537" s="196"/>
      <c r="AD537" s="196"/>
      <c r="AE537" s="196"/>
      <c r="AF537" s="196"/>
      <c r="AG537" s="195" t="s">
        <v>249</v>
      </c>
      <c r="AH537" s="195" t="s">
        <v>250</v>
      </c>
      <c r="AI537" s="195" t="s">
        <v>251</v>
      </c>
      <c r="AJ537" s="195" t="s">
        <v>252</v>
      </c>
      <c r="AK537" s="195" t="s">
        <v>253</v>
      </c>
      <c r="AL537" s="196"/>
      <c r="AM537" s="196"/>
      <c r="AN537" s="196"/>
      <c r="AO537" s="196"/>
      <c r="AP537" s="196"/>
      <c r="AQ537" s="196"/>
      <c r="AR537" s="196"/>
      <c r="AS537" s="196"/>
      <c r="AT537" s="196"/>
      <c r="AU537" s="196"/>
    </row>
    <row r="538">
      <c r="A538" s="197"/>
      <c r="B538" s="195" t="s">
        <v>528</v>
      </c>
      <c r="C538" s="195" t="s">
        <v>528</v>
      </c>
      <c r="D538" s="195" t="s">
        <v>528</v>
      </c>
      <c r="E538" s="195" t="s">
        <v>528</v>
      </c>
      <c r="F538" s="195" t="s">
        <v>528</v>
      </c>
      <c r="G538" s="195" t="s">
        <v>528</v>
      </c>
      <c r="H538" s="195" t="s">
        <v>529</v>
      </c>
      <c r="I538" s="195" t="s">
        <v>529</v>
      </c>
      <c r="J538" s="195" t="s">
        <v>529</v>
      </c>
      <c r="K538" s="195" t="s">
        <v>531</v>
      </c>
      <c r="L538" s="196"/>
      <c r="M538" s="196"/>
      <c r="N538" s="196"/>
      <c r="O538" s="196"/>
      <c r="P538" s="196"/>
      <c r="Q538" s="195" t="s">
        <v>530</v>
      </c>
      <c r="R538" s="195" t="s">
        <v>531</v>
      </c>
      <c r="S538" s="195" t="s">
        <v>531</v>
      </c>
      <c r="T538" s="196"/>
      <c r="U538" s="196"/>
      <c r="V538" s="196"/>
      <c r="W538" s="196"/>
      <c r="X538" s="196"/>
      <c r="Y538" s="196"/>
      <c r="Z538" s="196"/>
      <c r="AA538" s="196"/>
      <c r="AB538" s="196"/>
      <c r="AC538" s="196"/>
      <c r="AD538" s="196"/>
      <c r="AE538" s="196"/>
      <c r="AF538" s="196"/>
      <c r="AG538" s="195" t="s">
        <v>530</v>
      </c>
      <c r="AH538" s="195" t="s">
        <v>530</v>
      </c>
      <c r="AI538" s="195" t="s">
        <v>530</v>
      </c>
      <c r="AJ538" s="195" t="s">
        <v>530</v>
      </c>
      <c r="AK538" s="195" t="s">
        <v>531</v>
      </c>
      <c r="AL538" s="196"/>
      <c r="AM538" s="196"/>
      <c r="AN538" s="196"/>
      <c r="AO538" s="196"/>
      <c r="AP538" s="196"/>
      <c r="AQ538" s="196"/>
      <c r="AR538" s="196"/>
      <c r="AS538" s="196"/>
      <c r="AT538" s="196"/>
      <c r="AU538" s="196"/>
    </row>
    <row r="539">
      <c r="A539" s="197"/>
      <c r="B539" s="198">
        <v>0.4205</v>
      </c>
      <c r="C539" s="198">
        <v>0.4214</v>
      </c>
      <c r="D539" s="198">
        <v>0.2606</v>
      </c>
      <c r="E539" s="198">
        <v>0.141</v>
      </c>
      <c r="F539" s="198">
        <v>0.7104</v>
      </c>
      <c r="G539" s="198">
        <v>1.2169</v>
      </c>
      <c r="H539" s="198">
        <v>0.6393</v>
      </c>
      <c r="I539" s="198">
        <v>1.2786</v>
      </c>
      <c r="J539" s="198">
        <v>1.5983</v>
      </c>
      <c r="K539" s="199">
        <v>0.75</v>
      </c>
      <c r="L539" s="196"/>
      <c r="M539" s="196"/>
      <c r="N539" s="196"/>
      <c r="O539" s="196"/>
      <c r="P539" s="196"/>
      <c r="Q539" s="198">
        <v>1.1128</v>
      </c>
      <c r="R539" s="199">
        <v>0.1</v>
      </c>
      <c r="S539" s="199">
        <v>-0.15</v>
      </c>
      <c r="T539" s="196"/>
      <c r="U539" s="196"/>
      <c r="V539" s="196"/>
      <c r="W539" s="196"/>
      <c r="X539" s="196"/>
      <c r="Y539" s="196"/>
      <c r="Z539" s="196"/>
      <c r="AA539" s="196"/>
      <c r="AB539" s="196"/>
      <c r="AC539" s="196"/>
      <c r="AD539" s="196"/>
      <c r="AE539" s="196"/>
      <c r="AF539" s="196"/>
      <c r="AG539" s="198">
        <v>0.72</v>
      </c>
      <c r="AH539" s="198">
        <v>0.88</v>
      </c>
      <c r="AI539" s="198">
        <v>1.096</v>
      </c>
      <c r="AJ539" s="198">
        <v>1.12</v>
      </c>
      <c r="AK539" s="199">
        <v>0.15</v>
      </c>
      <c r="AL539" s="196"/>
      <c r="AM539" s="196"/>
      <c r="AN539" s="196"/>
      <c r="AO539" s="196"/>
      <c r="AP539" s="196"/>
      <c r="AQ539" s="196"/>
      <c r="AR539" s="196"/>
      <c r="AS539" s="196"/>
      <c r="AT539" s="196"/>
      <c r="AU539" s="196"/>
    </row>
    <row r="540">
      <c r="A540" s="197"/>
      <c r="B540" s="201" t="s">
        <v>304</v>
      </c>
      <c r="C540" s="201" t="s">
        <v>304</v>
      </c>
      <c r="D540" s="201" t="s">
        <v>304</v>
      </c>
      <c r="E540" s="201" t="s">
        <v>304</v>
      </c>
      <c r="F540" s="201" t="s">
        <v>304</v>
      </c>
      <c r="G540" s="201" t="s">
        <v>304</v>
      </c>
      <c r="H540" s="201" t="s">
        <v>304</v>
      </c>
      <c r="I540" s="201" t="s">
        <v>304</v>
      </c>
      <c r="J540" s="201" t="s">
        <v>304</v>
      </c>
      <c r="K540" s="195" t="s">
        <v>304</v>
      </c>
      <c r="L540" s="196"/>
      <c r="M540" s="196"/>
      <c r="N540" s="196"/>
      <c r="O540" s="196"/>
      <c r="P540" s="196"/>
      <c r="Q540" s="201" t="s">
        <v>304</v>
      </c>
      <c r="R540" s="196"/>
      <c r="S540" s="196"/>
      <c r="T540" s="196"/>
      <c r="U540" s="196"/>
      <c r="V540" s="196"/>
      <c r="W540" s="196"/>
      <c r="X540" s="196"/>
      <c r="Y540" s="196"/>
      <c r="Z540" s="196"/>
      <c r="AA540" s="196"/>
      <c r="AB540" s="196"/>
      <c r="AC540" s="196"/>
      <c r="AD540" s="196"/>
      <c r="AE540" s="196"/>
      <c r="AF540" s="196"/>
      <c r="AG540" s="201" t="s">
        <v>304</v>
      </c>
      <c r="AH540" s="201" t="s">
        <v>304</v>
      </c>
      <c r="AI540" s="201" t="s">
        <v>304</v>
      </c>
      <c r="AJ540" s="201" t="s">
        <v>304</v>
      </c>
      <c r="AK540" s="196"/>
      <c r="AL540" s="196"/>
      <c r="AM540" s="196"/>
      <c r="AN540" s="196"/>
      <c r="AO540" s="196"/>
      <c r="AP540" s="196"/>
      <c r="AQ540" s="196"/>
      <c r="AR540" s="196"/>
      <c r="AS540" s="196"/>
      <c r="AT540" s="196"/>
      <c r="AU540" s="196"/>
    </row>
    <row r="541">
      <c r="A541" s="197"/>
      <c r="B541" s="201" t="s">
        <v>147</v>
      </c>
      <c r="C541" s="201" t="s">
        <v>147</v>
      </c>
      <c r="D541" s="201" t="s">
        <v>147</v>
      </c>
      <c r="E541" s="201" t="s">
        <v>147</v>
      </c>
      <c r="F541" s="201" t="s">
        <v>147</v>
      </c>
      <c r="G541" s="201" t="s">
        <v>152</v>
      </c>
      <c r="H541" s="201" t="s">
        <v>157</v>
      </c>
      <c r="I541" s="201" t="s">
        <v>157</v>
      </c>
      <c r="J541" s="201" t="s">
        <v>157</v>
      </c>
      <c r="K541" s="196"/>
      <c r="L541" s="196"/>
      <c r="M541" s="196"/>
      <c r="N541" s="196"/>
      <c r="O541" s="196"/>
      <c r="P541" s="196"/>
      <c r="Q541" s="201" t="s">
        <v>160</v>
      </c>
      <c r="R541" s="196"/>
      <c r="S541" s="196"/>
      <c r="T541" s="196"/>
      <c r="U541" s="196"/>
      <c r="V541" s="196"/>
      <c r="W541" s="196"/>
      <c r="X541" s="196"/>
      <c r="Y541" s="196"/>
      <c r="Z541" s="196"/>
      <c r="AA541" s="196"/>
      <c r="AB541" s="196"/>
      <c r="AC541" s="196"/>
      <c r="AD541" s="196"/>
      <c r="AE541" s="196"/>
      <c r="AF541" s="196"/>
      <c r="AG541" s="201" t="s">
        <v>164</v>
      </c>
      <c r="AH541" s="201" t="s">
        <v>164</v>
      </c>
      <c r="AI541" s="201" t="s">
        <v>164</v>
      </c>
      <c r="AJ541" s="201" t="s">
        <v>164</v>
      </c>
      <c r="AK541" s="196"/>
      <c r="AL541" s="196"/>
      <c r="AM541" s="196"/>
      <c r="AN541" s="196"/>
      <c r="AO541" s="196"/>
      <c r="AP541" s="196"/>
      <c r="AQ541" s="196"/>
      <c r="AR541" s="196"/>
      <c r="AS541" s="196"/>
      <c r="AT541" s="196"/>
      <c r="AU541" s="196"/>
    </row>
    <row r="542">
      <c r="A542" s="194" t="s">
        <v>347</v>
      </c>
      <c r="B542" s="195" t="s">
        <v>751</v>
      </c>
      <c r="C542" s="195" t="s">
        <v>177</v>
      </c>
      <c r="D542" s="195" t="s">
        <v>178</v>
      </c>
      <c r="E542" s="195" t="s">
        <v>561</v>
      </c>
      <c r="F542" s="194" t="s">
        <v>246</v>
      </c>
      <c r="G542" s="194" t="s">
        <v>616</v>
      </c>
      <c r="H542" s="195" t="s">
        <v>180</v>
      </c>
      <c r="I542" s="195" t="s">
        <v>181</v>
      </c>
      <c r="J542" s="195" t="s">
        <v>182</v>
      </c>
      <c r="K542" s="195" t="s">
        <v>183</v>
      </c>
      <c r="L542" s="196"/>
      <c r="M542" s="196"/>
      <c r="N542" s="196"/>
      <c r="O542" s="196"/>
      <c r="P542" s="196"/>
      <c r="Q542" s="195" t="s">
        <v>294</v>
      </c>
      <c r="R542" s="195" t="s">
        <v>192</v>
      </c>
      <c r="S542" s="196"/>
      <c r="T542" s="196"/>
      <c r="U542" s="196"/>
      <c r="V542" s="196"/>
      <c r="W542" s="196"/>
      <c r="X542" s="196"/>
      <c r="Y542" s="196"/>
      <c r="Z542" s="196"/>
      <c r="AA542" s="196"/>
      <c r="AB542" s="196"/>
      <c r="AC542" s="196"/>
      <c r="AD542" s="196"/>
      <c r="AE542" s="196"/>
      <c r="AF542" s="196"/>
      <c r="AG542" s="194" t="s">
        <v>752</v>
      </c>
      <c r="AH542" s="195" t="s">
        <v>274</v>
      </c>
      <c r="AI542" s="195" t="s">
        <v>189</v>
      </c>
      <c r="AJ542" s="195" t="s">
        <v>293</v>
      </c>
      <c r="AK542" s="196"/>
      <c r="AL542" s="196"/>
      <c r="AM542" s="196"/>
      <c r="AN542" s="196"/>
      <c r="AO542" s="196"/>
      <c r="AP542" s="196"/>
      <c r="AQ542" s="196"/>
      <c r="AR542" s="196"/>
      <c r="AS542" s="196"/>
      <c r="AT542" s="196"/>
      <c r="AU542" s="196"/>
      <c r="AV542" s="196"/>
      <c r="AW542" s="196"/>
      <c r="AX542" s="196"/>
      <c r="AY542" s="196"/>
      <c r="AZ542" s="196"/>
      <c r="BA542" s="196"/>
      <c r="BB542" s="196"/>
      <c r="BC542" s="196"/>
      <c r="BD542" s="196"/>
      <c r="BE542" s="196"/>
      <c r="BF542" s="196"/>
    </row>
    <row r="543">
      <c r="A543" s="197"/>
      <c r="B543" s="195" t="s">
        <v>637</v>
      </c>
      <c r="C543" s="195" t="s">
        <v>637</v>
      </c>
      <c r="D543" s="195" t="s">
        <v>637</v>
      </c>
      <c r="E543" s="195" t="s">
        <v>637</v>
      </c>
      <c r="F543" s="195" t="s">
        <v>637</v>
      </c>
      <c r="G543" s="195" t="s">
        <v>637</v>
      </c>
      <c r="H543" s="195" t="s">
        <v>637</v>
      </c>
      <c r="I543" s="195" t="s">
        <v>529</v>
      </c>
      <c r="J543" s="195" t="s">
        <v>529</v>
      </c>
      <c r="K543" s="195" t="s">
        <v>529</v>
      </c>
      <c r="L543" s="196"/>
      <c r="M543" s="196"/>
      <c r="N543" s="196"/>
      <c r="O543" s="196"/>
      <c r="P543" s="196"/>
      <c r="Q543" s="195" t="s">
        <v>530</v>
      </c>
      <c r="R543" s="195" t="s">
        <v>531</v>
      </c>
      <c r="S543" s="196"/>
      <c r="T543" s="196"/>
      <c r="U543" s="196"/>
      <c r="V543" s="196"/>
      <c r="W543" s="196"/>
      <c r="X543" s="196"/>
      <c r="Y543" s="196"/>
      <c r="Z543" s="196"/>
      <c r="AA543" s="196"/>
      <c r="AB543" s="196"/>
      <c r="AC543" s="196"/>
      <c r="AD543" s="196"/>
      <c r="AE543" s="196"/>
      <c r="AF543" s="196"/>
      <c r="AG543" s="195" t="s">
        <v>544</v>
      </c>
      <c r="AH543" s="195" t="s">
        <v>531</v>
      </c>
      <c r="AI543" s="195" t="s">
        <v>531</v>
      </c>
      <c r="AJ543" s="195" t="s">
        <v>531</v>
      </c>
      <c r="AK543" s="196"/>
      <c r="AL543" s="196"/>
      <c r="AM543" s="196"/>
      <c r="AN543" s="196"/>
      <c r="AO543" s="196"/>
      <c r="AP543" s="196"/>
      <c r="AQ543" s="196"/>
      <c r="AR543" s="196"/>
      <c r="AS543" s="196"/>
      <c r="AT543" s="196"/>
      <c r="AU543" s="196"/>
      <c r="AV543" s="196"/>
      <c r="AW543" s="196"/>
      <c r="AX543" s="196"/>
      <c r="AY543" s="196"/>
      <c r="AZ543" s="196"/>
      <c r="BA543" s="196"/>
      <c r="BB543" s="196"/>
      <c r="BC543" s="196"/>
      <c r="BD543" s="196"/>
      <c r="BE543" s="196"/>
      <c r="BF543" s="196"/>
    </row>
    <row r="544">
      <c r="A544" s="197"/>
      <c r="B544" s="198">
        <v>0.2754</v>
      </c>
      <c r="C544" s="198">
        <v>0.5694</v>
      </c>
      <c r="D544" s="198">
        <v>0.6855</v>
      </c>
      <c r="E544" s="198">
        <v>0.3766</v>
      </c>
      <c r="F544" s="198">
        <v>0.7154</v>
      </c>
      <c r="G544" s="198">
        <v>0.9583</v>
      </c>
      <c r="H544" s="198">
        <v>1.2109</v>
      </c>
      <c r="I544" s="198">
        <v>0.8183</v>
      </c>
      <c r="J544" s="198">
        <v>1.6366</v>
      </c>
      <c r="K544" s="198">
        <v>2.0458</v>
      </c>
      <c r="L544" s="196"/>
      <c r="M544" s="196"/>
      <c r="N544" s="196"/>
      <c r="O544" s="196"/>
      <c r="P544" s="196"/>
      <c r="Q544" s="198">
        <v>2.528</v>
      </c>
      <c r="R544" s="199">
        <v>0.15</v>
      </c>
      <c r="S544" s="196"/>
      <c r="T544" s="196"/>
      <c r="U544" s="196"/>
      <c r="V544" s="196"/>
      <c r="W544" s="196"/>
      <c r="X544" s="196"/>
      <c r="Y544" s="196"/>
      <c r="Z544" s="196"/>
      <c r="AA544" s="196"/>
      <c r="AB544" s="196"/>
      <c r="AC544" s="196"/>
      <c r="AD544" s="196"/>
      <c r="AE544" s="196"/>
      <c r="AF544" s="196"/>
      <c r="AG544" s="198">
        <v>0.5845</v>
      </c>
      <c r="AH544" s="199">
        <v>0.05</v>
      </c>
      <c r="AI544" s="199">
        <v>0.25</v>
      </c>
      <c r="AJ544" s="199">
        <v>1.0</v>
      </c>
      <c r="AK544" s="196"/>
      <c r="AL544" s="196"/>
      <c r="AM544" s="196"/>
      <c r="AN544" s="196"/>
      <c r="AO544" s="196"/>
      <c r="AP544" s="196"/>
      <c r="AQ544" s="196"/>
      <c r="AR544" s="196"/>
      <c r="AS544" s="196"/>
      <c r="AT544" s="196"/>
      <c r="AU544" s="196"/>
      <c r="AV544" s="196"/>
      <c r="AW544" s="196"/>
      <c r="AX544" s="196"/>
      <c r="AY544" s="196"/>
      <c r="AZ544" s="196"/>
      <c r="BA544" s="196"/>
      <c r="BB544" s="196"/>
      <c r="BC544" s="196"/>
      <c r="BD544" s="196"/>
      <c r="BE544" s="196"/>
      <c r="BF544" s="196"/>
    </row>
    <row r="545">
      <c r="A545" s="197"/>
      <c r="B545" s="201" t="s">
        <v>304</v>
      </c>
      <c r="C545" s="201" t="s">
        <v>304</v>
      </c>
      <c r="D545" s="201" t="s">
        <v>304</v>
      </c>
      <c r="E545" s="201" t="s">
        <v>304</v>
      </c>
      <c r="F545" s="201" t="s">
        <v>304</v>
      </c>
      <c r="G545" s="201" t="s">
        <v>304</v>
      </c>
      <c r="H545" s="201" t="s">
        <v>304</v>
      </c>
      <c r="I545" s="201" t="s">
        <v>304</v>
      </c>
      <c r="J545" s="201" t="s">
        <v>304</v>
      </c>
      <c r="K545" s="201" t="s">
        <v>304</v>
      </c>
      <c r="L545" s="196"/>
      <c r="M545" s="196"/>
      <c r="N545" s="196"/>
      <c r="O545" s="196"/>
      <c r="P545" s="196"/>
      <c r="Q545" s="201" t="s">
        <v>304</v>
      </c>
      <c r="R545" s="196"/>
      <c r="S545" s="196"/>
      <c r="T545" s="196"/>
      <c r="U545" s="196"/>
      <c r="V545" s="196"/>
      <c r="W545" s="196"/>
      <c r="X545" s="196"/>
      <c r="Y545" s="196"/>
      <c r="Z545" s="196"/>
      <c r="AA545" s="196"/>
      <c r="AB545" s="196"/>
      <c r="AC545" s="196"/>
      <c r="AD545" s="196"/>
      <c r="AE545" s="196"/>
      <c r="AF545" s="196"/>
      <c r="AG545" s="201" t="s">
        <v>390</v>
      </c>
      <c r="AH545" s="196"/>
      <c r="AI545" s="196"/>
      <c r="AJ545" s="196"/>
      <c r="AK545" s="196"/>
      <c r="AL545" s="196"/>
      <c r="AM545" s="196"/>
      <c r="AN545" s="196"/>
      <c r="AO545" s="196"/>
      <c r="AP545" s="196"/>
      <c r="AQ545" s="196"/>
      <c r="AR545" s="196"/>
      <c r="AS545" s="196"/>
      <c r="AT545" s="196"/>
      <c r="AU545" s="196"/>
      <c r="AV545" s="196"/>
      <c r="AW545" s="196"/>
      <c r="AX545" s="196"/>
      <c r="AY545" s="196"/>
      <c r="AZ545" s="196"/>
      <c r="BA545" s="196"/>
      <c r="BB545" s="196"/>
      <c r="BC545" s="196"/>
      <c r="BD545" s="196"/>
      <c r="BE545" s="196"/>
      <c r="BF545" s="196"/>
    </row>
    <row r="546">
      <c r="A546" s="197"/>
      <c r="B546" s="201" t="s">
        <v>147</v>
      </c>
      <c r="C546" s="201" t="s">
        <v>147</v>
      </c>
      <c r="D546" s="201" t="s">
        <v>147</v>
      </c>
      <c r="E546" s="201" t="s">
        <v>147</v>
      </c>
      <c r="F546" s="201" t="s">
        <v>147</v>
      </c>
      <c r="G546" s="201" t="s">
        <v>147</v>
      </c>
      <c r="H546" s="201" t="s">
        <v>152</v>
      </c>
      <c r="I546" s="201" t="s">
        <v>157</v>
      </c>
      <c r="J546" s="201" t="s">
        <v>157</v>
      </c>
      <c r="K546" s="201" t="s">
        <v>157</v>
      </c>
      <c r="L546" s="196"/>
      <c r="M546" s="196"/>
      <c r="N546" s="196"/>
      <c r="O546" s="196"/>
      <c r="P546" s="196"/>
      <c r="Q546" s="201" t="s">
        <v>160</v>
      </c>
      <c r="R546" s="196"/>
      <c r="S546" s="196"/>
      <c r="T546" s="196"/>
      <c r="U546" s="196"/>
      <c r="V546" s="196"/>
      <c r="W546" s="196"/>
      <c r="X546" s="196"/>
      <c r="Y546" s="196"/>
      <c r="Z546" s="196"/>
      <c r="AA546" s="196"/>
      <c r="AB546" s="196"/>
      <c r="AC546" s="196"/>
      <c r="AD546" s="196"/>
      <c r="AE546" s="196"/>
      <c r="AF546" s="196"/>
      <c r="AG546" s="198"/>
      <c r="AH546" s="196"/>
      <c r="AI546" s="196"/>
      <c r="AJ546" s="196"/>
      <c r="AK546" s="196"/>
      <c r="AL546" s="196"/>
      <c r="AM546" s="196"/>
      <c r="AN546" s="196"/>
      <c r="AO546" s="196"/>
      <c r="AP546" s="196"/>
      <c r="AQ546" s="196"/>
      <c r="AR546" s="196"/>
      <c r="AS546" s="196"/>
      <c r="AT546" s="196"/>
      <c r="AU546" s="196"/>
      <c r="AV546" s="196"/>
      <c r="AW546" s="196"/>
      <c r="AX546" s="196"/>
      <c r="AY546" s="196"/>
      <c r="AZ546" s="196"/>
      <c r="BA546" s="196"/>
      <c r="BB546" s="196"/>
      <c r="BC546" s="196"/>
      <c r="BD546" s="196"/>
      <c r="BE546" s="196"/>
      <c r="BF546" s="196"/>
    </row>
    <row r="547">
      <c r="A547" s="194" t="s">
        <v>348</v>
      </c>
      <c r="B547" s="195" t="s">
        <v>176</v>
      </c>
      <c r="C547" s="195" t="s">
        <v>177</v>
      </c>
      <c r="D547" s="195" t="s">
        <v>244</v>
      </c>
      <c r="E547" s="195" t="s">
        <v>179</v>
      </c>
      <c r="F547" s="194" t="s">
        <v>753</v>
      </c>
      <c r="G547" s="195" t="s">
        <v>270</v>
      </c>
      <c r="H547" s="195" t="s">
        <v>271</v>
      </c>
      <c r="I547" s="195" t="s">
        <v>181</v>
      </c>
      <c r="J547" s="195" t="s">
        <v>182</v>
      </c>
      <c r="K547" s="195" t="s">
        <v>183</v>
      </c>
      <c r="L547" s="196"/>
      <c r="M547" s="196"/>
      <c r="N547" s="196"/>
      <c r="O547" s="196"/>
      <c r="P547" s="196"/>
      <c r="Q547" s="195" t="s">
        <v>754</v>
      </c>
      <c r="R547" s="195" t="s">
        <v>755</v>
      </c>
      <c r="S547" s="195" t="s">
        <v>756</v>
      </c>
      <c r="T547" s="195" t="s">
        <v>274</v>
      </c>
      <c r="U547" s="195" t="s">
        <v>293</v>
      </c>
      <c r="V547" s="196"/>
      <c r="W547" s="196"/>
      <c r="X547" s="196"/>
      <c r="Y547" s="196"/>
      <c r="Z547" s="196"/>
      <c r="AA547" s="196"/>
      <c r="AB547" s="196"/>
      <c r="AC547" s="196"/>
      <c r="AD547" s="196"/>
      <c r="AE547" s="196"/>
      <c r="AF547" s="196"/>
      <c r="AG547" s="195" t="s">
        <v>757</v>
      </c>
      <c r="AH547" s="195" t="s">
        <v>192</v>
      </c>
      <c r="AI547" s="195" t="s">
        <v>189</v>
      </c>
      <c r="AJ547" s="196"/>
      <c r="AK547" s="196"/>
      <c r="AL547" s="196"/>
      <c r="AM547" s="196"/>
      <c r="AN547" s="196"/>
      <c r="AO547" s="196"/>
      <c r="AP547" s="196"/>
      <c r="AQ547" s="196"/>
      <c r="AR547" s="196"/>
      <c r="AS547" s="196"/>
      <c r="AT547" s="196"/>
      <c r="AU547" s="196"/>
      <c r="AV547" s="196"/>
      <c r="AW547" s="196"/>
      <c r="AX547" s="196"/>
      <c r="AY547" s="196"/>
      <c r="AZ547" s="196"/>
      <c r="BA547" s="196"/>
      <c r="BB547" s="196"/>
      <c r="BC547" s="196"/>
      <c r="BD547" s="196"/>
      <c r="BE547" s="196"/>
      <c r="BF547" s="196"/>
    </row>
    <row r="548">
      <c r="A548" s="197"/>
      <c r="B548" s="195" t="s">
        <v>528</v>
      </c>
      <c r="C548" s="195" t="s">
        <v>528</v>
      </c>
      <c r="D548" s="195" t="s">
        <v>528</v>
      </c>
      <c r="E548" s="195" t="s">
        <v>528</v>
      </c>
      <c r="F548" s="195" t="s">
        <v>528</v>
      </c>
      <c r="G548" s="195" t="s">
        <v>528</v>
      </c>
      <c r="H548" s="195" t="s">
        <v>528</v>
      </c>
      <c r="I548" s="195" t="s">
        <v>529</v>
      </c>
      <c r="J548" s="195" t="s">
        <v>529</v>
      </c>
      <c r="K548" s="195" t="s">
        <v>529</v>
      </c>
      <c r="L548" s="196"/>
      <c r="M548" s="196"/>
      <c r="N548" s="196"/>
      <c r="O548" s="196"/>
      <c r="P548" s="196"/>
      <c r="Q548" s="195" t="s">
        <v>530</v>
      </c>
      <c r="R548" s="195" t="s">
        <v>530</v>
      </c>
      <c r="S548" s="195" t="s">
        <v>758</v>
      </c>
      <c r="T548" s="195" t="s">
        <v>531</v>
      </c>
      <c r="U548" s="195" t="s">
        <v>531</v>
      </c>
      <c r="V548" s="196"/>
      <c r="W548" s="196"/>
      <c r="X548" s="196"/>
      <c r="Y548" s="196"/>
      <c r="Z548" s="196"/>
      <c r="AA548" s="196"/>
      <c r="AB548" s="196"/>
      <c r="AC548" s="196"/>
      <c r="AD548" s="196"/>
      <c r="AE548" s="196"/>
      <c r="AF548" s="196"/>
      <c r="AG548" s="195" t="s">
        <v>530</v>
      </c>
      <c r="AH548" s="195" t="s">
        <v>531</v>
      </c>
      <c r="AI548" s="195" t="s">
        <v>531</v>
      </c>
      <c r="AJ548" s="196"/>
      <c r="AK548" s="196"/>
      <c r="AL548" s="196"/>
      <c r="AM548" s="196"/>
      <c r="AN548" s="196"/>
      <c r="AO548" s="196"/>
      <c r="AP548" s="196"/>
      <c r="AQ548" s="196"/>
      <c r="AR548" s="196"/>
      <c r="AS548" s="196"/>
      <c r="AT548" s="196"/>
      <c r="AU548" s="196"/>
      <c r="AV548" s="196"/>
      <c r="AW548" s="196"/>
      <c r="AX548" s="196"/>
      <c r="AY548" s="196"/>
      <c r="AZ548" s="196"/>
      <c r="BA548" s="196"/>
      <c r="BB548" s="196"/>
      <c r="BC548" s="196"/>
      <c r="BD548" s="196"/>
      <c r="BE548" s="196"/>
      <c r="BF548" s="196"/>
    </row>
    <row r="549">
      <c r="A549" s="197"/>
      <c r="B549" s="198">
        <v>0.4661</v>
      </c>
      <c r="C549" s="198">
        <v>0.4764</v>
      </c>
      <c r="D549" s="198">
        <v>0.2855</v>
      </c>
      <c r="E549" s="198">
        <v>0.5599</v>
      </c>
      <c r="F549" s="198">
        <v>0.3586</v>
      </c>
      <c r="G549" s="198">
        <v>0.473</v>
      </c>
      <c r="H549" s="198">
        <v>0.5616</v>
      </c>
      <c r="I549" s="198">
        <v>0.6393</v>
      </c>
      <c r="J549" s="198">
        <v>1.2786</v>
      </c>
      <c r="K549" s="198">
        <v>1.5983</v>
      </c>
      <c r="L549" s="196"/>
      <c r="M549" s="196"/>
      <c r="N549" s="196"/>
      <c r="O549" s="196"/>
      <c r="P549" s="196"/>
      <c r="Q549" s="198">
        <v>1.68</v>
      </c>
      <c r="R549" s="198">
        <v>1.912</v>
      </c>
      <c r="S549" s="198">
        <v>0.2</v>
      </c>
      <c r="T549" s="199">
        <v>0.06</v>
      </c>
      <c r="U549" s="199">
        <v>0.5</v>
      </c>
      <c r="V549" s="196"/>
      <c r="W549" s="196"/>
      <c r="X549" s="196"/>
      <c r="Y549" s="196"/>
      <c r="Z549" s="196"/>
      <c r="AA549" s="196"/>
      <c r="AB549" s="196"/>
      <c r="AC549" s="196"/>
      <c r="AD549" s="196"/>
      <c r="AE549" s="196"/>
      <c r="AF549" s="196"/>
      <c r="AG549" s="198">
        <v>0.5427</v>
      </c>
      <c r="AH549" s="199">
        <v>0.2</v>
      </c>
      <c r="AI549" s="199">
        <v>-0.15</v>
      </c>
      <c r="AJ549" s="196"/>
      <c r="AK549" s="196"/>
      <c r="AL549" s="196"/>
      <c r="AM549" s="196"/>
      <c r="AN549" s="196"/>
      <c r="AO549" s="196"/>
      <c r="AP549" s="196"/>
      <c r="AQ549" s="196"/>
      <c r="AR549" s="196"/>
      <c r="AS549" s="196"/>
      <c r="AT549" s="196"/>
      <c r="AU549" s="196"/>
      <c r="AV549" s="196"/>
      <c r="AW549" s="196"/>
      <c r="AX549" s="196"/>
      <c r="AY549" s="196"/>
      <c r="AZ549" s="196"/>
      <c r="BA549" s="196"/>
      <c r="BB549" s="196"/>
      <c r="BC549" s="196"/>
      <c r="BD549" s="196"/>
      <c r="BE549" s="196"/>
      <c r="BF549" s="196"/>
    </row>
    <row r="550">
      <c r="A550" s="197"/>
      <c r="B550" s="201" t="s">
        <v>304</v>
      </c>
      <c r="C550" s="201" t="s">
        <v>304</v>
      </c>
      <c r="D550" s="201" t="s">
        <v>304</v>
      </c>
      <c r="E550" s="201" t="s">
        <v>304</v>
      </c>
      <c r="F550" s="201" t="s">
        <v>304</v>
      </c>
      <c r="G550" s="201" t="s">
        <v>304</v>
      </c>
      <c r="H550" s="201" t="s">
        <v>304</v>
      </c>
      <c r="I550" s="201" t="s">
        <v>304</v>
      </c>
      <c r="J550" s="201" t="s">
        <v>304</v>
      </c>
      <c r="K550" s="201" t="s">
        <v>304</v>
      </c>
      <c r="L550" s="196"/>
      <c r="M550" s="196"/>
      <c r="N550" s="196"/>
      <c r="O550" s="196"/>
      <c r="P550" s="196"/>
      <c r="Q550" s="201" t="s">
        <v>304</v>
      </c>
      <c r="R550" s="201" t="s">
        <v>304</v>
      </c>
      <c r="S550" s="201"/>
      <c r="T550" s="195" t="s">
        <v>303</v>
      </c>
      <c r="U550" s="196"/>
      <c r="V550" s="196"/>
      <c r="W550" s="196"/>
      <c r="X550" s="196"/>
      <c r="Y550" s="196"/>
      <c r="Z550" s="196"/>
      <c r="AA550" s="196"/>
      <c r="AB550" s="196"/>
      <c r="AC550" s="196"/>
      <c r="AD550" s="196"/>
      <c r="AE550" s="196"/>
      <c r="AF550" s="196"/>
      <c r="AG550" s="201" t="s">
        <v>304</v>
      </c>
      <c r="AH550" s="196"/>
      <c r="AI550" s="196"/>
      <c r="AJ550" s="196"/>
      <c r="AK550" s="196"/>
      <c r="AL550" s="196"/>
      <c r="AM550" s="196"/>
      <c r="AN550" s="196"/>
      <c r="AO550" s="196"/>
      <c r="AP550" s="196"/>
      <c r="AQ550" s="196"/>
      <c r="AR550" s="196"/>
      <c r="AS550" s="196"/>
      <c r="AT550" s="196"/>
      <c r="AU550" s="196"/>
      <c r="AV550" s="196"/>
      <c r="AW550" s="196"/>
      <c r="AX550" s="196"/>
      <c r="AY550" s="196"/>
      <c r="AZ550" s="196"/>
      <c r="BA550" s="196"/>
      <c r="BB550" s="196"/>
      <c r="BC550" s="196"/>
      <c r="BD550" s="196"/>
      <c r="BE550" s="196"/>
      <c r="BF550" s="196"/>
    </row>
    <row r="551">
      <c r="A551" s="197"/>
      <c r="B551" s="201" t="s">
        <v>147</v>
      </c>
      <c r="C551" s="201" t="s">
        <v>147</v>
      </c>
      <c r="D551" s="201" t="s">
        <v>147</v>
      </c>
      <c r="E551" s="201" t="s">
        <v>147</v>
      </c>
      <c r="F551" s="201" t="s">
        <v>147</v>
      </c>
      <c r="G551" s="201" t="s">
        <v>152</v>
      </c>
      <c r="H551" s="201" t="s">
        <v>152</v>
      </c>
      <c r="I551" s="201" t="s">
        <v>157</v>
      </c>
      <c r="J551" s="201" t="s">
        <v>157</v>
      </c>
      <c r="K551" s="201" t="s">
        <v>157</v>
      </c>
      <c r="L551" s="196"/>
      <c r="M551" s="196"/>
      <c r="N551" s="196"/>
      <c r="O551" s="196"/>
      <c r="P551" s="196"/>
      <c r="Q551" s="201" t="s">
        <v>160</v>
      </c>
      <c r="R551" s="201" t="s">
        <v>160</v>
      </c>
      <c r="S551" s="198"/>
      <c r="T551" s="196"/>
      <c r="U551" s="196"/>
      <c r="V551" s="196"/>
      <c r="W551" s="196"/>
      <c r="X551" s="196"/>
      <c r="Y551" s="196"/>
      <c r="Z551" s="196"/>
      <c r="AA551" s="196"/>
      <c r="AB551" s="196"/>
      <c r="AC551" s="196"/>
      <c r="AD551" s="196"/>
      <c r="AE551" s="196"/>
      <c r="AF551" s="196"/>
      <c r="AG551" s="201" t="s">
        <v>164</v>
      </c>
      <c r="AH551" s="196"/>
      <c r="AI551" s="196"/>
      <c r="AJ551" s="196"/>
      <c r="AK551" s="196"/>
      <c r="AL551" s="196"/>
      <c r="AM551" s="196"/>
      <c r="AN551" s="196"/>
      <c r="AO551" s="196"/>
      <c r="AP551" s="196"/>
      <c r="AQ551" s="196"/>
      <c r="AR551" s="196"/>
      <c r="AS551" s="196"/>
      <c r="AT551" s="196"/>
      <c r="AU551" s="196"/>
      <c r="AV551" s="196"/>
      <c r="AW551" s="196"/>
      <c r="AX551" s="196"/>
      <c r="AY551" s="196"/>
      <c r="AZ551" s="196"/>
      <c r="BA551" s="196"/>
      <c r="BB551" s="196"/>
      <c r="BC551" s="196"/>
      <c r="BD551" s="196"/>
      <c r="BE551" s="196"/>
      <c r="BF551" s="196"/>
    </row>
    <row r="552">
      <c r="A552" s="194" t="s">
        <v>349</v>
      </c>
      <c r="B552" s="195" t="s">
        <v>176</v>
      </c>
      <c r="C552" s="195" t="s">
        <v>177</v>
      </c>
      <c r="D552" s="195" t="s">
        <v>178</v>
      </c>
      <c r="E552" s="195" t="s">
        <v>179</v>
      </c>
      <c r="F552" s="195" t="s">
        <v>578</v>
      </c>
      <c r="G552" s="195" t="s">
        <v>579</v>
      </c>
      <c r="H552" s="195" t="s">
        <v>181</v>
      </c>
      <c r="I552" s="195" t="s">
        <v>182</v>
      </c>
      <c r="J552" s="195" t="s">
        <v>183</v>
      </c>
      <c r="K552" s="196"/>
      <c r="L552" s="196"/>
      <c r="M552" s="196"/>
      <c r="N552" s="196"/>
      <c r="O552" s="196"/>
      <c r="P552" s="196"/>
      <c r="Q552" s="195" t="s">
        <v>759</v>
      </c>
      <c r="R552" s="194" t="s">
        <v>760</v>
      </c>
      <c r="S552" s="194" t="s">
        <v>761</v>
      </c>
      <c r="T552" s="194" t="s">
        <v>762</v>
      </c>
      <c r="U552" s="194" t="s">
        <v>763</v>
      </c>
      <c r="V552" s="194" t="s">
        <v>764</v>
      </c>
      <c r="W552" s="194" t="s">
        <v>765</v>
      </c>
      <c r="X552" s="195" t="s">
        <v>766</v>
      </c>
      <c r="Y552" s="195" t="s">
        <v>192</v>
      </c>
      <c r="Z552" s="195" t="s">
        <v>293</v>
      </c>
      <c r="AA552" s="196"/>
      <c r="AB552" s="196"/>
      <c r="AC552" s="196"/>
      <c r="AD552" s="196"/>
      <c r="AE552" s="196"/>
      <c r="AF552" s="196"/>
      <c r="AG552" s="195" t="s">
        <v>294</v>
      </c>
      <c r="AH552" s="195" t="s">
        <v>767</v>
      </c>
      <c r="AI552" s="195" t="s">
        <v>189</v>
      </c>
      <c r="AJ552" s="195" t="s">
        <v>253</v>
      </c>
      <c r="AK552" s="196"/>
      <c r="AL552" s="196"/>
      <c r="AM552" s="196"/>
      <c r="AN552" s="196"/>
      <c r="AO552" s="196"/>
      <c r="AP552" s="196"/>
      <c r="AQ552" s="196"/>
      <c r="AR552" s="196"/>
      <c r="AS552" s="196"/>
      <c r="AT552" s="196"/>
      <c r="AU552" s="196"/>
      <c r="AV552" s="196"/>
      <c r="AW552" s="196"/>
      <c r="AX552" s="196"/>
      <c r="AY552" s="196"/>
      <c r="AZ552" s="196"/>
      <c r="BA552" s="196"/>
      <c r="BB552" s="196"/>
      <c r="BC552" s="196"/>
      <c r="BD552" s="196"/>
      <c r="BE552" s="196"/>
      <c r="BF552" s="196"/>
    </row>
    <row r="553">
      <c r="A553" s="197"/>
      <c r="B553" s="195" t="s">
        <v>529</v>
      </c>
      <c r="C553" s="195" t="s">
        <v>529</v>
      </c>
      <c r="D553" s="195" t="s">
        <v>529</v>
      </c>
      <c r="E553" s="195" t="s">
        <v>529</v>
      </c>
      <c r="F553" s="195" t="s">
        <v>529</v>
      </c>
      <c r="G553" s="195" t="s">
        <v>529</v>
      </c>
      <c r="H553" s="195" t="s">
        <v>529</v>
      </c>
      <c r="I553" s="195" t="s">
        <v>529</v>
      </c>
      <c r="J553" s="195" t="s">
        <v>529</v>
      </c>
      <c r="K553" s="196"/>
      <c r="L553" s="196"/>
      <c r="M553" s="196"/>
      <c r="N553" s="196"/>
      <c r="O553" s="196"/>
      <c r="P553" s="196"/>
      <c r="Q553" s="195" t="s">
        <v>530</v>
      </c>
      <c r="R553" s="195" t="s">
        <v>530</v>
      </c>
      <c r="S553" s="195" t="s">
        <v>577</v>
      </c>
      <c r="T553" s="195" t="s">
        <v>530</v>
      </c>
      <c r="U553" s="195" t="s">
        <v>577</v>
      </c>
      <c r="V553" s="195" t="s">
        <v>530</v>
      </c>
      <c r="W553" s="195" t="s">
        <v>577</v>
      </c>
      <c r="X553" s="195" t="s">
        <v>530</v>
      </c>
      <c r="Y553" s="195" t="s">
        <v>531</v>
      </c>
      <c r="Z553" s="195" t="s">
        <v>531</v>
      </c>
      <c r="AA553" s="196"/>
      <c r="AB553" s="196"/>
      <c r="AC553" s="196"/>
      <c r="AD553" s="196"/>
      <c r="AE553" s="196"/>
      <c r="AF553" s="196"/>
      <c r="AG553" s="195" t="s">
        <v>530</v>
      </c>
      <c r="AH553" s="195" t="s">
        <v>530</v>
      </c>
      <c r="AI553" s="195" t="s">
        <v>531</v>
      </c>
      <c r="AJ553" s="195" t="s">
        <v>531</v>
      </c>
      <c r="AK553" s="196"/>
      <c r="AL553" s="196"/>
      <c r="AM553" s="196"/>
      <c r="AN553" s="196"/>
      <c r="AO553" s="196"/>
      <c r="AP553" s="196"/>
      <c r="AQ553" s="196"/>
      <c r="AR553" s="196"/>
      <c r="AS553" s="196"/>
      <c r="AT553" s="196"/>
      <c r="AU553" s="196"/>
      <c r="AV553" s="196"/>
      <c r="AW553" s="196"/>
      <c r="AX553" s="196"/>
      <c r="AY553" s="196"/>
      <c r="AZ553" s="196"/>
      <c r="BA553" s="196"/>
      <c r="BB553" s="196"/>
      <c r="BC553" s="196"/>
      <c r="BD553" s="196"/>
      <c r="BE553" s="196"/>
      <c r="BF553" s="196"/>
    </row>
    <row r="554">
      <c r="A554" s="197"/>
      <c r="B554" s="198">
        <v>0.7654</v>
      </c>
      <c r="C554" s="198">
        <v>0.7396</v>
      </c>
      <c r="D554" s="198">
        <v>0.9546</v>
      </c>
      <c r="E554" s="198">
        <v>1.1584</v>
      </c>
      <c r="F554" s="198">
        <v>0.6255</v>
      </c>
      <c r="G554" s="198">
        <v>1.1309</v>
      </c>
      <c r="H554" s="198">
        <v>0.7459</v>
      </c>
      <c r="I554" s="198">
        <v>1.4918</v>
      </c>
      <c r="J554" s="198">
        <v>1.8648</v>
      </c>
      <c r="K554" s="196"/>
      <c r="L554" s="196"/>
      <c r="M554" s="196"/>
      <c r="N554" s="196"/>
      <c r="O554" s="196"/>
      <c r="P554" s="196"/>
      <c r="Q554" s="198">
        <v>1.696</v>
      </c>
      <c r="R554" s="198">
        <v>1.0404</v>
      </c>
      <c r="S554" s="201">
        <v>501.0</v>
      </c>
      <c r="T554" s="198">
        <v>1.224</v>
      </c>
      <c r="U554" s="201">
        <v>589.0</v>
      </c>
      <c r="V554" s="198">
        <v>1.44</v>
      </c>
      <c r="W554" s="201">
        <v>693.0</v>
      </c>
      <c r="X554" s="198">
        <v>0.336</v>
      </c>
      <c r="Y554" s="199">
        <v>0.15</v>
      </c>
      <c r="Z554" s="199">
        <v>-0.15</v>
      </c>
      <c r="AA554" s="196"/>
      <c r="AB554" s="196"/>
      <c r="AC554" s="196"/>
      <c r="AD554" s="196"/>
      <c r="AE554" s="196"/>
      <c r="AF554" s="196"/>
      <c r="AG554" s="198">
        <v>3.408</v>
      </c>
      <c r="AH554" s="198">
        <v>0.4</v>
      </c>
      <c r="AI554" s="199">
        <v>1.0</v>
      </c>
      <c r="AJ554" s="199">
        <v>0.5</v>
      </c>
      <c r="AK554" s="196"/>
      <c r="AL554" s="196"/>
      <c r="AM554" s="196"/>
      <c r="AN554" s="196"/>
      <c r="AO554" s="196"/>
      <c r="AP554" s="196"/>
      <c r="AQ554" s="196"/>
      <c r="AR554" s="196"/>
      <c r="AS554" s="196"/>
      <c r="AT554" s="196"/>
      <c r="AU554" s="196"/>
      <c r="AV554" s="196"/>
      <c r="AW554" s="196"/>
      <c r="AX554" s="196"/>
      <c r="AY554" s="196"/>
      <c r="AZ554" s="196"/>
      <c r="BA554" s="196"/>
      <c r="BB554" s="196"/>
      <c r="BC554" s="196"/>
      <c r="BD554" s="196"/>
      <c r="BE554" s="196"/>
      <c r="BF554" s="196"/>
    </row>
    <row r="555">
      <c r="A555" s="197"/>
      <c r="B555" s="201" t="s">
        <v>304</v>
      </c>
      <c r="C555" s="201" t="s">
        <v>304</v>
      </c>
      <c r="D555" s="201" t="s">
        <v>304</v>
      </c>
      <c r="E555" s="201" t="s">
        <v>304</v>
      </c>
      <c r="F555" s="201" t="s">
        <v>304</v>
      </c>
      <c r="G555" s="201" t="s">
        <v>304</v>
      </c>
      <c r="H555" s="201" t="s">
        <v>304</v>
      </c>
      <c r="I555" s="201" t="s">
        <v>304</v>
      </c>
      <c r="J555" s="201" t="s">
        <v>304</v>
      </c>
      <c r="K555" s="196"/>
      <c r="L555" s="196"/>
      <c r="M555" s="196"/>
      <c r="N555" s="196"/>
      <c r="O555" s="196"/>
      <c r="P555" s="196"/>
      <c r="Q555" s="201" t="s">
        <v>304</v>
      </c>
      <c r="R555" s="201" t="s">
        <v>305</v>
      </c>
      <c r="S555" s="201" t="s">
        <v>390</v>
      </c>
      <c r="T555" s="201" t="s">
        <v>305</v>
      </c>
      <c r="U555" s="201" t="s">
        <v>390</v>
      </c>
      <c r="V555" s="201" t="s">
        <v>305</v>
      </c>
      <c r="W555" s="201" t="s">
        <v>390</v>
      </c>
      <c r="X555" s="201" t="s">
        <v>304</v>
      </c>
      <c r="Y555" s="196"/>
      <c r="Z555" s="196"/>
      <c r="AA555" s="196"/>
      <c r="AB555" s="196"/>
      <c r="AC555" s="196"/>
      <c r="AD555" s="196"/>
      <c r="AE555" s="196"/>
      <c r="AF555" s="196"/>
      <c r="AG555" s="201" t="s">
        <v>304</v>
      </c>
      <c r="AH555" s="201" t="s">
        <v>304</v>
      </c>
      <c r="AI555" s="196"/>
      <c r="AJ555" s="196"/>
      <c r="AK555" s="196"/>
      <c r="AL555" s="196"/>
      <c r="AM555" s="196"/>
      <c r="AN555" s="196"/>
      <c r="AO555" s="196"/>
      <c r="AP555" s="196"/>
      <c r="AQ555" s="196"/>
      <c r="AR555" s="196"/>
      <c r="AS555" s="196"/>
      <c r="AT555" s="196"/>
      <c r="AU555" s="196"/>
      <c r="AV555" s="196"/>
      <c r="AW555" s="196"/>
      <c r="AX555" s="196"/>
      <c r="AY555" s="196"/>
      <c r="AZ555" s="196"/>
      <c r="BA555" s="196"/>
      <c r="BB555" s="196"/>
      <c r="BC555" s="196"/>
      <c r="BD555" s="196"/>
      <c r="BE555" s="196"/>
      <c r="BF555" s="196"/>
    </row>
    <row r="556">
      <c r="A556" s="197"/>
      <c r="B556" s="201" t="s">
        <v>147</v>
      </c>
      <c r="C556" s="201" t="s">
        <v>147</v>
      </c>
      <c r="D556" s="201" t="s">
        <v>147</v>
      </c>
      <c r="E556" s="201" t="s">
        <v>147</v>
      </c>
      <c r="F556" s="201" t="s">
        <v>152</v>
      </c>
      <c r="G556" s="201" t="s">
        <v>152</v>
      </c>
      <c r="H556" s="201" t="s">
        <v>157</v>
      </c>
      <c r="I556" s="201" t="s">
        <v>157</v>
      </c>
      <c r="J556" s="201" t="s">
        <v>157</v>
      </c>
      <c r="K556" s="196"/>
      <c r="L556" s="196"/>
      <c r="M556" s="196"/>
      <c r="N556" s="196"/>
      <c r="O556" s="196"/>
      <c r="P556" s="196"/>
      <c r="Q556" s="201" t="s">
        <v>160</v>
      </c>
      <c r="R556" s="198"/>
      <c r="S556" s="201"/>
      <c r="T556" s="198"/>
      <c r="U556" s="201"/>
      <c r="V556" s="198"/>
      <c r="W556" s="201"/>
      <c r="X556" s="201" t="s">
        <v>160</v>
      </c>
      <c r="Y556" s="196"/>
      <c r="Z556" s="196"/>
      <c r="AA556" s="196"/>
      <c r="AB556" s="196"/>
      <c r="AC556" s="196"/>
      <c r="AD556" s="196"/>
      <c r="AE556" s="196"/>
      <c r="AF556" s="196"/>
      <c r="AG556" s="201" t="s">
        <v>164</v>
      </c>
      <c r="AH556" s="201" t="s">
        <v>164</v>
      </c>
      <c r="AI556" s="196"/>
      <c r="AJ556" s="196"/>
      <c r="AK556" s="196"/>
      <c r="AL556" s="196"/>
      <c r="AM556" s="196"/>
      <c r="AN556" s="196"/>
      <c r="AO556" s="196"/>
      <c r="AP556" s="196"/>
      <c r="AQ556" s="196"/>
      <c r="AR556" s="196"/>
      <c r="AS556" s="196"/>
      <c r="AT556" s="196"/>
      <c r="AU556" s="196"/>
      <c r="AV556" s="196"/>
      <c r="AW556" s="196"/>
      <c r="AX556" s="196"/>
      <c r="AY556" s="196"/>
      <c r="AZ556" s="196"/>
      <c r="BA556" s="196"/>
      <c r="BB556" s="196"/>
      <c r="BC556" s="196"/>
      <c r="BD556" s="196"/>
      <c r="BE556" s="196"/>
      <c r="BF556" s="196"/>
    </row>
    <row r="557">
      <c r="A557" s="194" t="s">
        <v>350</v>
      </c>
      <c r="B557" s="195" t="s">
        <v>176</v>
      </c>
      <c r="C557" s="195" t="s">
        <v>177</v>
      </c>
      <c r="D557" s="195" t="s">
        <v>178</v>
      </c>
      <c r="E557" s="195" t="s">
        <v>180</v>
      </c>
      <c r="F557" s="201" t="s">
        <v>181</v>
      </c>
      <c r="G557" s="195" t="s">
        <v>182</v>
      </c>
      <c r="H557" s="195" t="s">
        <v>183</v>
      </c>
      <c r="I557" s="201"/>
      <c r="J557" s="201"/>
      <c r="K557" s="196"/>
      <c r="L557" s="196"/>
      <c r="M557" s="196"/>
      <c r="N557" s="196"/>
      <c r="O557" s="196"/>
      <c r="P557" s="196"/>
      <c r="Q557" s="214" t="s">
        <v>768</v>
      </c>
      <c r="R557" s="214" t="s">
        <v>769</v>
      </c>
      <c r="S557" s="214" t="s">
        <v>770</v>
      </c>
      <c r="T557" s="214" t="s">
        <v>771</v>
      </c>
      <c r="U557" s="201" t="s">
        <v>293</v>
      </c>
      <c r="V557" s="201" t="s">
        <v>253</v>
      </c>
      <c r="W557" s="201"/>
      <c r="X557" s="201"/>
      <c r="Y557" s="196"/>
      <c r="Z557" s="196"/>
      <c r="AA557" s="196"/>
      <c r="AB557" s="196"/>
      <c r="AC557" s="196"/>
      <c r="AD557" s="196"/>
      <c r="AE557" s="196"/>
      <c r="AF557" s="196"/>
      <c r="AG557" s="201" t="s">
        <v>294</v>
      </c>
      <c r="AH557" s="201" t="s">
        <v>772</v>
      </c>
      <c r="AI557" s="195" t="s">
        <v>192</v>
      </c>
      <c r="AJ557" s="196"/>
      <c r="AK557" s="196"/>
      <c r="AL557" s="196"/>
      <c r="AM557" s="196"/>
      <c r="AN557" s="196"/>
      <c r="AO557" s="196"/>
      <c r="AP557" s="196"/>
      <c r="AQ557" s="196"/>
      <c r="AR557" s="196"/>
      <c r="AS557" s="196"/>
      <c r="AT557" s="196"/>
      <c r="AU557" s="196"/>
      <c r="AV557" s="196"/>
      <c r="AW557" s="196"/>
      <c r="AX557" s="196"/>
      <c r="AY557" s="196"/>
      <c r="AZ557" s="196"/>
      <c r="BA557" s="196"/>
      <c r="BB557" s="196"/>
      <c r="BC557" s="196"/>
      <c r="BD557" s="196"/>
      <c r="BE557" s="196"/>
      <c r="BF557" s="196"/>
    </row>
    <row r="558">
      <c r="A558" s="197"/>
      <c r="B558" s="201" t="s">
        <v>530</v>
      </c>
      <c r="C558" s="201" t="s">
        <v>530</v>
      </c>
      <c r="D558" s="201" t="s">
        <v>530</v>
      </c>
      <c r="E558" s="201" t="s">
        <v>530</v>
      </c>
      <c r="F558" s="201" t="s">
        <v>529</v>
      </c>
      <c r="G558" s="201" t="s">
        <v>529</v>
      </c>
      <c r="H558" s="201" t="s">
        <v>529</v>
      </c>
      <c r="I558" s="201"/>
      <c r="J558" s="201"/>
      <c r="K558" s="196"/>
      <c r="L558" s="196"/>
      <c r="M558" s="196"/>
      <c r="N558" s="196"/>
      <c r="O558" s="196"/>
      <c r="P558" s="196"/>
      <c r="Q558" s="201" t="s">
        <v>530</v>
      </c>
      <c r="R558" s="201" t="s">
        <v>530</v>
      </c>
      <c r="S558" s="201" t="s">
        <v>530</v>
      </c>
      <c r="T558" s="201" t="s">
        <v>530</v>
      </c>
      <c r="U558" s="201" t="s">
        <v>531</v>
      </c>
      <c r="V558" s="201" t="s">
        <v>531</v>
      </c>
      <c r="W558" s="201"/>
      <c r="X558" s="201"/>
      <c r="Y558" s="196"/>
      <c r="Z558" s="196"/>
      <c r="AA558" s="196"/>
      <c r="AB558" s="196"/>
      <c r="AC558" s="196"/>
      <c r="AD558" s="196"/>
      <c r="AE558" s="196"/>
      <c r="AF558" s="196"/>
      <c r="AG558" s="201" t="s">
        <v>530</v>
      </c>
      <c r="AH558" s="201" t="s">
        <v>530</v>
      </c>
      <c r="AI558" s="195" t="s">
        <v>531</v>
      </c>
      <c r="AJ558" s="196"/>
      <c r="AK558" s="196"/>
      <c r="AL558" s="196"/>
      <c r="AM558" s="196"/>
      <c r="AN558" s="196"/>
      <c r="AO558" s="196"/>
      <c r="AP558" s="196"/>
      <c r="AQ558" s="196"/>
      <c r="AR558" s="196"/>
      <c r="AS558" s="196"/>
      <c r="AT558" s="196"/>
      <c r="AU558" s="196"/>
      <c r="AV558" s="196"/>
      <c r="AW558" s="196"/>
      <c r="AX558" s="196"/>
      <c r="AY558" s="196"/>
      <c r="AZ558" s="196"/>
      <c r="BA558" s="196"/>
      <c r="BB558" s="196"/>
      <c r="BC558" s="196"/>
      <c r="BD558" s="196"/>
      <c r="BE558" s="196"/>
      <c r="BF558" s="196"/>
    </row>
    <row r="559">
      <c r="A559" s="197"/>
      <c r="B559" s="198">
        <v>0.3966</v>
      </c>
      <c r="C559" s="198">
        <v>0.3852</v>
      </c>
      <c r="D559" s="198">
        <v>0.5689</v>
      </c>
      <c r="E559" s="198">
        <v>1.4289</v>
      </c>
      <c r="F559" s="198">
        <v>0.5683</v>
      </c>
      <c r="G559" s="198">
        <v>1.1363</v>
      </c>
      <c r="H559" s="198">
        <v>1.4193</v>
      </c>
      <c r="I559" s="201"/>
      <c r="J559" s="201"/>
      <c r="K559" s="196"/>
      <c r="L559" s="196"/>
      <c r="M559" s="196"/>
      <c r="N559" s="196"/>
      <c r="O559" s="196"/>
      <c r="P559" s="196"/>
      <c r="Q559" s="198">
        <v>0.6067</v>
      </c>
      <c r="R559" s="198">
        <v>0.7584</v>
      </c>
      <c r="S559" s="198">
        <v>0.948</v>
      </c>
      <c r="T559" s="198">
        <v>1.185</v>
      </c>
      <c r="U559" s="209">
        <v>0.2</v>
      </c>
      <c r="V559" s="198">
        <v>-0.6</v>
      </c>
      <c r="W559" s="201"/>
      <c r="X559" s="201"/>
      <c r="Y559" s="196"/>
      <c r="Z559" s="196"/>
      <c r="AA559" s="196"/>
      <c r="AB559" s="196"/>
      <c r="AC559" s="196"/>
      <c r="AD559" s="196"/>
      <c r="AE559" s="196"/>
      <c r="AF559" s="196"/>
      <c r="AG559" s="209">
        <v>2.6</v>
      </c>
      <c r="AH559" s="198">
        <v>3.3382</v>
      </c>
      <c r="AI559" s="200">
        <v>0.0015</v>
      </c>
      <c r="AJ559" s="196"/>
      <c r="AK559" s="196"/>
      <c r="AL559" s="196"/>
      <c r="AM559" s="196"/>
      <c r="AN559" s="196"/>
      <c r="AO559" s="196"/>
      <c r="AP559" s="196"/>
      <c r="AQ559" s="196"/>
      <c r="AR559" s="196"/>
      <c r="AS559" s="196"/>
      <c r="AT559" s="196"/>
      <c r="AU559" s="196"/>
      <c r="AV559" s="196"/>
      <c r="AW559" s="196"/>
      <c r="AX559" s="196"/>
      <c r="AY559" s="196"/>
      <c r="AZ559" s="196"/>
      <c r="BA559" s="196"/>
      <c r="BB559" s="196"/>
      <c r="BC559" s="196"/>
      <c r="BD559" s="196"/>
      <c r="BE559" s="196"/>
      <c r="BF559" s="196"/>
    </row>
    <row r="560">
      <c r="A560" s="197"/>
      <c r="B560" s="201" t="s">
        <v>304</v>
      </c>
      <c r="C560" s="201" t="s">
        <v>304</v>
      </c>
      <c r="D560" s="201" t="s">
        <v>304</v>
      </c>
      <c r="E560" s="201" t="s">
        <v>304</v>
      </c>
      <c r="F560" s="201" t="s">
        <v>304</v>
      </c>
      <c r="G560" s="201" t="s">
        <v>304</v>
      </c>
      <c r="H560" s="201" t="s">
        <v>304</v>
      </c>
      <c r="I560" s="201"/>
      <c r="J560" s="201"/>
      <c r="K560" s="196"/>
      <c r="L560" s="196"/>
      <c r="M560" s="196"/>
      <c r="N560" s="196"/>
      <c r="O560" s="196"/>
      <c r="P560" s="196"/>
      <c r="Q560" s="201" t="s">
        <v>304</v>
      </c>
      <c r="R560" s="201" t="s">
        <v>304</v>
      </c>
      <c r="S560" s="201" t="s">
        <v>304</v>
      </c>
      <c r="T560" s="201" t="s">
        <v>304</v>
      </c>
      <c r="U560" s="201"/>
      <c r="V560" s="198"/>
      <c r="W560" s="201"/>
      <c r="X560" s="201"/>
      <c r="Y560" s="196"/>
      <c r="Z560" s="196"/>
      <c r="AA560" s="196"/>
      <c r="AB560" s="196"/>
      <c r="AC560" s="196"/>
      <c r="AD560" s="196"/>
      <c r="AE560" s="196"/>
      <c r="AF560" s="196"/>
      <c r="AG560" s="201" t="s">
        <v>304</v>
      </c>
      <c r="AH560" s="201" t="s">
        <v>304</v>
      </c>
      <c r="AI560" s="196"/>
      <c r="AJ560" s="196"/>
      <c r="AK560" s="196"/>
      <c r="AL560" s="196"/>
      <c r="AM560" s="196"/>
      <c r="AN560" s="196"/>
      <c r="AO560" s="196"/>
      <c r="AP560" s="196"/>
      <c r="AQ560" s="196"/>
      <c r="AR560" s="196"/>
      <c r="AS560" s="196"/>
      <c r="AT560" s="196"/>
      <c r="AU560" s="196"/>
      <c r="AV560" s="196"/>
      <c r="AW560" s="196"/>
      <c r="AX560" s="196"/>
      <c r="AY560" s="196"/>
      <c r="AZ560" s="196"/>
      <c r="BA560" s="196"/>
      <c r="BB560" s="196"/>
      <c r="BC560" s="196"/>
      <c r="BD560" s="196"/>
      <c r="BE560" s="196"/>
      <c r="BF560" s="196"/>
    </row>
    <row r="561">
      <c r="A561" s="197"/>
      <c r="B561" s="201" t="s">
        <v>147</v>
      </c>
      <c r="C561" s="201" t="s">
        <v>147</v>
      </c>
      <c r="D561" s="201" t="s">
        <v>147</v>
      </c>
      <c r="E561" s="201" t="s">
        <v>152</v>
      </c>
      <c r="F561" s="201" t="s">
        <v>157</v>
      </c>
      <c r="G561" s="201" t="s">
        <v>157</v>
      </c>
      <c r="H561" s="201" t="s">
        <v>157</v>
      </c>
      <c r="I561" s="201"/>
      <c r="J561" s="201"/>
      <c r="K561" s="196"/>
      <c r="L561" s="196"/>
      <c r="M561" s="196"/>
      <c r="N561" s="196"/>
      <c r="O561" s="196"/>
      <c r="P561" s="196"/>
      <c r="Q561" s="201" t="s">
        <v>160</v>
      </c>
      <c r="R561" s="201" t="s">
        <v>160</v>
      </c>
      <c r="S561" s="201" t="s">
        <v>160</v>
      </c>
      <c r="T561" s="201" t="s">
        <v>160</v>
      </c>
      <c r="U561" s="201"/>
      <c r="V561" s="198"/>
      <c r="W561" s="201"/>
      <c r="X561" s="201"/>
      <c r="Y561" s="196"/>
      <c r="Z561" s="196"/>
      <c r="AA561" s="196"/>
      <c r="AB561" s="196"/>
      <c r="AC561" s="196"/>
      <c r="AD561" s="196"/>
      <c r="AE561" s="196"/>
      <c r="AF561" s="196"/>
      <c r="AG561" s="201" t="s">
        <v>164</v>
      </c>
      <c r="AH561" s="201" t="s">
        <v>164</v>
      </c>
      <c r="AI561" s="196"/>
      <c r="AJ561" s="196"/>
      <c r="AK561" s="196"/>
      <c r="AL561" s="196"/>
      <c r="AM561" s="196"/>
      <c r="AN561" s="196"/>
      <c r="AO561" s="196"/>
      <c r="AP561" s="196"/>
      <c r="AQ561" s="196"/>
      <c r="AR561" s="196"/>
      <c r="AS561" s="196"/>
      <c r="AT561" s="196"/>
      <c r="AU561" s="196"/>
      <c r="AV561" s="196"/>
      <c r="AW561" s="196"/>
      <c r="AX561" s="196"/>
      <c r="AY561" s="196"/>
      <c r="AZ561" s="196"/>
      <c r="BA561" s="196"/>
      <c r="BB561" s="196"/>
      <c r="BC561" s="196"/>
      <c r="BD561" s="196"/>
      <c r="BE561" s="196"/>
      <c r="BF561" s="196"/>
    </row>
    <row r="562">
      <c r="A562" s="194" t="s">
        <v>351</v>
      </c>
      <c r="B562" s="195" t="s">
        <v>176</v>
      </c>
      <c r="C562" s="195" t="s">
        <v>177</v>
      </c>
      <c r="D562" s="195" t="s">
        <v>178</v>
      </c>
      <c r="E562" s="195" t="s">
        <v>773</v>
      </c>
      <c r="F562" s="195" t="s">
        <v>774</v>
      </c>
      <c r="G562" s="195" t="s">
        <v>775</v>
      </c>
      <c r="H562" s="195" t="s">
        <v>776</v>
      </c>
      <c r="I562" s="195" t="s">
        <v>777</v>
      </c>
      <c r="J562" s="195" t="s">
        <v>181</v>
      </c>
      <c r="K562" s="195" t="s">
        <v>182</v>
      </c>
      <c r="L562" s="195" t="s">
        <v>183</v>
      </c>
      <c r="M562" s="195" t="s">
        <v>192</v>
      </c>
      <c r="N562" s="195" t="s">
        <v>274</v>
      </c>
      <c r="O562" s="195" t="s">
        <v>189</v>
      </c>
      <c r="P562" s="196"/>
      <c r="Q562" s="195" t="s">
        <v>588</v>
      </c>
      <c r="R562" s="196"/>
      <c r="S562" s="196"/>
      <c r="T562" s="196"/>
      <c r="U562" s="196"/>
      <c r="V562" s="196"/>
      <c r="W562" s="196"/>
      <c r="X562" s="196"/>
      <c r="Y562" s="196"/>
      <c r="Z562" s="196"/>
      <c r="AA562" s="196"/>
      <c r="AB562" s="196"/>
      <c r="AC562" s="196"/>
      <c r="AD562" s="196"/>
      <c r="AE562" s="196"/>
      <c r="AF562" s="196"/>
      <c r="AG562" s="195" t="s">
        <v>542</v>
      </c>
      <c r="AH562" s="194" t="s">
        <v>657</v>
      </c>
      <c r="AI562" s="195" t="s">
        <v>293</v>
      </c>
      <c r="AJ562" s="196"/>
      <c r="AK562" s="196"/>
      <c r="AL562" s="196"/>
      <c r="AM562" s="196"/>
      <c r="AN562" s="196"/>
      <c r="AO562" s="196"/>
      <c r="AP562" s="196"/>
      <c r="AQ562" s="196"/>
      <c r="AR562" s="196"/>
      <c r="AS562" s="196"/>
      <c r="AT562" s="196"/>
      <c r="AU562" s="196"/>
      <c r="AV562" s="196"/>
      <c r="AW562" s="196"/>
      <c r="AX562" s="196"/>
      <c r="AY562" s="196"/>
      <c r="AZ562" s="196"/>
      <c r="BA562" s="196"/>
      <c r="BB562" s="196"/>
      <c r="BC562" s="196"/>
      <c r="BD562" s="196"/>
      <c r="BE562" s="196"/>
      <c r="BF562" s="196"/>
    </row>
    <row r="563">
      <c r="A563" s="197"/>
      <c r="B563" s="195" t="s">
        <v>530</v>
      </c>
      <c r="C563" s="195" t="s">
        <v>530</v>
      </c>
      <c r="D563" s="195" t="s">
        <v>530</v>
      </c>
      <c r="E563" s="195" t="s">
        <v>544</v>
      </c>
      <c r="F563" s="195" t="s">
        <v>544</v>
      </c>
      <c r="G563" s="195" t="s">
        <v>544</v>
      </c>
      <c r="H563" s="195" t="s">
        <v>544</v>
      </c>
      <c r="I563" s="195" t="s">
        <v>544</v>
      </c>
      <c r="J563" s="195" t="s">
        <v>529</v>
      </c>
      <c r="K563" s="195" t="s">
        <v>529</v>
      </c>
      <c r="L563" s="195" t="s">
        <v>529</v>
      </c>
      <c r="M563" s="195" t="s">
        <v>531</v>
      </c>
      <c r="N563" s="195" t="s">
        <v>531</v>
      </c>
      <c r="O563" s="195" t="s">
        <v>531</v>
      </c>
      <c r="P563" s="196"/>
      <c r="Q563" s="195" t="s">
        <v>530</v>
      </c>
      <c r="R563" s="196"/>
      <c r="S563" s="196"/>
      <c r="T563" s="196"/>
      <c r="U563" s="196"/>
      <c r="V563" s="196"/>
      <c r="W563" s="196"/>
      <c r="X563" s="196"/>
      <c r="Y563" s="196"/>
      <c r="Z563" s="196"/>
      <c r="AA563" s="196"/>
      <c r="AB563" s="196"/>
      <c r="AC563" s="196"/>
      <c r="AD563" s="196"/>
      <c r="AE563" s="196"/>
      <c r="AF563" s="196"/>
      <c r="AG563" s="195" t="s">
        <v>530</v>
      </c>
      <c r="AH563" s="195" t="s">
        <v>544</v>
      </c>
      <c r="AI563" s="195" t="s">
        <v>531</v>
      </c>
      <c r="AJ563" s="196"/>
      <c r="AK563" s="196"/>
      <c r="AL563" s="196"/>
      <c r="AM563" s="196"/>
      <c r="AN563" s="196"/>
      <c r="AO563" s="196"/>
      <c r="AP563" s="196"/>
      <c r="AQ563" s="196"/>
      <c r="AR563" s="196"/>
      <c r="AS563" s="196"/>
      <c r="AT563" s="196"/>
      <c r="AU563" s="196"/>
      <c r="AV563" s="196"/>
      <c r="AW563" s="196"/>
      <c r="AX563" s="196"/>
      <c r="AY563" s="196"/>
      <c r="AZ563" s="196"/>
      <c r="BA563" s="196"/>
      <c r="BB563" s="196"/>
      <c r="BC563" s="196"/>
      <c r="BD563" s="196"/>
      <c r="BE563" s="196"/>
      <c r="BF563" s="196"/>
    </row>
    <row r="564">
      <c r="A564" s="197"/>
      <c r="B564" s="198">
        <v>0.5834</v>
      </c>
      <c r="C564" s="198">
        <v>0.5213</v>
      </c>
      <c r="D564" s="198">
        <v>0.7601</v>
      </c>
      <c r="E564" s="198">
        <v>0.9823</v>
      </c>
      <c r="F564" s="198">
        <v>1.1556</v>
      </c>
      <c r="G564" s="198">
        <v>1.329</v>
      </c>
      <c r="H564" s="198">
        <v>1.5023</v>
      </c>
      <c r="I564" s="198">
        <v>1.6757</v>
      </c>
      <c r="J564" s="198">
        <v>0.5683</v>
      </c>
      <c r="K564" s="198">
        <v>1.1366</v>
      </c>
      <c r="L564" s="198">
        <v>1.4208</v>
      </c>
      <c r="M564" s="199">
        <v>0.8</v>
      </c>
      <c r="N564" s="199">
        <v>0.05</v>
      </c>
      <c r="O564" s="199">
        <v>0.2</v>
      </c>
      <c r="P564" s="196"/>
      <c r="Q564" s="198">
        <v>1.696</v>
      </c>
      <c r="R564" s="196"/>
      <c r="S564" s="196"/>
      <c r="T564" s="196"/>
      <c r="U564" s="196"/>
      <c r="V564" s="196"/>
      <c r="W564" s="196"/>
      <c r="X564" s="196"/>
      <c r="Y564" s="196"/>
      <c r="Z564" s="196"/>
      <c r="AA564" s="196"/>
      <c r="AB564" s="196"/>
      <c r="AC564" s="196"/>
      <c r="AD564" s="196"/>
      <c r="AE564" s="196"/>
      <c r="AF564" s="196"/>
      <c r="AG564" s="198">
        <v>1.824</v>
      </c>
      <c r="AH564" s="198">
        <v>0.334</v>
      </c>
      <c r="AI564" s="199">
        <v>0.45</v>
      </c>
      <c r="AJ564" s="196"/>
      <c r="AK564" s="196"/>
      <c r="AL564" s="196"/>
      <c r="AM564" s="196"/>
      <c r="AN564" s="196"/>
      <c r="AO564" s="196"/>
      <c r="AP564" s="196"/>
      <c r="AQ564" s="196"/>
      <c r="AR564" s="196"/>
      <c r="AS564" s="196"/>
      <c r="AT564" s="196"/>
      <c r="AU564" s="196"/>
      <c r="AV564" s="196"/>
      <c r="AW564" s="196"/>
      <c r="AX564" s="196"/>
      <c r="AY564" s="196"/>
      <c r="AZ564" s="196"/>
      <c r="BA564" s="196"/>
      <c r="BB564" s="196"/>
      <c r="BC564" s="196"/>
      <c r="BD564" s="196"/>
      <c r="BE564" s="196"/>
      <c r="BF564" s="196"/>
    </row>
    <row r="565">
      <c r="A565" s="197"/>
      <c r="B565" s="201" t="s">
        <v>304</v>
      </c>
      <c r="C565" s="201" t="s">
        <v>304</v>
      </c>
      <c r="D565" s="201" t="s">
        <v>304</v>
      </c>
      <c r="E565" s="201" t="s">
        <v>304</v>
      </c>
      <c r="F565" s="201" t="s">
        <v>304</v>
      </c>
      <c r="G565" s="201" t="s">
        <v>304</v>
      </c>
      <c r="H565" s="201" t="s">
        <v>304</v>
      </c>
      <c r="I565" s="201" t="s">
        <v>304</v>
      </c>
      <c r="J565" s="201" t="s">
        <v>304</v>
      </c>
      <c r="K565" s="201" t="s">
        <v>304</v>
      </c>
      <c r="L565" s="201" t="s">
        <v>304</v>
      </c>
      <c r="M565" s="195" t="s">
        <v>304</v>
      </c>
      <c r="N565" s="196"/>
      <c r="O565" s="196"/>
      <c r="P565" s="196"/>
      <c r="Q565" s="201" t="s">
        <v>304</v>
      </c>
      <c r="R565" s="196"/>
      <c r="S565" s="196"/>
      <c r="T565" s="196"/>
      <c r="U565" s="196"/>
      <c r="V565" s="196"/>
      <c r="W565" s="196"/>
      <c r="X565" s="196"/>
      <c r="Y565" s="196"/>
      <c r="Z565" s="196"/>
      <c r="AA565" s="196"/>
      <c r="AB565" s="196"/>
      <c r="AC565" s="196"/>
      <c r="AD565" s="196"/>
      <c r="AE565" s="196"/>
      <c r="AF565" s="196"/>
      <c r="AG565" s="201" t="s">
        <v>304</v>
      </c>
      <c r="AH565" s="201" t="s">
        <v>390</v>
      </c>
      <c r="AI565" s="195" t="s">
        <v>303</v>
      </c>
      <c r="AJ565" s="196"/>
      <c r="AK565" s="196"/>
      <c r="AL565" s="196"/>
      <c r="AM565" s="196"/>
      <c r="AN565" s="196"/>
      <c r="AO565" s="196"/>
      <c r="AP565" s="196"/>
      <c r="AQ565" s="196"/>
      <c r="AR565" s="196"/>
      <c r="AS565" s="196"/>
      <c r="AT565" s="196"/>
      <c r="AU565" s="196"/>
      <c r="AV565" s="196"/>
      <c r="AW565" s="196"/>
      <c r="AX565" s="196"/>
      <c r="AY565" s="196"/>
      <c r="AZ565" s="196"/>
      <c r="BA565" s="196"/>
      <c r="BB565" s="196"/>
      <c r="BC565" s="196"/>
      <c r="BD565" s="196"/>
      <c r="BE565" s="196"/>
      <c r="BF565" s="196"/>
    </row>
    <row r="566">
      <c r="A566" s="197"/>
      <c r="B566" s="201" t="s">
        <v>147</v>
      </c>
      <c r="C566" s="201" t="s">
        <v>147</v>
      </c>
      <c r="D566" s="201" t="s">
        <v>147</v>
      </c>
      <c r="E566" s="201" t="s">
        <v>152</v>
      </c>
      <c r="F566" s="201" t="s">
        <v>152</v>
      </c>
      <c r="G566" s="201" t="s">
        <v>152</v>
      </c>
      <c r="H566" s="201" t="s">
        <v>152</v>
      </c>
      <c r="I566" s="201" t="s">
        <v>152</v>
      </c>
      <c r="J566" s="201" t="s">
        <v>157</v>
      </c>
      <c r="K566" s="201" t="s">
        <v>157</v>
      </c>
      <c r="L566" s="201" t="s">
        <v>157</v>
      </c>
      <c r="M566" s="195" t="s">
        <v>152</v>
      </c>
      <c r="N566" s="196"/>
      <c r="O566" s="196"/>
      <c r="P566" s="196"/>
      <c r="Q566" s="201" t="s">
        <v>160</v>
      </c>
      <c r="R566" s="196"/>
      <c r="S566" s="196"/>
      <c r="T566" s="196"/>
      <c r="U566" s="196"/>
      <c r="V566" s="196"/>
      <c r="W566" s="196"/>
      <c r="X566" s="196"/>
      <c r="Y566" s="196"/>
      <c r="Z566" s="196"/>
      <c r="AA566" s="196"/>
      <c r="AB566" s="196"/>
      <c r="AC566" s="196"/>
      <c r="AD566" s="196"/>
      <c r="AE566" s="196"/>
      <c r="AF566" s="196"/>
      <c r="AG566" s="201" t="s">
        <v>164</v>
      </c>
      <c r="AH566" s="198"/>
      <c r="AI566" s="196"/>
      <c r="AJ566" s="196"/>
      <c r="AK566" s="196"/>
      <c r="AL566" s="196"/>
      <c r="AM566" s="196"/>
      <c r="AN566" s="196"/>
      <c r="AO566" s="196"/>
      <c r="AP566" s="196"/>
      <c r="AQ566" s="196"/>
      <c r="AR566" s="196"/>
      <c r="AS566" s="196"/>
      <c r="AT566" s="196"/>
      <c r="AU566" s="196"/>
      <c r="AV566" s="196"/>
      <c r="AW566" s="196"/>
      <c r="AX566" s="196"/>
      <c r="AY566" s="196"/>
      <c r="AZ566" s="196"/>
      <c r="BA566" s="196"/>
      <c r="BB566" s="196"/>
      <c r="BC566" s="196"/>
      <c r="BD566" s="196"/>
      <c r="BE566" s="196"/>
      <c r="BF566" s="196"/>
    </row>
    <row r="567">
      <c r="A567" s="194" t="s">
        <v>352</v>
      </c>
      <c r="B567" s="201" t="s">
        <v>176</v>
      </c>
      <c r="C567" s="201" t="s">
        <v>177</v>
      </c>
      <c r="D567" s="201" t="s">
        <v>178</v>
      </c>
      <c r="E567" s="201" t="s">
        <v>557</v>
      </c>
      <c r="F567" s="201" t="s">
        <v>534</v>
      </c>
      <c r="G567" s="201" t="s">
        <v>535</v>
      </c>
      <c r="H567" s="201" t="s">
        <v>778</v>
      </c>
      <c r="I567" s="201" t="s">
        <v>181</v>
      </c>
      <c r="J567" s="201" t="s">
        <v>182</v>
      </c>
      <c r="K567" s="201" t="s">
        <v>183</v>
      </c>
      <c r="L567" s="201" t="s">
        <v>253</v>
      </c>
      <c r="M567" s="195"/>
      <c r="N567" s="196"/>
      <c r="O567" s="196"/>
      <c r="P567" s="196"/>
      <c r="Q567" s="201" t="s">
        <v>588</v>
      </c>
      <c r="R567" s="195" t="s">
        <v>293</v>
      </c>
      <c r="S567" s="196"/>
      <c r="T567" s="196"/>
      <c r="U567" s="196"/>
      <c r="V567" s="196"/>
      <c r="W567" s="196"/>
      <c r="X567" s="196"/>
      <c r="Y567" s="196"/>
      <c r="Z567" s="196"/>
      <c r="AA567" s="196"/>
      <c r="AB567" s="196"/>
      <c r="AC567" s="196"/>
      <c r="AD567" s="196"/>
      <c r="AE567" s="196"/>
      <c r="AF567" s="196"/>
      <c r="AG567" s="201" t="s">
        <v>542</v>
      </c>
      <c r="AH567" s="201" t="s">
        <v>779</v>
      </c>
      <c r="AI567" s="195" t="s">
        <v>189</v>
      </c>
      <c r="AJ567" s="195" t="s">
        <v>780</v>
      </c>
      <c r="AK567" s="195" t="s">
        <v>781</v>
      </c>
      <c r="AL567" s="195" t="s">
        <v>782</v>
      </c>
      <c r="AM567" s="196"/>
      <c r="AN567" s="196"/>
      <c r="AO567" s="196"/>
      <c r="AP567" s="196"/>
      <c r="AQ567" s="196"/>
      <c r="AR567" s="196"/>
      <c r="AS567" s="196"/>
      <c r="AT567" s="196"/>
      <c r="AU567" s="196"/>
      <c r="AV567" s="196"/>
      <c r="AW567" s="196"/>
      <c r="AX567" s="196"/>
      <c r="AY567" s="196"/>
      <c r="AZ567" s="196"/>
      <c r="BA567" s="196"/>
      <c r="BB567" s="196"/>
      <c r="BC567" s="196"/>
      <c r="BD567" s="196"/>
      <c r="BE567" s="196"/>
      <c r="BF567" s="196"/>
    </row>
    <row r="568">
      <c r="A568" s="197"/>
      <c r="B568" s="201" t="s">
        <v>529</v>
      </c>
      <c r="C568" s="201" t="s">
        <v>529</v>
      </c>
      <c r="D568" s="201" t="s">
        <v>529</v>
      </c>
      <c r="E568" s="201" t="s">
        <v>529</v>
      </c>
      <c r="F568" s="201" t="s">
        <v>529</v>
      </c>
      <c r="G568" s="201" t="s">
        <v>530</v>
      </c>
      <c r="H568" s="201" t="s">
        <v>530</v>
      </c>
      <c r="I568" s="201" t="s">
        <v>529</v>
      </c>
      <c r="J568" s="201" t="s">
        <v>529</v>
      </c>
      <c r="K568" s="201" t="s">
        <v>529</v>
      </c>
      <c r="L568" s="201" t="s">
        <v>531</v>
      </c>
      <c r="M568" s="195"/>
      <c r="N568" s="196"/>
      <c r="O568" s="196"/>
      <c r="P568" s="196"/>
      <c r="Q568" s="201" t="s">
        <v>530</v>
      </c>
      <c r="R568" s="195" t="s">
        <v>531</v>
      </c>
      <c r="S568" s="196"/>
      <c r="T568" s="196"/>
      <c r="U568" s="196"/>
      <c r="V568" s="196"/>
      <c r="W568" s="196"/>
      <c r="X568" s="196"/>
      <c r="Y568" s="196"/>
      <c r="Z568" s="196"/>
      <c r="AA568" s="196"/>
      <c r="AB568" s="196"/>
      <c r="AC568" s="196"/>
      <c r="AD568" s="196"/>
      <c r="AE568" s="196"/>
      <c r="AF568" s="196"/>
      <c r="AG568" s="201" t="s">
        <v>530</v>
      </c>
      <c r="AH568" s="201" t="s">
        <v>530</v>
      </c>
      <c r="AI568" s="195" t="s">
        <v>531</v>
      </c>
      <c r="AJ568" s="199">
        <v>0.06</v>
      </c>
      <c r="AK568" s="199">
        <v>0.01</v>
      </c>
      <c r="AL568" s="200">
        <v>0.035</v>
      </c>
      <c r="AM568" s="196"/>
      <c r="AN568" s="196"/>
      <c r="AO568" s="196"/>
      <c r="AP568" s="196"/>
      <c r="AQ568" s="196"/>
      <c r="AR568" s="196"/>
      <c r="AS568" s="196"/>
      <c r="AT568" s="196"/>
      <c r="AU568" s="196"/>
      <c r="AV568" s="196"/>
      <c r="AW568" s="196"/>
      <c r="AX568" s="196"/>
      <c r="AY568" s="196"/>
      <c r="AZ568" s="196"/>
      <c r="BA568" s="196"/>
      <c r="BB568" s="196"/>
      <c r="BC568" s="196"/>
      <c r="BD568" s="196"/>
      <c r="BE568" s="196"/>
      <c r="BF568" s="196"/>
    </row>
    <row r="569">
      <c r="A569" s="197"/>
      <c r="B569" s="201">
        <v>0.4068</v>
      </c>
      <c r="C569" s="201">
        <v>0.3904</v>
      </c>
      <c r="D569" s="201">
        <v>0.516</v>
      </c>
      <c r="E569" s="201">
        <v>0.2167</v>
      </c>
      <c r="F569" s="201">
        <v>0.4386</v>
      </c>
      <c r="G569" s="201">
        <v>1.24</v>
      </c>
      <c r="H569" s="201">
        <v>0.1158</v>
      </c>
      <c r="I569" s="201">
        <v>0.5683</v>
      </c>
      <c r="J569" s="201">
        <v>1.1363</v>
      </c>
      <c r="K569" s="201">
        <v>1.4193</v>
      </c>
      <c r="L569" s="209">
        <v>1.3</v>
      </c>
      <c r="M569" s="195"/>
      <c r="N569" s="196"/>
      <c r="O569" s="196"/>
      <c r="P569" s="196"/>
      <c r="Q569" s="201">
        <v>0.2261</v>
      </c>
      <c r="R569" s="199">
        <v>0.1</v>
      </c>
      <c r="S569" s="196"/>
      <c r="T569" s="196"/>
      <c r="U569" s="196"/>
      <c r="V569" s="196"/>
      <c r="W569" s="196"/>
      <c r="X569" s="196"/>
      <c r="Y569" s="196"/>
      <c r="Z569" s="196"/>
      <c r="AA569" s="196"/>
      <c r="AB569" s="196"/>
      <c r="AC569" s="196"/>
      <c r="AD569" s="196"/>
      <c r="AE569" s="196"/>
      <c r="AF569" s="196"/>
      <c r="AG569" s="201">
        <v>0.0731</v>
      </c>
      <c r="AH569" s="201">
        <v>0.0487</v>
      </c>
      <c r="AI569" s="195">
        <v>0.14</v>
      </c>
      <c r="AJ569" s="196"/>
      <c r="AK569" s="196"/>
      <c r="AL569" s="196"/>
      <c r="AM569" s="196"/>
      <c r="AN569" s="196"/>
      <c r="AO569" s="196"/>
      <c r="AP569" s="196"/>
      <c r="AQ569" s="196"/>
      <c r="AR569" s="196"/>
      <c r="AS569" s="196"/>
      <c r="AT569" s="196"/>
      <c r="AU569" s="196"/>
      <c r="AV569" s="196"/>
      <c r="AW569" s="196"/>
      <c r="AX569" s="196"/>
      <c r="AY569" s="196"/>
      <c r="AZ569" s="196"/>
      <c r="BA569" s="196"/>
      <c r="BB569" s="196"/>
      <c r="BC569" s="196"/>
      <c r="BD569" s="196"/>
      <c r="BE569" s="196"/>
      <c r="BF569" s="196"/>
    </row>
    <row r="570">
      <c r="A570" s="197"/>
      <c r="B570" s="201" t="s">
        <v>304</v>
      </c>
      <c r="C570" s="201" t="s">
        <v>304</v>
      </c>
      <c r="D570" s="201" t="s">
        <v>304</v>
      </c>
      <c r="E570" s="201" t="s">
        <v>304</v>
      </c>
      <c r="F570" s="201" t="s">
        <v>304</v>
      </c>
      <c r="G570" s="201" t="s">
        <v>304</v>
      </c>
      <c r="H570" s="201" t="s">
        <v>303</v>
      </c>
      <c r="I570" s="201" t="s">
        <v>304</v>
      </c>
      <c r="J570" s="201" t="s">
        <v>304</v>
      </c>
      <c r="K570" s="201" t="s">
        <v>304</v>
      </c>
      <c r="L570" s="201"/>
      <c r="M570" s="195"/>
      <c r="N570" s="196"/>
      <c r="O570" s="196"/>
      <c r="P570" s="196"/>
      <c r="Q570" s="201" t="s">
        <v>303</v>
      </c>
      <c r="R570" s="196"/>
      <c r="S570" s="196"/>
      <c r="T570" s="196"/>
      <c r="U570" s="196"/>
      <c r="V570" s="196"/>
      <c r="W570" s="196"/>
      <c r="X570" s="196"/>
      <c r="Y570" s="196"/>
      <c r="Z570" s="196"/>
      <c r="AA570" s="196"/>
      <c r="AB570" s="196"/>
      <c r="AC570" s="196"/>
      <c r="AD570" s="196"/>
      <c r="AE570" s="196"/>
      <c r="AF570" s="196"/>
      <c r="AG570" s="201" t="s">
        <v>303</v>
      </c>
      <c r="AH570" s="201" t="s">
        <v>303</v>
      </c>
      <c r="AI570" s="195" t="s">
        <v>303</v>
      </c>
      <c r="AJ570" s="196"/>
      <c r="AK570" s="196"/>
      <c r="AL570" s="196"/>
      <c r="AM570" s="196"/>
      <c r="AN570" s="196"/>
      <c r="AO570" s="196"/>
      <c r="AP570" s="196"/>
      <c r="AQ570" s="196"/>
      <c r="AR570" s="196"/>
      <c r="AS570" s="196"/>
      <c r="AT570" s="196"/>
      <c r="AU570" s="196"/>
      <c r="AV570" s="196"/>
      <c r="AW570" s="196"/>
      <c r="AX570" s="196"/>
      <c r="AY570" s="196"/>
      <c r="AZ570" s="196"/>
      <c r="BA570" s="196"/>
      <c r="BB570" s="196"/>
      <c r="BC570" s="196"/>
      <c r="BD570" s="196"/>
      <c r="BE570" s="196"/>
      <c r="BF570" s="196"/>
    </row>
    <row r="571">
      <c r="A571" s="197"/>
      <c r="B571" s="201" t="s">
        <v>147</v>
      </c>
      <c r="C571" s="201" t="s">
        <v>147</v>
      </c>
      <c r="D571" s="201" t="s">
        <v>147</v>
      </c>
      <c r="E571" s="201" t="s">
        <v>147</v>
      </c>
      <c r="F571" s="201" t="s">
        <v>152</v>
      </c>
      <c r="G571" s="201" t="s">
        <v>152</v>
      </c>
      <c r="H571" s="201" t="s">
        <v>152</v>
      </c>
      <c r="I571" s="201" t="s">
        <v>157</v>
      </c>
      <c r="J571" s="201" t="s">
        <v>157</v>
      </c>
      <c r="K571" s="201" t="s">
        <v>157</v>
      </c>
      <c r="L571" s="201"/>
      <c r="M571" s="195"/>
      <c r="N571" s="196"/>
      <c r="O571" s="196"/>
      <c r="P571" s="196"/>
      <c r="Q571" s="201" t="s">
        <v>160</v>
      </c>
      <c r="R571" s="196"/>
      <c r="S571" s="196"/>
      <c r="T571" s="196"/>
      <c r="U571" s="196"/>
      <c r="V571" s="196"/>
      <c r="W571" s="196"/>
      <c r="X571" s="196"/>
      <c r="Y571" s="196"/>
      <c r="Z571" s="196"/>
      <c r="AA571" s="196"/>
      <c r="AB571" s="196"/>
      <c r="AC571" s="196"/>
      <c r="AD571" s="196"/>
      <c r="AE571" s="196"/>
      <c r="AF571" s="196"/>
      <c r="AG571" s="201" t="s">
        <v>164</v>
      </c>
      <c r="AH571" s="201" t="s">
        <v>164</v>
      </c>
      <c r="AI571" s="195" t="s">
        <v>164</v>
      </c>
      <c r="AJ571" s="196"/>
      <c r="AK571" s="196"/>
      <c r="AL571" s="196"/>
      <c r="AM571" s="196"/>
      <c r="AN571" s="196"/>
      <c r="AO571" s="196"/>
      <c r="AP571" s="196"/>
      <c r="AQ571" s="196"/>
      <c r="AR571" s="196"/>
      <c r="AS571" s="196"/>
      <c r="AT571" s="196"/>
      <c r="AU571" s="196"/>
      <c r="AV571" s="196"/>
      <c r="AW571" s="196"/>
      <c r="AX571" s="196"/>
      <c r="AY571" s="196"/>
      <c r="AZ571" s="196"/>
      <c r="BA571" s="196"/>
      <c r="BB571" s="196"/>
      <c r="BC571" s="196"/>
      <c r="BD571" s="196"/>
      <c r="BE571" s="196"/>
      <c r="BF571" s="196"/>
    </row>
    <row r="572">
      <c r="A572" s="194" t="s">
        <v>353</v>
      </c>
      <c r="B572" s="195" t="s">
        <v>751</v>
      </c>
      <c r="C572" s="195" t="s">
        <v>177</v>
      </c>
      <c r="D572" s="195" t="s">
        <v>178</v>
      </c>
      <c r="E572" s="195" t="s">
        <v>561</v>
      </c>
      <c r="F572" s="195" t="s">
        <v>246</v>
      </c>
      <c r="G572" s="195" t="s">
        <v>534</v>
      </c>
      <c r="H572" s="195" t="s">
        <v>535</v>
      </c>
      <c r="I572" s="195" t="s">
        <v>783</v>
      </c>
      <c r="J572" s="195" t="s">
        <v>181</v>
      </c>
      <c r="K572" s="195" t="s">
        <v>182</v>
      </c>
      <c r="L572" s="195" t="s">
        <v>183</v>
      </c>
      <c r="M572" s="195" t="s">
        <v>253</v>
      </c>
      <c r="N572" s="196"/>
      <c r="O572" s="196"/>
      <c r="P572" s="196"/>
      <c r="Q572" s="194" t="s">
        <v>784</v>
      </c>
      <c r="R572" s="195" t="s">
        <v>274</v>
      </c>
      <c r="S572" s="196"/>
      <c r="T572" s="196"/>
      <c r="U572" s="196"/>
      <c r="V572" s="196"/>
      <c r="W572" s="196"/>
      <c r="X572" s="196"/>
      <c r="Y572" s="196"/>
      <c r="Z572" s="196"/>
      <c r="AA572" s="196"/>
      <c r="AB572" s="196"/>
      <c r="AC572" s="196"/>
      <c r="AD572" s="196"/>
      <c r="AE572" s="196"/>
      <c r="AF572" s="196"/>
      <c r="AG572" s="195" t="s">
        <v>294</v>
      </c>
      <c r="AH572" s="194" t="s">
        <v>785</v>
      </c>
      <c r="AI572" s="195" t="s">
        <v>781</v>
      </c>
      <c r="AJ572" s="195" t="s">
        <v>782</v>
      </c>
      <c r="AK572" s="195" t="s">
        <v>248</v>
      </c>
      <c r="AL572" s="195" t="s">
        <v>189</v>
      </c>
      <c r="AM572" s="196"/>
      <c r="AN572" s="196"/>
      <c r="AO572" s="196"/>
      <c r="AP572" s="196"/>
      <c r="AQ572" s="196"/>
      <c r="AR572" s="196"/>
      <c r="AS572" s="196"/>
      <c r="AT572" s="196"/>
      <c r="AU572" s="196"/>
      <c r="AV572" s="196"/>
      <c r="AW572" s="196"/>
      <c r="AX572" s="196"/>
      <c r="AY572" s="196"/>
      <c r="AZ572" s="196"/>
      <c r="BA572" s="196"/>
      <c r="BB572" s="196"/>
      <c r="BC572" s="196"/>
      <c r="BD572" s="196"/>
      <c r="BE572" s="196"/>
      <c r="BF572" s="196"/>
    </row>
    <row r="573">
      <c r="A573" s="197"/>
      <c r="B573" s="195" t="s">
        <v>637</v>
      </c>
      <c r="C573" s="195" t="s">
        <v>637</v>
      </c>
      <c r="D573" s="195" t="s">
        <v>637</v>
      </c>
      <c r="E573" s="195" t="s">
        <v>637</v>
      </c>
      <c r="F573" s="195" t="s">
        <v>637</v>
      </c>
      <c r="G573" s="195" t="s">
        <v>530</v>
      </c>
      <c r="H573" s="195" t="s">
        <v>530</v>
      </c>
      <c r="I573" s="195" t="s">
        <v>530</v>
      </c>
      <c r="J573" s="195" t="s">
        <v>529</v>
      </c>
      <c r="K573" s="195" t="s">
        <v>529</v>
      </c>
      <c r="L573" s="195" t="s">
        <v>529</v>
      </c>
      <c r="M573" s="195" t="s">
        <v>531</v>
      </c>
      <c r="N573" s="196"/>
      <c r="O573" s="196"/>
      <c r="P573" s="196"/>
      <c r="Q573" s="195" t="s">
        <v>786</v>
      </c>
      <c r="R573" s="195" t="s">
        <v>531</v>
      </c>
      <c r="S573" s="196"/>
      <c r="T573" s="196"/>
      <c r="U573" s="196"/>
      <c r="V573" s="196"/>
      <c r="W573" s="196"/>
      <c r="X573" s="196"/>
      <c r="Y573" s="196"/>
      <c r="Z573" s="196"/>
      <c r="AA573" s="196"/>
      <c r="AB573" s="196"/>
      <c r="AC573" s="196"/>
      <c r="AD573" s="196"/>
      <c r="AE573" s="196"/>
      <c r="AF573" s="196"/>
      <c r="AG573" s="195" t="s">
        <v>530</v>
      </c>
      <c r="AH573" s="195" t="s">
        <v>530</v>
      </c>
      <c r="AI573" s="195" t="s">
        <v>531</v>
      </c>
      <c r="AJ573" s="195" t="s">
        <v>531</v>
      </c>
      <c r="AK573" s="195" t="s">
        <v>531</v>
      </c>
      <c r="AL573" s="195" t="s">
        <v>531</v>
      </c>
      <c r="AM573" s="196"/>
      <c r="AN573" s="196"/>
      <c r="AO573" s="196"/>
      <c r="AP573" s="196"/>
      <c r="AQ573" s="196"/>
      <c r="AR573" s="196"/>
      <c r="AS573" s="196"/>
      <c r="AT573" s="196"/>
      <c r="AU573" s="196"/>
      <c r="AV573" s="196"/>
      <c r="AW573" s="196"/>
      <c r="AX573" s="196"/>
      <c r="AY573" s="196"/>
      <c r="AZ573" s="196"/>
      <c r="BA573" s="196"/>
      <c r="BB573" s="196"/>
      <c r="BC573" s="196"/>
      <c r="BD573" s="196"/>
      <c r="BE573" s="196"/>
      <c r="BF573" s="196"/>
    </row>
    <row r="574">
      <c r="A574" s="197"/>
      <c r="B574" s="198">
        <v>0.3564</v>
      </c>
      <c r="C574" s="198">
        <v>0.6838</v>
      </c>
      <c r="D574" s="198">
        <v>0.8889</v>
      </c>
      <c r="E574" s="198">
        <v>0.4642</v>
      </c>
      <c r="F574" s="198">
        <v>1.0586</v>
      </c>
      <c r="G574" s="198">
        <v>0.4386</v>
      </c>
      <c r="H574" s="198">
        <v>1.24</v>
      </c>
      <c r="I574" s="198">
        <v>0.164</v>
      </c>
      <c r="J574" s="198">
        <v>0.5683</v>
      </c>
      <c r="K574" s="198">
        <v>1.1366</v>
      </c>
      <c r="L574" s="198">
        <v>1.4208</v>
      </c>
      <c r="M574" s="199">
        <v>0.6</v>
      </c>
      <c r="N574" s="196"/>
      <c r="O574" s="196"/>
      <c r="P574" s="196"/>
      <c r="Q574" s="198">
        <v>1.3791</v>
      </c>
      <c r="R574" s="199">
        <v>0.02</v>
      </c>
      <c r="S574" s="196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8">
        <v>1.272</v>
      </c>
      <c r="AH574" s="198">
        <v>1.22</v>
      </c>
      <c r="AI574" s="199">
        <v>0.1</v>
      </c>
      <c r="AJ574" s="199">
        <v>0.01</v>
      </c>
      <c r="AK574" s="199">
        <v>0.2</v>
      </c>
      <c r="AL574" s="199">
        <v>0.25</v>
      </c>
      <c r="AM574" s="196"/>
      <c r="AN574" s="196"/>
      <c r="AO574" s="196"/>
      <c r="AP574" s="196"/>
      <c r="AQ574" s="196"/>
      <c r="AR574" s="196"/>
      <c r="AS574" s="196"/>
      <c r="AT574" s="196"/>
      <c r="AU574" s="196"/>
      <c r="AV574" s="196"/>
      <c r="AW574" s="196"/>
      <c r="AX574" s="196"/>
      <c r="AY574" s="196"/>
      <c r="AZ574" s="196"/>
      <c r="BA574" s="196"/>
      <c r="BB574" s="196"/>
      <c r="BC574" s="196"/>
      <c r="BD574" s="196"/>
      <c r="BE574" s="196"/>
      <c r="BF574" s="196"/>
    </row>
    <row r="575">
      <c r="A575" s="197"/>
      <c r="B575" s="201" t="s">
        <v>304</v>
      </c>
      <c r="C575" s="201" t="s">
        <v>304</v>
      </c>
      <c r="D575" s="201" t="s">
        <v>304</v>
      </c>
      <c r="E575" s="201" t="s">
        <v>304</v>
      </c>
      <c r="F575" s="201" t="s">
        <v>304</v>
      </c>
      <c r="G575" s="201" t="s">
        <v>304</v>
      </c>
      <c r="H575" s="201" t="s">
        <v>304</v>
      </c>
      <c r="I575" s="201" t="s">
        <v>304</v>
      </c>
      <c r="J575" s="201" t="s">
        <v>304</v>
      </c>
      <c r="K575" s="201" t="s">
        <v>304</v>
      </c>
      <c r="L575" s="201" t="s">
        <v>304</v>
      </c>
      <c r="M575" s="196"/>
      <c r="N575" s="196"/>
      <c r="O575" s="196"/>
      <c r="P575" s="196"/>
      <c r="Q575" s="201"/>
      <c r="R575" s="196"/>
      <c r="S575" s="196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201" t="s">
        <v>304</v>
      </c>
      <c r="AH575" s="201" t="s">
        <v>304</v>
      </c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196"/>
      <c r="AT575" s="196"/>
      <c r="AU575" s="196"/>
      <c r="AV575" s="196"/>
      <c r="AW575" s="196"/>
      <c r="AX575" s="196"/>
      <c r="AY575" s="196"/>
      <c r="AZ575" s="196"/>
      <c r="BA575" s="196"/>
      <c r="BB575" s="196"/>
      <c r="BC575" s="196"/>
      <c r="BD575" s="196"/>
      <c r="BE575" s="196"/>
      <c r="BF575" s="196"/>
    </row>
    <row r="576">
      <c r="A576" s="197"/>
      <c r="B576" s="201" t="s">
        <v>147</v>
      </c>
      <c r="C576" s="201" t="s">
        <v>147</v>
      </c>
      <c r="D576" s="201" t="s">
        <v>147</v>
      </c>
      <c r="E576" s="201" t="s">
        <v>147</v>
      </c>
      <c r="F576" s="201" t="s">
        <v>147</v>
      </c>
      <c r="G576" s="201" t="s">
        <v>152</v>
      </c>
      <c r="H576" s="201" t="s">
        <v>152</v>
      </c>
      <c r="I576" s="201" t="s">
        <v>152</v>
      </c>
      <c r="J576" s="201" t="s">
        <v>157</v>
      </c>
      <c r="K576" s="201" t="s">
        <v>157</v>
      </c>
      <c r="L576" s="201" t="s">
        <v>157</v>
      </c>
      <c r="M576" s="196"/>
      <c r="N576" s="196"/>
      <c r="O576" s="196"/>
      <c r="P576" s="196"/>
      <c r="Q576" s="198"/>
      <c r="R576" s="196"/>
      <c r="S576" s="196"/>
      <c r="T576" s="196"/>
      <c r="U576" s="196"/>
      <c r="V576" s="196"/>
      <c r="W576" s="196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201" t="s">
        <v>164</v>
      </c>
      <c r="AH576" s="201" t="s">
        <v>164</v>
      </c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196"/>
      <c r="AT576" s="196"/>
      <c r="AU576" s="196"/>
      <c r="AV576" s="196"/>
      <c r="AW576" s="196"/>
      <c r="AX576" s="196"/>
      <c r="AY576" s="196"/>
      <c r="AZ576" s="196"/>
      <c r="BA576" s="196"/>
      <c r="BB576" s="196"/>
      <c r="BC576" s="196"/>
      <c r="BD576" s="196"/>
      <c r="BE576" s="196"/>
      <c r="BF576" s="196"/>
    </row>
    <row r="577">
      <c r="A577" s="194" t="s">
        <v>354</v>
      </c>
      <c r="B577" s="195" t="s">
        <v>176</v>
      </c>
      <c r="C577" s="195" t="s">
        <v>177</v>
      </c>
      <c r="D577" s="195" t="s">
        <v>268</v>
      </c>
      <c r="E577" s="195" t="s">
        <v>269</v>
      </c>
      <c r="F577" s="195" t="s">
        <v>645</v>
      </c>
      <c r="G577" s="195" t="s">
        <v>646</v>
      </c>
      <c r="H577" s="195" t="s">
        <v>246</v>
      </c>
      <c r="I577" s="195" t="s">
        <v>180</v>
      </c>
      <c r="J577" s="195" t="s">
        <v>181</v>
      </c>
      <c r="K577" s="195" t="s">
        <v>182</v>
      </c>
      <c r="L577" s="195" t="s">
        <v>183</v>
      </c>
      <c r="M577" s="196"/>
      <c r="N577" s="196"/>
      <c r="O577" s="196"/>
      <c r="P577" s="196"/>
      <c r="Q577" s="195" t="s">
        <v>580</v>
      </c>
      <c r="R577" s="195" t="s">
        <v>581</v>
      </c>
      <c r="S577" s="195" t="s">
        <v>582</v>
      </c>
      <c r="T577" s="195" t="s">
        <v>787</v>
      </c>
      <c r="U577" s="195" t="s">
        <v>788</v>
      </c>
      <c r="V577" s="196"/>
      <c r="W577" s="196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5" t="s">
        <v>294</v>
      </c>
      <c r="AH577" s="195" t="s">
        <v>789</v>
      </c>
      <c r="AI577" s="195" t="s">
        <v>790</v>
      </c>
      <c r="AJ577" s="195" t="s">
        <v>791</v>
      </c>
      <c r="AK577" s="195" t="s">
        <v>189</v>
      </c>
      <c r="AL577" s="195" t="s">
        <v>293</v>
      </c>
      <c r="AM577" s="196"/>
      <c r="AN577" s="196"/>
      <c r="AO577" s="196"/>
      <c r="AP577" s="196"/>
      <c r="AQ577" s="196"/>
      <c r="AR577" s="196"/>
      <c r="AS577" s="196"/>
      <c r="AT577" s="196"/>
      <c r="AU577" s="196"/>
      <c r="AV577" s="196"/>
      <c r="AW577" s="196"/>
      <c r="AX577" s="196"/>
      <c r="AY577" s="196"/>
      <c r="AZ577" s="196"/>
      <c r="BA577" s="196"/>
      <c r="BB577" s="196"/>
      <c r="BC577" s="196"/>
      <c r="BD577" s="196"/>
      <c r="BE577" s="196"/>
      <c r="BF577" s="196"/>
    </row>
    <row r="578">
      <c r="A578" s="197"/>
      <c r="B578" s="195" t="s">
        <v>529</v>
      </c>
      <c r="C578" s="195" t="s">
        <v>529</v>
      </c>
      <c r="D578" s="195" t="s">
        <v>529</v>
      </c>
      <c r="E578" s="195" t="s">
        <v>529</v>
      </c>
      <c r="F578" s="195" t="s">
        <v>529</v>
      </c>
      <c r="G578" s="195" t="s">
        <v>529</v>
      </c>
      <c r="H578" s="195" t="s">
        <v>529</v>
      </c>
      <c r="I578" s="195" t="s">
        <v>528</v>
      </c>
      <c r="J578" s="195" t="s">
        <v>529</v>
      </c>
      <c r="K578" s="195" t="s">
        <v>529</v>
      </c>
      <c r="L578" s="195" t="s">
        <v>529</v>
      </c>
      <c r="M578" s="196"/>
      <c r="N578" s="196"/>
      <c r="O578" s="196"/>
      <c r="P578" s="196"/>
      <c r="Q578" s="195" t="s">
        <v>530</v>
      </c>
      <c r="R578" s="195" t="s">
        <v>577</v>
      </c>
      <c r="S578" s="195" t="s">
        <v>530</v>
      </c>
      <c r="T578" s="195" t="s">
        <v>530</v>
      </c>
      <c r="U578" s="195" t="s">
        <v>530</v>
      </c>
      <c r="V578" s="196"/>
      <c r="W578" s="196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5" t="s">
        <v>530</v>
      </c>
      <c r="AH578" s="195" t="s">
        <v>530</v>
      </c>
      <c r="AI578" s="195" t="s">
        <v>531</v>
      </c>
      <c r="AJ578" s="195" t="s">
        <v>531</v>
      </c>
      <c r="AK578" s="195" t="s">
        <v>531</v>
      </c>
      <c r="AL578" s="195" t="s">
        <v>531</v>
      </c>
      <c r="AM578" s="196"/>
      <c r="AN578" s="196"/>
      <c r="AO578" s="196"/>
      <c r="AP578" s="196"/>
      <c r="AQ578" s="196"/>
      <c r="AR578" s="196"/>
      <c r="AS578" s="196"/>
      <c r="AT578" s="196"/>
      <c r="AU578" s="196"/>
      <c r="AV578" s="196"/>
      <c r="AW578" s="196"/>
      <c r="AX578" s="196"/>
      <c r="AY578" s="196"/>
      <c r="AZ578" s="196"/>
      <c r="BA578" s="196"/>
      <c r="BB578" s="196"/>
      <c r="BC578" s="196"/>
      <c r="BD578" s="196"/>
      <c r="BE578" s="196"/>
      <c r="BF578" s="196"/>
    </row>
    <row r="579">
      <c r="A579" s="197"/>
      <c r="B579" s="198">
        <v>0.4051</v>
      </c>
      <c r="C579" s="198">
        <v>0.4025</v>
      </c>
      <c r="D579" s="198">
        <v>0.2296</v>
      </c>
      <c r="E579" s="198">
        <v>0.2752</v>
      </c>
      <c r="F579" s="198">
        <v>0.2399</v>
      </c>
      <c r="G579" s="198">
        <v>0.2881</v>
      </c>
      <c r="H579" s="198">
        <v>0.6734</v>
      </c>
      <c r="I579" s="198">
        <v>1.2169</v>
      </c>
      <c r="J579" s="198">
        <v>0.6393</v>
      </c>
      <c r="K579" s="198">
        <v>1.2784</v>
      </c>
      <c r="L579" s="198">
        <v>1.5968</v>
      </c>
      <c r="M579" s="196"/>
      <c r="N579" s="196"/>
      <c r="O579" s="196"/>
      <c r="P579" s="196"/>
      <c r="Q579" s="198">
        <v>0.12</v>
      </c>
      <c r="R579" s="210">
        <v>1155.0</v>
      </c>
      <c r="S579" s="198">
        <v>1.4912</v>
      </c>
      <c r="T579" s="198">
        <v>2.6096</v>
      </c>
      <c r="U579" s="198">
        <v>3.728</v>
      </c>
      <c r="V579" s="196"/>
      <c r="W579" s="196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8">
        <v>2.44</v>
      </c>
      <c r="AH579" s="198">
        <v>0.3216</v>
      </c>
      <c r="AI579" s="200">
        <v>0.025</v>
      </c>
      <c r="AJ579" s="200">
        <v>0.015</v>
      </c>
      <c r="AK579" s="199">
        <v>0.15</v>
      </c>
      <c r="AL579" s="199">
        <v>0.2</v>
      </c>
      <c r="AM579" s="196"/>
      <c r="AN579" s="196"/>
      <c r="AO579" s="196"/>
      <c r="AP579" s="196"/>
      <c r="AQ579" s="196"/>
      <c r="AR579" s="196"/>
      <c r="AS579" s="196"/>
      <c r="AT579" s="196"/>
      <c r="AU579" s="196"/>
      <c r="AV579" s="196"/>
      <c r="AW579" s="196"/>
      <c r="AX579" s="196"/>
      <c r="AY579" s="196"/>
      <c r="AZ579" s="196"/>
      <c r="BA579" s="196"/>
      <c r="BB579" s="196"/>
      <c r="BC579" s="196"/>
      <c r="BD579" s="196"/>
      <c r="BE579" s="196"/>
      <c r="BF579" s="196"/>
    </row>
    <row r="580">
      <c r="A580" s="197"/>
      <c r="B580" s="201" t="s">
        <v>304</v>
      </c>
      <c r="C580" s="201" t="s">
        <v>304</v>
      </c>
      <c r="D580" s="201" t="s">
        <v>304</v>
      </c>
      <c r="E580" s="201" t="s">
        <v>304</v>
      </c>
      <c r="F580" s="201" t="s">
        <v>304</v>
      </c>
      <c r="G580" s="201" t="s">
        <v>304</v>
      </c>
      <c r="H580" s="201" t="s">
        <v>304</v>
      </c>
      <c r="I580" s="201" t="s">
        <v>304</v>
      </c>
      <c r="J580" s="201" t="s">
        <v>304</v>
      </c>
      <c r="K580" s="201" t="s">
        <v>304</v>
      </c>
      <c r="L580" s="201" t="s">
        <v>304</v>
      </c>
      <c r="M580" s="196"/>
      <c r="N580" s="196"/>
      <c r="O580" s="196"/>
      <c r="P580" s="196"/>
      <c r="Q580" s="201" t="s">
        <v>303</v>
      </c>
      <c r="R580" s="195" t="s">
        <v>390</v>
      </c>
      <c r="S580" s="195" t="s">
        <v>305</v>
      </c>
      <c r="T580" s="195" t="s">
        <v>305</v>
      </c>
      <c r="U580" s="195" t="s">
        <v>305</v>
      </c>
      <c r="V580" s="196"/>
      <c r="W580" s="196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201" t="s">
        <v>304</v>
      </c>
      <c r="AH580" s="201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196"/>
      <c r="AT580" s="196"/>
      <c r="AU580" s="196"/>
      <c r="AV580" s="196"/>
      <c r="AW580" s="196"/>
      <c r="AX580" s="196"/>
      <c r="AY580" s="196"/>
      <c r="AZ580" s="196"/>
      <c r="BA580" s="196"/>
      <c r="BB580" s="196"/>
      <c r="BC580" s="196"/>
      <c r="BD580" s="196"/>
      <c r="BE580" s="196"/>
      <c r="BF580" s="196"/>
    </row>
    <row r="581">
      <c r="A581" s="197"/>
      <c r="B581" s="201" t="s">
        <v>147</v>
      </c>
      <c r="C581" s="201" t="s">
        <v>147</v>
      </c>
      <c r="D581" s="201" t="s">
        <v>147</v>
      </c>
      <c r="E581" s="201" t="s">
        <v>147</v>
      </c>
      <c r="F581" s="201" t="s">
        <v>147</v>
      </c>
      <c r="G581" s="201" t="s">
        <v>147</v>
      </c>
      <c r="H581" s="201" t="s">
        <v>147</v>
      </c>
      <c r="I581" s="201" t="s">
        <v>152</v>
      </c>
      <c r="J581" s="201" t="s">
        <v>157</v>
      </c>
      <c r="K581" s="201" t="s">
        <v>157</v>
      </c>
      <c r="L581" s="201" t="s">
        <v>157</v>
      </c>
      <c r="M581" s="196"/>
      <c r="N581" s="196"/>
      <c r="O581" s="196"/>
      <c r="P581" s="196"/>
      <c r="Q581" s="198"/>
      <c r="R581" s="196"/>
      <c r="S581" s="195" t="s">
        <v>160</v>
      </c>
      <c r="T581" s="195" t="s">
        <v>160</v>
      </c>
      <c r="U581" s="195" t="s">
        <v>160</v>
      </c>
      <c r="V581" s="196"/>
      <c r="W581" s="196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201" t="s">
        <v>164</v>
      </c>
      <c r="AH581" s="201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196"/>
      <c r="AT581" s="196"/>
      <c r="AU581" s="196"/>
      <c r="AV581" s="196"/>
      <c r="AW581" s="196"/>
      <c r="AX581" s="196"/>
      <c r="AY581" s="196"/>
      <c r="AZ581" s="196"/>
      <c r="BA581" s="196"/>
      <c r="BB581" s="196"/>
      <c r="BC581" s="196"/>
      <c r="BD581" s="196"/>
      <c r="BE581" s="196"/>
      <c r="BF581" s="196"/>
    </row>
    <row r="582">
      <c r="A582" s="194" t="s">
        <v>355</v>
      </c>
      <c r="B582" s="195" t="s">
        <v>176</v>
      </c>
      <c r="C582" s="195" t="s">
        <v>177</v>
      </c>
      <c r="D582" s="195" t="s">
        <v>178</v>
      </c>
      <c r="E582" s="195" t="s">
        <v>179</v>
      </c>
      <c r="F582" s="194" t="s">
        <v>792</v>
      </c>
      <c r="G582" s="194" t="s">
        <v>616</v>
      </c>
      <c r="H582" s="195" t="s">
        <v>180</v>
      </c>
      <c r="I582" s="195" t="s">
        <v>181</v>
      </c>
      <c r="J582" s="195" t="s">
        <v>182</v>
      </c>
      <c r="K582" s="195" t="s">
        <v>183</v>
      </c>
      <c r="L582" s="195" t="s">
        <v>793</v>
      </c>
      <c r="M582" s="195" t="s">
        <v>794</v>
      </c>
      <c r="N582" s="195" t="s">
        <v>795</v>
      </c>
      <c r="O582" s="196"/>
      <c r="P582" s="196"/>
      <c r="Q582" s="195" t="s">
        <v>796</v>
      </c>
      <c r="R582" s="195" t="s">
        <v>797</v>
      </c>
      <c r="S582" s="195" t="s">
        <v>605</v>
      </c>
      <c r="T582" s="195" t="s">
        <v>798</v>
      </c>
      <c r="U582" s="195" t="s">
        <v>799</v>
      </c>
      <c r="V582" s="195" t="s">
        <v>624</v>
      </c>
      <c r="W582" s="195" t="s">
        <v>800</v>
      </c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5" t="s">
        <v>294</v>
      </c>
      <c r="AH582" s="195" t="s">
        <v>626</v>
      </c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196"/>
      <c r="AT582" s="196"/>
      <c r="AU582" s="196"/>
      <c r="AV582" s="196"/>
      <c r="AW582" s="196"/>
      <c r="AX582" s="196"/>
      <c r="AY582" s="196"/>
      <c r="AZ582" s="196"/>
      <c r="BA582" s="196"/>
      <c r="BB582" s="196"/>
      <c r="BC582" s="196"/>
      <c r="BD582" s="196"/>
      <c r="BE582" s="196"/>
      <c r="BF582" s="196"/>
    </row>
    <row r="583">
      <c r="A583" s="197"/>
      <c r="B583" s="195" t="s">
        <v>528</v>
      </c>
      <c r="C583" s="195" t="s">
        <v>528</v>
      </c>
      <c r="D583" s="195" t="s">
        <v>528</v>
      </c>
      <c r="E583" s="195" t="s">
        <v>528</v>
      </c>
      <c r="F583" s="195" t="s">
        <v>528</v>
      </c>
      <c r="G583" s="195" t="s">
        <v>528</v>
      </c>
      <c r="H583" s="195" t="s">
        <v>528</v>
      </c>
      <c r="I583" s="195" t="s">
        <v>529</v>
      </c>
      <c r="J583" s="195" t="s">
        <v>529</v>
      </c>
      <c r="K583" s="195" t="s">
        <v>529</v>
      </c>
      <c r="L583" s="195" t="s">
        <v>531</v>
      </c>
      <c r="M583" s="195" t="s">
        <v>531</v>
      </c>
      <c r="N583" s="195" t="s">
        <v>589</v>
      </c>
      <c r="O583" s="196"/>
      <c r="P583" s="196"/>
      <c r="Q583" s="195" t="s">
        <v>530</v>
      </c>
      <c r="R583" s="195" t="s">
        <v>530</v>
      </c>
      <c r="S583" s="195" t="s">
        <v>530</v>
      </c>
      <c r="T583" s="195" t="s">
        <v>577</v>
      </c>
      <c r="U583" s="195" t="s">
        <v>530</v>
      </c>
      <c r="V583" s="195" t="s">
        <v>531</v>
      </c>
      <c r="W583" s="195" t="s">
        <v>531</v>
      </c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5" t="s">
        <v>801</v>
      </c>
      <c r="AH583" s="195" t="s">
        <v>531</v>
      </c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196"/>
      <c r="AT583" s="196"/>
      <c r="AU583" s="196"/>
      <c r="AV583" s="196"/>
      <c r="AW583" s="196"/>
      <c r="AX583" s="196"/>
      <c r="AY583" s="196"/>
      <c r="AZ583" s="196"/>
      <c r="BA583" s="196"/>
      <c r="BB583" s="196"/>
      <c r="BC583" s="196"/>
      <c r="BD583" s="196"/>
      <c r="BE583" s="196"/>
      <c r="BF583" s="196"/>
    </row>
    <row r="584">
      <c r="A584" s="197"/>
      <c r="B584" s="198">
        <v>0.3077</v>
      </c>
      <c r="C584" s="198">
        <v>0.3115</v>
      </c>
      <c r="D584" s="198">
        <v>0.3858</v>
      </c>
      <c r="E584" s="198">
        <v>0.4294</v>
      </c>
      <c r="F584" s="198">
        <v>0.1075</v>
      </c>
      <c r="G584" s="198">
        <v>0.545</v>
      </c>
      <c r="H584" s="198">
        <v>1.1103</v>
      </c>
      <c r="I584" s="198">
        <v>0.6393</v>
      </c>
      <c r="J584" s="198">
        <v>1.2786</v>
      </c>
      <c r="K584" s="198">
        <v>1.5983</v>
      </c>
      <c r="L584" s="200">
        <v>0.0139</v>
      </c>
      <c r="M584" s="200">
        <v>0.0139</v>
      </c>
      <c r="N584" s="200">
        <v>0.0139</v>
      </c>
      <c r="O584" s="196"/>
      <c r="P584" s="196"/>
      <c r="Q584" s="198">
        <v>0.16</v>
      </c>
      <c r="R584" s="198">
        <v>0.32</v>
      </c>
      <c r="S584" s="198">
        <v>0.8</v>
      </c>
      <c r="T584" s="201">
        <v>1232.0</v>
      </c>
      <c r="U584" s="198">
        <v>0.128</v>
      </c>
      <c r="V584" s="200">
        <v>0.019</v>
      </c>
      <c r="W584" s="199">
        <v>-0.2</v>
      </c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8">
        <v>4.0108</v>
      </c>
      <c r="AH584" s="199">
        <v>0.33</v>
      </c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196"/>
      <c r="AT584" s="196"/>
      <c r="AU584" s="196"/>
      <c r="AV584" s="196"/>
      <c r="AW584" s="196"/>
      <c r="AX584" s="196"/>
      <c r="AY584" s="196"/>
      <c r="AZ584" s="196"/>
      <c r="BA584" s="196"/>
      <c r="BB584" s="196"/>
      <c r="BC584" s="196"/>
      <c r="BD584" s="196"/>
      <c r="BE584" s="196"/>
      <c r="BF584" s="196"/>
    </row>
    <row r="585">
      <c r="A585" s="197"/>
      <c r="B585" s="201" t="s">
        <v>304</v>
      </c>
      <c r="C585" s="201" t="s">
        <v>304</v>
      </c>
      <c r="D585" s="201" t="s">
        <v>304</v>
      </c>
      <c r="E585" s="201" t="s">
        <v>304</v>
      </c>
      <c r="F585" s="201" t="s">
        <v>304</v>
      </c>
      <c r="G585" s="201" t="s">
        <v>304</v>
      </c>
      <c r="H585" s="201" t="s">
        <v>304</v>
      </c>
      <c r="I585" s="201" t="s">
        <v>304</v>
      </c>
      <c r="J585" s="201" t="s">
        <v>304</v>
      </c>
      <c r="K585" s="201" t="s">
        <v>304</v>
      </c>
      <c r="L585" s="195" t="s">
        <v>303</v>
      </c>
      <c r="M585" s="195" t="s">
        <v>303</v>
      </c>
      <c r="N585" s="195" t="s">
        <v>303</v>
      </c>
      <c r="O585" s="196"/>
      <c r="P585" s="196"/>
      <c r="Q585" s="201" t="s">
        <v>304</v>
      </c>
      <c r="R585" s="201" t="s">
        <v>304</v>
      </c>
      <c r="S585" s="201" t="s">
        <v>304</v>
      </c>
      <c r="T585" s="201" t="s">
        <v>390</v>
      </c>
      <c r="U585" s="201" t="s">
        <v>303</v>
      </c>
      <c r="V585" s="195" t="s">
        <v>303</v>
      </c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201" t="s">
        <v>304</v>
      </c>
      <c r="AH585" s="195" t="s">
        <v>303</v>
      </c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196"/>
      <c r="AT585" s="196"/>
      <c r="AU585" s="196"/>
      <c r="AV585" s="196"/>
      <c r="AW585" s="196"/>
      <c r="AX585" s="196"/>
      <c r="AY585" s="196"/>
      <c r="AZ585" s="196"/>
      <c r="BA585" s="196"/>
      <c r="BB585" s="196"/>
      <c r="BC585" s="196"/>
      <c r="BD585" s="196"/>
      <c r="BE585" s="196"/>
      <c r="BF585" s="196"/>
    </row>
    <row r="586">
      <c r="A586" s="197"/>
      <c r="B586" s="201" t="s">
        <v>147</v>
      </c>
      <c r="C586" s="201" t="s">
        <v>147</v>
      </c>
      <c r="D586" s="201" t="s">
        <v>147</v>
      </c>
      <c r="E586" s="201" t="s">
        <v>147</v>
      </c>
      <c r="F586" s="201" t="s">
        <v>147</v>
      </c>
      <c r="G586" s="201" t="s">
        <v>147</v>
      </c>
      <c r="H586" s="201" t="s">
        <v>152</v>
      </c>
      <c r="I586" s="201" t="s">
        <v>157</v>
      </c>
      <c r="J586" s="201" t="s">
        <v>157</v>
      </c>
      <c r="K586" s="201" t="s">
        <v>157</v>
      </c>
      <c r="L586" s="195" t="s">
        <v>147</v>
      </c>
      <c r="M586" s="195" t="s">
        <v>152</v>
      </c>
      <c r="N586" s="195" t="s">
        <v>157</v>
      </c>
      <c r="O586" s="196"/>
      <c r="P586" s="196"/>
      <c r="Q586" s="201" t="s">
        <v>160</v>
      </c>
      <c r="R586" s="201" t="s">
        <v>160</v>
      </c>
      <c r="S586" s="201" t="s">
        <v>160</v>
      </c>
      <c r="T586" s="201"/>
      <c r="U586" s="198"/>
      <c r="V586" s="195" t="s">
        <v>160</v>
      </c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201" t="s">
        <v>164</v>
      </c>
      <c r="AH586" s="195" t="s">
        <v>164</v>
      </c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196"/>
      <c r="AT586" s="196"/>
      <c r="AU586" s="196"/>
      <c r="AV586" s="196"/>
      <c r="AW586" s="196"/>
      <c r="AX586" s="196"/>
      <c r="AY586" s="196"/>
      <c r="AZ586" s="196"/>
      <c r="BA586" s="196"/>
      <c r="BB586" s="196"/>
      <c r="BC586" s="196"/>
      <c r="BD586" s="196"/>
      <c r="BE586" s="196"/>
      <c r="BF586" s="196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  <c r="AA587" s="186"/>
      <c r="AB587" s="186"/>
      <c r="AC587" s="186"/>
      <c r="AD587" s="186"/>
      <c r="AE587" s="186"/>
      <c r="AF587" s="186"/>
      <c r="AG587" s="186"/>
      <c r="AH587" s="186"/>
      <c r="AI587" s="186"/>
      <c r="AJ587" s="186"/>
      <c r="AK587" s="186"/>
      <c r="AL587" s="186"/>
      <c r="AM587" s="186"/>
      <c r="AN587" s="186"/>
      <c r="AO587" s="186"/>
      <c r="AP587" s="186"/>
      <c r="AQ587" s="186"/>
      <c r="AR587" s="186"/>
      <c r="AS587" s="186"/>
      <c r="AT587" s="186"/>
      <c r="AU587" s="186"/>
      <c r="AV587" s="186"/>
      <c r="AW587" s="186"/>
      <c r="AX587" s="186"/>
      <c r="AY587" s="186"/>
      <c r="AZ587" s="186"/>
      <c r="BA587" s="186"/>
      <c r="BB587" s="186"/>
      <c r="BC587" s="186"/>
      <c r="BD587" s="186"/>
      <c r="BE587" s="186"/>
      <c r="BF587" s="186"/>
    </row>
    <row r="588">
      <c r="A588" s="185" t="s">
        <v>802</v>
      </c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  <c r="AA588" s="186"/>
      <c r="AB588" s="186"/>
      <c r="AC588" s="186"/>
      <c r="AD588" s="186"/>
      <c r="AE588" s="186"/>
      <c r="AF588" s="186"/>
      <c r="AG588" s="186"/>
      <c r="AH588" s="186"/>
      <c r="AI588" s="186"/>
      <c r="AJ588" s="186"/>
      <c r="AK588" s="186"/>
      <c r="AL588" s="186"/>
      <c r="AM588" s="186"/>
      <c r="AN588" s="186"/>
      <c r="AO588" s="186"/>
      <c r="AP588" s="186"/>
      <c r="AQ588" s="186"/>
      <c r="AR588" s="186"/>
      <c r="AS588" s="186"/>
      <c r="AT588" s="186"/>
      <c r="AU588" s="186"/>
      <c r="AV588" s="186"/>
      <c r="AW588" s="186"/>
      <c r="AX588" s="186"/>
      <c r="AY588" s="186"/>
      <c r="AZ588" s="186"/>
      <c r="BA588" s="186"/>
      <c r="BB588" s="186"/>
      <c r="BC588" s="186"/>
      <c r="BD588" s="186"/>
      <c r="BE588" s="186"/>
      <c r="BF588" s="186"/>
    </row>
    <row r="589">
      <c r="A589" s="194" t="s">
        <v>803</v>
      </c>
      <c r="B589" s="194" t="s">
        <v>529</v>
      </c>
      <c r="C589" s="194" t="s">
        <v>528</v>
      </c>
      <c r="D589" s="194" t="s">
        <v>637</v>
      </c>
      <c r="E589" s="194" t="s">
        <v>530</v>
      </c>
      <c r="F589" s="194" t="s">
        <v>601</v>
      </c>
      <c r="G589" s="194" t="s">
        <v>544</v>
      </c>
      <c r="H589" s="194" t="s">
        <v>577</v>
      </c>
      <c r="I589" s="194" t="s">
        <v>801</v>
      </c>
      <c r="J589" s="194" t="s">
        <v>786</v>
      </c>
      <c r="K589" s="194" t="s">
        <v>586</v>
      </c>
      <c r="L589" s="194" t="s">
        <v>758</v>
      </c>
      <c r="M589" s="194" t="s">
        <v>531</v>
      </c>
      <c r="N589" s="194" t="s">
        <v>611</v>
      </c>
      <c r="O589" s="194" t="s">
        <v>692</v>
      </c>
      <c r="P589" s="194" t="s">
        <v>804</v>
      </c>
      <c r="Q589" s="194" t="s">
        <v>699</v>
      </c>
      <c r="R589" s="194" t="s">
        <v>664</v>
      </c>
      <c r="S589" s="194" t="s">
        <v>569</v>
      </c>
      <c r="T589" s="194" t="s">
        <v>723</v>
      </c>
      <c r="U589" s="186"/>
      <c r="V589" s="186"/>
      <c r="W589" s="186"/>
      <c r="X589" s="186"/>
      <c r="Y589" s="186"/>
      <c r="Z589" s="186"/>
      <c r="AA589" s="186"/>
      <c r="AB589" s="186"/>
      <c r="AC589" s="186"/>
      <c r="AD589" s="186"/>
      <c r="AE589" s="186"/>
      <c r="AF589" s="186"/>
      <c r="AG589" s="186"/>
      <c r="AH589" s="186"/>
      <c r="AI589" s="186"/>
      <c r="AJ589" s="186"/>
      <c r="AK589" s="186"/>
      <c r="AL589" s="186"/>
      <c r="AM589" s="186"/>
      <c r="AN589" s="186"/>
      <c r="AO589" s="186"/>
      <c r="AP589" s="186"/>
      <c r="AQ589" s="186"/>
      <c r="AR589" s="186"/>
      <c r="AS589" s="186"/>
      <c r="AT589" s="186"/>
      <c r="AU589" s="186"/>
      <c r="AV589" s="186"/>
      <c r="AW589" s="186"/>
      <c r="AX589" s="186"/>
      <c r="AY589" s="186"/>
      <c r="AZ589" s="186"/>
      <c r="BA589" s="186"/>
      <c r="BB589" s="186"/>
      <c r="BC589" s="186"/>
      <c r="BD589" s="186"/>
      <c r="BE589" s="186"/>
      <c r="BF589" s="186"/>
    </row>
    <row r="590">
      <c r="A590" s="189">
        <v>1.0</v>
      </c>
      <c r="B590" s="189">
        <v>1.0</v>
      </c>
      <c r="C590" s="189">
        <v>1.0</v>
      </c>
      <c r="D590" s="189">
        <v>1.0</v>
      </c>
      <c r="E590" s="189">
        <v>1.0</v>
      </c>
      <c r="F590" s="189">
        <v>1.0</v>
      </c>
      <c r="G590" s="189">
        <v>1.0</v>
      </c>
      <c r="H590" s="189">
        <v>1.0</v>
      </c>
      <c r="I590" s="189">
        <v>1.0</v>
      </c>
      <c r="J590" s="189">
        <v>1.0</v>
      </c>
      <c r="K590" s="189">
        <v>1.0</v>
      </c>
      <c r="L590" s="189">
        <v>1.0</v>
      </c>
      <c r="M590" s="189">
        <v>1.0</v>
      </c>
      <c r="N590" s="189">
        <v>1.0</v>
      </c>
      <c r="O590" s="189">
        <v>1.0</v>
      </c>
      <c r="P590" s="189">
        <v>1.0</v>
      </c>
      <c r="Q590" s="189">
        <v>1.0</v>
      </c>
      <c r="R590" s="189">
        <v>1.0</v>
      </c>
      <c r="S590" s="189">
        <v>1.0</v>
      </c>
      <c r="T590" s="189">
        <v>1.0</v>
      </c>
      <c r="U590" s="186"/>
      <c r="V590" s="186"/>
      <c r="W590" s="186"/>
      <c r="X590" s="186"/>
      <c r="Y590" s="186"/>
      <c r="Z590" s="186"/>
      <c r="AA590" s="186"/>
      <c r="AB590" s="186"/>
      <c r="AC590" s="186"/>
      <c r="AD590" s="186"/>
      <c r="AE590" s="186"/>
      <c r="AF590" s="186"/>
      <c r="AG590" s="186"/>
      <c r="AH590" s="186"/>
      <c r="AI590" s="186"/>
      <c r="AJ590" s="186"/>
      <c r="AK590" s="186"/>
      <c r="AL590" s="186"/>
      <c r="AM590" s="186"/>
      <c r="AN590" s="186"/>
      <c r="AO590" s="186"/>
      <c r="AP590" s="186"/>
      <c r="AQ590" s="186"/>
      <c r="AR590" s="186"/>
      <c r="AS590" s="186"/>
      <c r="AT590" s="186"/>
      <c r="AU590" s="186"/>
      <c r="AV590" s="186"/>
      <c r="AW590" s="186"/>
      <c r="AX590" s="186"/>
      <c r="AY590" s="186"/>
      <c r="AZ590" s="186"/>
      <c r="BA590" s="186"/>
      <c r="BB590" s="186"/>
      <c r="BC590" s="186"/>
      <c r="BD590" s="186"/>
      <c r="BE590" s="186"/>
      <c r="BF590" s="186"/>
    </row>
    <row r="591">
      <c r="A591" s="189">
        <v>2.0</v>
      </c>
      <c r="B591" s="189">
        <v>1.081</v>
      </c>
      <c r="C591" s="189">
        <v>1.081</v>
      </c>
      <c r="D591" s="189">
        <v>1.068</v>
      </c>
      <c r="E591" s="189">
        <v>1.075</v>
      </c>
      <c r="F591" s="189">
        <v>1.075</v>
      </c>
      <c r="G591" s="189">
        <v>1.06</v>
      </c>
      <c r="H591" s="189">
        <v>1.1</v>
      </c>
      <c r="I591" s="189">
        <v>1.108</v>
      </c>
      <c r="J591" s="189">
        <v>1.016</v>
      </c>
      <c r="K591" s="189">
        <v>1.05</v>
      </c>
      <c r="L591" s="189">
        <v>1.05</v>
      </c>
      <c r="M591" s="189">
        <v>1.0</v>
      </c>
      <c r="N591" s="189">
        <v>1.0625</v>
      </c>
      <c r="O591" s="189">
        <v>1.045454545</v>
      </c>
      <c r="P591" s="189">
        <v>1.0</v>
      </c>
      <c r="Q591" s="189">
        <v>1.076923077</v>
      </c>
      <c r="R591" s="189">
        <v>1.047619048</v>
      </c>
      <c r="S591" s="189">
        <v>1.090909091</v>
      </c>
      <c r="T591" s="215">
        <v>1.166666667</v>
      </c>
      <c r="U591" s="186"/>
      <c r="V591" s="186"/>
      <c r="W591" s="186"/>
      <c r="X591" s="186"/>
      <c r="Y591" s="186"/>
      <c r="Z591" s="186"/>
      <c r="AA591" s="186"/>
      <c r="AB591" s="186"/>
      <c r="AC591" s="186"/>
      <c r="AD591" s="186"/>
      <c r="AE591" s="186"/>
      <c r="AF591" s="186"/>
      <c r="AG591" s="186"/>
      <c r="AH591" s="186"/>
      <c r="AI591" s="186"/>
      <c r="AJ591" s="186"/>
      <c r="AK591" s="186"/>
      <c r="AL591" s="186"/>
      <c r="AM591" s="186"/>
      <c r="AN591" s="186"/>
      <c r="AO591" s="186"/>
      <c r="AP591" s="186"/>
      <c r="AQ591" s="186"/>
      <c r="AR591" s="186"/>
      <c r="AS591" s="186"/>
      <c r="AT591" s="186"/>
      <c r="AU591" s="186"/>
      <c r="AV591" s="186"/>
      <c r="AW591" s="186"/>
      <c r="AX591" s="186"/>
      <c r="AY591" s="186"/>
      <c r="AZ591" s="186"/>
      <c r="BA591" s="186"/>
      <c r="BB591" s="186"/>
      <c r="BC591" s="186"/>
      <c r="BD591" s="186"/>
      <c r="BE591" s="186"/>
      <c r="BF591" s="186"/>
    </row>
    <row r="592">
      <c r="A592" s="189">
        <v>3.0</v>
      </c>
      <c r="B592" s="189">
        <v>1.163</v>
      </c>
      <c r="C592" s="189">
        <v>1.163</v>
      </c>
      <c r="D592" s="189">
        <v>1.136</v>
      </c>
      <c r="E592" s="189">
        <v>1.15</v>
      </c>
      <c r="F592" s="189">
        <v>1.15</v>
      </c>
      <c r="G592" s="189">
        <v>1.12</v>
      </c>
      <c r="H592" s="189">
        <v>1.208</v>
      </c>
      <c r="I592" s="189">
        <v>1.216</v>
      </c>
      <c r="J592" s="189">
        <v>1.033</v>
      </c>
      <c r="K592" s="189">
        <v>1.1</v>
      </c>
      <c r="L592" s="189">
        <v>1.1</v>
      </c>
      <c r="M592" s="189">
        <v>1.0</v>
      </c>
      <c r="N592" s="189">
        <v>1.125</v>
      </c>
      <c r="O592" s="189">
        <v>1.090909091</v>
      </c>
      <c r="P592" s="189">
        <v>1.0</v>
      </c>
      <c r="Q592" s="189">
        <v>1.153846154</v>
      </c>
      <c r="R592" s="189">
        <v>1.095238095</v>
      </c>
      <c r="S592" s="189">
        <v>1.181818182</v>
      </c>
      <c r="T592" s="189">
        <v>1.333333333</v>
      </c>
      <c r="U592" s="186"/>
      <c r="V592" s="186"/>
      <c r="W592" s="186"/>
      <c r="X592" s="186"/>
      <c r="Y592" s="186"/>
      <c r="Z592" s="186"/>
      <c r="AA592" s="186"/>
      <c r="AB592" s="186"/>
      <c r="AC592" s="186"/>
      <c r="AD592" s="186"/>
      <c r="AE592" s="186"/>
      <c r="AF592" s="186"/>
      <c r="AG592" s="186"/>
      <c r="AH592" s="186"/>
      <c r="AI592" s="186"/>
      <c r="AJ592" s="186"/>
      <c r="AK592" s="186"/>
      <c r="AL592" s="186"/>
      <c r="AM592" s="186"/>
      <c r="AN592" s="186"/>
      <c r="AO592" s="186"/>
      <c r="AP592" s="186"/>
      <c r="AQ592" s="186"/>
      <c r="AR592" s="186"/>
      <c r="AS592" s="186"/>
      <c r="AT592" s="186"/>
      <c r="AU592" s="186"/>
      <c r="AV592" s="186"/>
      <c r="AW592" s="186"/>
      <c r="AX592" s="186"/>
      <c r="AY592" s="186"/>
      <c r="AZ592" s="186"/>
      <c r="BA592" s="186"/>
      <c r="BB592" s="186"/>
      <c r="BC592" s="186"/>
      <c r="BD592" s="186"/>
      <c r="BE592" s="186"/>
      <c r="BF592" s="186"/>
    </row>
    <row r="593">
      <c r="A593" s="189">
        <v>4.0</v>
      </c>
      <c r="B593" s="189">
        <v>1.279</v>
      </c>
      <c r="C593" s="189">
        <v>1.279</v>
      </c>
      <c r="D593" s="189">
        <v>1.227</v>
      </c>
      <c r="E593" s="189">
        <v>1.25</v>
      </c>
      <c r="F593" s="189">
        <v>1.25</v>
      </c>
      <c r="G593" s="189">
        <v>1.198</v>
      </c>
      <c r="H593" s="189">
        <v>1.325</v>
      </c>
      <c r="I593" s="189">
        <v>1.351</v>
      </c>
      <c r="J593" s="189">
        <v>1.054</v>
      </c>
      <c r="K593" s="189">
        <v>1.2</v>
      </c>
      <c r="L593" s="189">
        <v>1.2</v>
      </c>
      <c r="M593" s="189">
        <v>1.0</v>
      </c>
      <c r="N593" s="189">
        <v>1.1875</v>
      </c>
      <c r="O593" s="189">
        <v>1.136363636</v>
      </c>
      <c r="P593" s="189">
        <v>1.166666667</v>
      </c>
      <c r="Q593" s="189">
        <v>1.230769231</v>
      </c>
      <c r="R593" s="189">
        <v>1.142857143</v>
      </c>
      <c r="S593" s="189">
        <v>1.272727273</v>
      </c>
      <c r="T593" s="189">
        <v>1.5</v>
      </c>
      <c r="U593" s="186"/>
      <c r="V593" s="186"/>
      <c r="W593" s="186"/>
      <c r="X593" s="186"/>
      <c r="Y593" s="186"/>
      <c r="Z593" s="186"/>
      <c r="AA593" s="186"/>
      <c r="AB593" s="186"/>
      <c r="AC593" s="186"/>
      <c r="AD593" s="186"/>
      <c r="AE593" s="186"/>
      <c r="AF593" s="186"/>
      <c r="AG593" s="186"/>
      <c r="AH593" s="186"/>
      <c r="AI593" s="186"/>
      <c r="AJ593" s="186"/>
      <c r="AK593" s="186"/>
      <c r="AL593" s="186"/>
      <c r="AM593" s="186"/>
      <c r="AN593" s="186"/>
      <c r="AO593" s="186"/>
      <c r="AP593" s="186"/>
      <c r="AQ593" s="186"/>
      <c r="AR593" s="186"/>
      <c r="AS593" s="186"/>
      <c r="AT593" s="186"/>
      <c r="AU593" s="186"/>
      <c r="AV593" s="186"/>
      <c r="AW593" s="186"/>
      <c r="AX593" s="186"/>
      <c r="AY593" s="186"/>
      <c r="AZ593" s="186"/>
      <c r="BA593" s="186"/>
      <c r="BB593" s="186"/>
      <c r="BC593" s="186"/>
      <c r="BD593" s="186"/>
      <c r="BE593" s="186"/>
      <c r="BF593" s="186"/>
    </row>
    <row r="594">
      <c r="A594" s="189">
        <v>5.0</v>
      </c>
      <c r="B594" s="189">
        <v>1.36</v>
      </c>
      <c r="C594" s="189">
        <v>1.36</v>
      </c>
      <c r="D594" s="189">
        <v>1.295</v>
      </c>
      <c r="E594" s="189">
        <v>1.325</v>
      </c>
      <c r="F594" s="189">
        <v>1.325</v>
      </c>
      <c r="G594" s="189">
        <v>1.257</v>
      </c>
      <c r="H594" s="189">
        <v>1.45</v>
      </c>
      <c r="I594" s="189">
        <v>1.473</v>
      </c>
      <c r="J594" s="189">
        <v>1.071</v>
      </c>
      <c r="K594" s="189">
        <v>1.25</v>
      </c>
      <c r="L594" s="189">
        <v>1.25</v>
      </c>
      <c r="M594" s="189">
        <v>1.0</v>
      </c>
      <c r="N594" s="189">
        <v>1.25</v>
      </c>
      <c r="O594" s="189">
        <v>1.181818182</v>
      </c>
      <c r="P594" s="189">
        <v>1.166666667</v>
      </c>
      <c r="Q594" s="189">
        <v>1.307692308</v>
      </c>
      <c r="R594" s="189">
        <v>1.19047619</v>
      </c>
      <c r="S594" s="189">
        <v>1.363636364</v>
      </c>
      <c r="T594" s="189">
        <v>1.666666667</v>
      </c>
      <c r="U594" s="186"/>
      <c r="V594" s="186"/>
      <c r="W594" s="186"/>
      <c r="X594" s="186"/>
      <c r="Y594" s="186"/>
      <c r="Z594" s="186"/>
      <c r="AA594" s="186"/>
      <c r="AB594" s="186"/>
      <c r="AC594" s="186"/>
      <c r="AD594" s="186"/>
      <c r="AE594" s="186"/>
      <c r="AF594" s="186"/>
      <c r="AG594" s="186"/>
      <c r="AH594" s="186"/>
      <c r="AI594" s="186"/>
      <c r="AJ594" s="186"/>
      <c r="AK594" s="186"/>
      <c r="AL594" s="186"/>
      <c r="AM594" s="186"/>
      <c r="AN594" s="186"/>
      <c r="AO594" s="186"/>
      <c r="AP594" s="186"/>
      <c r="AQ594" s="186"/>
      <c r="AR594" s="186"/>
      <c r="AS594" s="186"/>
      <c r="AT594" s="186"/>
      <c r="AU594" s="186"/>
      <c r="AV594" s="186"/>
      <c r="AW594" s="186"/>
      <c r="AX594" s="186"/>
      <c r="AY594" s="186"/>
      <c r="AZ594" s="186"/>
      <c r="BA594" s="186"/>
      <c r="BB594" s="186"/>
      <c r="BC594" s="186"/>
      <c r="BD594" s="186"/>
      <c r="BE594" s="186"/>
      <c r="BF594" s="186"/>
    </row>
    <row r="595">
      <c r="A595" s="189">
        <v>6.0</v>
      </c>
      <c r="B595" s="189">
        <v>1.453</v>
      </c>
      <c r="C595" s="189">
        <v>1.453</v>
      </c>
      <c r="D595" s="189">
        <v>1.375</v>
      </c>
      <c r="E595" s="189">
        <v>1.4</v>
      </c>
      <c r="F595" s="189">
        <v>1.4</v>
      </c>
      <c r="G595" s="189">
        <v>1.317</v>
      </c>
      <c r="H595" s="189">
        <v>1.583</v>
      </c>
      <c r="I595" s="189">
        <v>1.595</v>
      </c>
      <c r="J595" s="189">
        <v>1.087</v>
      </c>
      <c r="K595" s="189">
        <v>1.3</v>
      </c>
      <c r="L595" s="189">
        <v>1.3</v>
      </c>
      <c r="M595" s="189">
        <v>1.0</v>
      </c>
      <c r="N595" s="189">
        <v>1.0625</v>
      </c>
      <c r="O595" s="189">
        <v>1.227272727</v>
      </c>
      <c r="P595" s="189">
        <v>1.166666667</v>
      </c>
      <c r="Q595" s="189">
        <v>1.384615385</v>
      </c>
      <c r="R595" s="189">
        <v>1.238095238</v>
      </c>
      <c r="S595" s="189">
        <v>1.454545455</v>
      </c>
      <c r="T595" s="189">
        <v>1.833333333</v>
      </c>
      <c r="U595" s="186"/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6"/>
      <c r="AG595" s="186"/>
      <c r="AH595" s="186"/>
      <c r="AI595" s="186"/>
      <c r="AJ595" s="186"/>
      <c r="AK595" s="186"/>
      <c r="AL595" s="186"/>
      <c r="AM595" s="186"/>
      <c r="AN595" s="186"/>
      <c r="AO595" s="186"/>
      <c r="AP595" s="186"/>
      <c r="AQ595" s="186"/>
      <c r="AR595" s="186"/>
      <c r="AS595" s="186"/>
      <c r="AT595" s="186"/>
      <c r="AU595" s="186"/>
      <c r="AV595" s="186"/>
      <c r="AW595" s="186"/>
      <c r="AX595" s="186"/>
      <c r="AY595" s="186"/>
      <c r="AZ595" s="186"/>
      <c r="BA595" s="186"/>
      <c r="BB595" s="186"/>
      <c r="BC595" s="186"/>
      <c r="BD595" s="186"/>
      <c r="BE595" s="186"/>
      <c r="BF595" s="186"/>
    </row>
    <row r="596">
      <c r="A596" s="189">
        <v>7.0</v>
      </c>
      <c r="B596" s="189">
        <v>1.581</v>
      </c>
      <c r="C596" s="189">
        <v>1.581</v>
      </c>
      <c r="D596" s="189">
        <v>1.477</v>
      </c>
      <c r="E596" s="189">
        <v>1.5</v>
      </c>
      <c r="F596" s="189">
        <v>1.5</v>
      </c>
      <c r="G596" s="189">
        <v>1.395</v>
      </c>
      <c r="H596" s="189">
        <v>1.725</v>
      </c>
      <c r="I596" s="189">
        <v>1.757</v>
      </c>
      <c r="J596" s="189">
        <v>1.109</v>
      </c>
      <c r="K596" s="189">
        <v>1.4</v>
      </c>
      <c r="L596" s="189">
        <v>1.4</v>
      </c>
      <c r="M596" s="189">
        <v>1.0</v>
      </c>
      <c r="N596" s="189">
        <v>1.125</v>
      </c>
      <c r="O596" s="189">
        <v>1.272727273</v>
      </c>
      <c r="P596" s="189">
        <v>1.333333333</v>
      </c>
      <c r="Q596" s="189">
        <v>1.423076923</v>
      </c>
      <c r="R596" s="189">
        <v>1.285714286</v>
      </c>
      <c r="S596" s="189">
        <v>1.545454545</v>
      </c>
      <c r="T596" s="189">
        <v>2.0</v>
      </c>
      <c r="U596" s="186"/>
      <c r="V596" s="186"/>
      <c r="W596" s="186"/>
      <c r="X596" s="186"/>
      <c r="Y596" s="186"/>
      <c r="Z596" s="186"/>
      <c r="AA596" s="186"/>
      <c r="AB596" s="186"/>
      <c r="AC596" s="186"/>
      <c r="AD596" s="186"/>
      <c r="AE596" s="186"/>
      <c r="AF596" s="186"/>
      <c r="AG596" s="186"/>
      <c r="AH596" s="186"/>
      <c r="AI596" s="186"/>
      <c r="AJ596" s="186"/>
      <c r="AK596" s="186"/>
      <c r="AL596" s="186"/>
      <c r="AM596" s="186"/>
      <c r="AN596" s="186"/>
      <c r="AO596" s="186"/>
      <c r="AP596" s="186"/>
      <c r="AQ596" s="186"/>
      <c r="AR596" s="186"/>
      <c r="AS596" s="186"/>
      <c r="AT596" s="186"/>
      <c r="AU596" s="186"/>
      <c r="AV596" s="186"/>
      <c r="AW596" s="186"/>
      <c r="AX596" s="186"/>
      <c r="AY596" s="186"/>
      <c r="AZ596" s="186"/>
      <c r="BA596" s="186"/>
      <c r="BB596" s="186"/>
      <c r="BC596" s="186"/>
      <c r="BD596" s="186"/>
      <c r="BE596" s="186"/>
      <c r="BF596" s="186"/>
    </row>
    <row r="597">
      <c r="A597" s="189">
        <v>8.0</v>
      </c>
      <c r="B597" s="189">
        <v>1.709</v>
      </c>
      <c r="C597" s="189">
        <v>1.709</v>
      </c>
      <c r="D597" s="189">
        <v>1.58</v>
      </c>
      <c r="E597" s="189">
        <v>1.6</v>
      </c>
      <c r="F597" s="189">
        <v>1.6</v>
      </c>
      <c r="G597" s="189">
        <v>1.473</v>
      </c>
      <c r="H597" s="189">
        <v>1.875</v>
      </c>
      <c r="I597" s="189">
        <v>1.919</v>
      </c>
      <c r="J597" s="189">
        <v>1.13</v>
      </c>
      <c r="K597" s="189">
        <v>1.5</v>
      </c>
      <c r="L597" s="189">
        <v>1.5</v>
      </c>
      <c r="M597" s="189">
        <v>1.0</v>
      </c>
      <c r="N597" s="189">
        <v>1.1875</v>
      </c>
      <c r="O597" s="189">
        <v>1.318181818</v>
      </c>
      <c r="P597" s="189">
        <v>1.333333333</v>
      </c>
      <c r="Q597" s="189">
        <v>1.461538462</v>
      </c>
      <c r="R597" s="189">
        <v>1.333333333</v>
      </c>
      <c r="S597" s="189">
        <v>1.636363636</v>
      </c>
      <c r="T597" s="189">
        <v>2.166666667</v>
      </c>
      <c r="U597" s="186"/>
      <c r="V597" s="186"/>
      <c r="W597" s="186"/>
      <c r="X597" s="186"/>
      <c r="Y597" s="186"/>
      <c r="Z597" s="186"/>
      <c r="AA597" s="186"/>
      <c r="AB597" s="186"/>
      <c r="AC597" s="186"/>
      <c r="AD597" s="186"/>
      <c r="AE597" s="186"/>
      <c r="AF597" s="186"/>
      <c r="AG597" s="186"/>
      <c r="AH597" s="186"/>
      <c r="AI597" s="186"/>
      <c r="AJ597" s="186"/>
      <c r="AK597" s="186"/>
      <c r="AL597" s="186"/>
      <c r="AM597" s="186"/>
      <c r="AN597" s="186"/>
      <c r="AO597" s="186"/>
      <c r="AP597" s="186"/>
      <c r="AQ597" s="186"/>
      <c r="AR597" s="186"/>
      <c r="AS597" s="186"/>
      <c r="AT597" s="186"/>
      <c r="AU597" s="186"/>
      <c r="AV597" s="186"/>
      <c r="AW597" s="186"/>
      <c r="AX597" s="186"/>
      <c r="AY597" s="186"/>
      <c r="AZ597" s="186"/>
      <c r="BA597" s="186"/>
      <c r="BB597" s="186"/>
      <c r="BC597" s="186"/>
      <c r="BD597" s="186"/>
      <c r="BE597" s="186"/>
      <c r="BF597" s="186"/>
    </row>
    <row r="598">
      <c r="A598" s="189">
        <v>9.0</v>
      </c>
      <c r="B598" s="189">
        <v>1.837</v>
      </c>
      <c r="C598" s="189">
        <v>1.837</v>
      </c>
      <c r="D598" s="189">
        <v>1.682</v>
      </c>
      <c r="E598" s="189">
        <v>1.7</v>
      </c>
      <c r="F598" s="189">
        <v>1.7</v>
      </c>
      <c r="G598" s="189">
        <v>1.551</v>
      </c>
      <c r="H598" s="189">
        <v>2.033</v>
      </c>
      <c r="I598" s="189">
        <v>2.081</v>
      </c>
      <c r="J598" s="189">
        <v>1.151</v>
      </c>
      <c r="K598" s="189">
        <v>1.6</v>
      </c>
      <c r="L598" s="189">
        <v>1.6</v>
      </c>
      <c r="M598" s="189">
        <v>1.0</v>
      </c>
      <c r="N598" s="189">
        <v>1.25</v>
      </c>
      <c r="O598" s="189">
        <v>1.363636364</v>
      </c>
      <c r="P598" s="189">
        <v>1.333333333</v>
      </c>
      <c r="Q598" s="189">
        <v>1.5</v>
      </c>
      <c r="R598" s="189">
        <v>1.380952381</v>
      </c>
      <c r="S598" s="189">
        <v>1.727272727</v>
      </c>
      <c r="T598" s="189">
        <v>2.333333333</v>
      </c>
      <c r="U598" s="186"/>
      <c r="V598" s="186"/>
      <c r="W598" s="186"/>
      <c r="X598" s="186"/>
      <c r="Y598" s="186"/>
      <c r="Z598" s="186"/>
      <c r="AA598" s="186"/>
      <c r="AB598" s="186"/>
      <c r="AC598" s="186"/>
      <c r="AD598" s="186"/>
      <c r="AE598" s="186"/>
      <c r="AF598" s="186"/>
      <c r="AG598" s="186"/>
      <c r="AH598" s="186"/>
      <c r="AI598" s="186"/>
      <c r="AJ598" s="186"/>
      <c r="AK598" s="186"/>
      <c r="AL598" s="186"/>
      <c r="AM598" s="186"/>
      <c r="AN598" s="186"/>
      <c r="AO598" s="186"/>
      <c r="AP598" s="186"/>
      <c r="AQ598" s="186"/>
      <c r="AR598" s="186"/>
      <c r="AS598" s="186"/>
      <c r="AT598" s="186"/>
      <c r="AU598" s="186"/>
      <c r="AV598" s="186"/>
      <c r="AW598" s="186"/>
      <c r="AX598" s="186"/>
      <c r="AY598" s="186"/>
      <c r="AZ598" s="186"/>
      <c r="BA598" s="186"/>
      <c r="BB598" s="186"/>
      <c r="BC598" s="186"/>
      <c r="BD598" s="186"/>
      <c r="BE598" s="186"/>
      <c r="BF598" s="186"/>
    </row>
    <row r="599">
      <c r="A599" s="189">
        <v>10.0</v>
      </c>
      <c r="B599" s="189">
        <v>1.977</v>
      </c>
      <c r="C599" s="189">
        <v>1.977</v>
      </c>
      <c r="D599" s="189">
        <v>1.784</v>
      </c>
      <c r="E599" s="189">
        <v>1.8</v>
      </c>
      <c r="F599" s="189">
        <v>1.8</v>
      </c>
      <c r="G599" s="189">
        <v>1.629</v>
      </c>
      <c r="H599" s="189">
        <v>2.2</v>
      </c>
      <c r="I599" s="189">
        <v>2.243</v>
      </c>
      <c r="J599" s="189">
        <v>1.173</v>
      </c>
      <c r="K599" s="189">
        <v>1.7</v>
      </c>
      <c r="L599" s="189">
        <v>1.7</v>
      </c>
      <c r="M599" s="189">
        <v>1.0</v>
      </c>
      <c r="N599" s="189">
        <v>1.3125</v>
      </c>
      <c r="O599" s="189">
        <v>1.363636364</v>
      </c>
      <c r="P599" s="189">
        <v>1.333333333</v>
      </c>
      <c r="Q599" s="189">
        <v>1.538461538</v>
      </c>
      <c r="R599" s="189">
        <v>1.428571429</v>
      </c>
      <c r="S599" s="189">
        <v>1.818181818</v>
      </c>
      <c r="T599" s="189">
        <v>2.5</v>
      </c>
      <c r="U599" s="186"/>
      <c r="V599" s="186"/>
      <c r="W599" s="186"/>
      <c r="X599" s="186"/>
      <c r="Y599" s="186"/>
      <c r="Z599" s="186"/>
      <c r="AA599" s="186"/>
      <c r="AB599" s="186"/>
      <c r="AC599" s="186"/>
      <c r="AD599" s="186"/>
      <c r="AE599" s="186"/>
      <c r="AF599" s="186"/>
      <c r="AG599" s="186"/>
      <c r="AH599" s="186"/>
      <c r="AI599" s="186"/>
      <c r="AJ599" s="186"/>
      <c r="AK599" s="186"/>
      <c r="AL599" s="186"/>
      <c r="AM599" s="186"/>
      <c r="AN599" s="186"/>
      <c r="AO599" s="186"/>
      <c r="AP599" s="186"/>
      <c r="AQ599" s="186"/>
      <c r="AR599" s="186"/>
      <c r="AS599" s="186"/>
      <c r="AT599" s="186"/>
      <c r="AU599" s="186"/>
      <c r="AV599" s="186"/>
      <c r="AW599" s="186"/>
      <c r="AX599" s="186"/>
      <c r="AY599" s="186"/>
      <c r="AZ599" s="186"/>
      <c r="BA599" s="186"/>
      <c r="BB599" s="186"/>
      <c r="BC599" s="186"/>
      <c r="BD599" s="186"/>
      <c r="BE599" s="186"/>
      <c r="BF599" s="186"/>
    </row>
    <row r="600">
      <c r="A600" s="189">
        <v>11.0</v>
      </c>
      <c r="B600" s="189">
        <v>2.116</v>
      </c>
      <c r="C600" s="189">
        <v>2.137</v>
      </c>
      <c r="D600" s="189">
        <v>1.886</v>
      </c>
      <c r="E600" s="189">
        <v>1.9</v>
      </c>
      <c r="F600" s="189">
        <v>1.904</v>
      </c>
      <c r="G600" s="189">
        <v>1.707</v>
      </c>
      <c r="H600" s="189">
        <v>2.375</v>
      </c>
      <c r="I600" s="189">
        <v>2.405</v>
      </c>
      <c r="J600" s="189">
        <v>1.194</v>
      </c>
      <c r="K600" s="189">
        <v>1.75</v>
      </c>
      <c r="L600" s="189">
        <v>1.7</v>
      </c>
      <c r="M600" s="189">
        <v>1.0</v>
      </c>
      <c r="N600" s="189">
        <v>1.3125</v>
      </c>
      <c r="O600" s="189">
        <v>1.363636364</v>
      </c>
      <c r="P600" s="189">
        <v>1.333333333</v>
      </c>
      <c r="Q600" s="189">
        <v>1.538461538</v>
      </c>
      <c r="R600" s="189">
        <v>1.428571429</v>
      </c>
      <c r="S600" s="189">
        <v>1.818181818</v>
      </c>
      <c r="T600" s="189">
        <v>2.5</v>
      </c>
      <c r="U600" s="186"/>
      <c r="V600" s="186"/>
      <c r="W600" s="186"/>
      <c r="X600" s="186"/>
      <c r="Y600" s="186"/>
      <c r="Z600" s="186"/>
      <c r="AA600" s="186"/>
      <c r="AB600" s="186"/>
      <c r="AC600" s="186"/>
      <c r="AD600" s="186"/>
      <c r="AE600" s="186"/>
      <c r="AF600" s="186"/>
      <c r="AG600" s="186"/>
      <c r="AH600" s="186"/>
      <c r="AI600" s="186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86"/>
      <c r="AT600" s="186"/>
      <c r="AU600" s="186"/>
      <c r="AV600" s="186"/>
      <c r="AW600" s="186"/>
      <c r="AX600" s="186"/>
      <c r="AY600" s="186"/>
      <c r="AZ600" s="186"/>
      <c r="BA600" s="186"/>
      <c r="BB600" s="186"/>
      <c r="BC600" s="186"/>
      <c r="BD600" s="186"/>
      <c r="BE600" s="186"/>
      <c r="BF600" s="186"/>
    </row>
    <row r="601">
      <c r="A601" s="189">
        <v>12.0</v>
      </c>
      <c r="B601" s="189">
        <v>2.256</v>
      </c>
      <c r="C601" s="189">
        <v>2.325</v>
      </c>
      <c r="D601" s="189">
        <v>1.989</v>
      </c>
      <c r="E601" s="189">
        <v>2.0</v>
      </c>
      <c r="F601" s="189">
        <v>2.04</v>
      </c>
      <c r="G601" s="189">
        <v>1.784</v>
      </c>
      <c r="H601" s="189">
        <v>2.559</v>
      </c>
      <c r="I601" s="189">
        <v>2.568</v>
      </c>
      <c r="J601" s="189">
        <v>1.216</v>
      </c>
      <c r="K601" s="189">
        <v>1.8</v>
      </c>
      <c r="L601" s="189">
        <v>1.7</v>
      </c>
      <c r="M601" s="189">
        <v>1.0</v>
      </c>
      <c r="N601" s="189">
        <v>1.3125</v>
      </c>
      <c r="O601" s="189">
        <v>1.363636364</v>
      </c>
      <c r="P601" s="189">
        <v>1.333333333</v>
      </c>
      <c r="Q601" s="189">
        <v>1.538461538</v>
      </c>
      <c r="R601" s="189">
        <v>1.428571429</v>
      </c>
      <c r="S601" s="189">
        <v>1.818181818</v>
      </c>
      <c r="T601" s="189">
        <v>2.5</v>
      </c>
      <c r="U601" s="186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86"/>
      <c r="AT601" s="186"/>
      <c r="AU601" s="186"/>
      <c r="AV601" s="186"/>
      <c r="AW601" s="186"/>
      <c r="AX601" s="186"/>
      <c r="AY601" s="186"/>
      <c r="AZ601" s="186"/>
      <c r="BA601" s="186"/>
      <c r="BB601" s="186"/>
      <c r="BC601" s="186"/>
      <c r="BD601" s="186"/>
      <c r="BE601" s="186"/>
      <c r="BF601" s="186"/>
    </row>
    <row r="602">
      <c r="A602" s="189">
        <v>13.0</v>
      </c>
      <c r="B602" s="189">
        <v>2.395</v>
      </c>
      <c r="C602" s="189">
        <v>2.513</v>
      </c>
      <c r="D602" s="189">
        <v>2.091</v>
      </c>
      <c r="E602" s="189">
        <v>2.125</v>
      </c>
      <c r="F602" s="189">
        <v>2.176</v>
      </c>
      <c r="G602" s="189">
        <v>1.862</v>
      </c>
      <c r="H602" s="189">
        <v>2.75</v>
      </c>
      <c r="I602" s="189">
        <v>2.703</v>
      </c>
      <c r="J602" s="189">
        <v>1.237</v>
      </c>
      <c r="K602" s="189">
        <v>1.85</v>
      </c>
      <c r="L602" s="189">
        <v>1.7</v>
      </c>
      <c r="M602" s="189">
        <v>1.0</v>
      </c>
      <c r="N602" s="189">
        <v>1.3125</v>
      </c>
      <c r="O602" s="189">
        <v>1.363636364</v>
      </c>
      <c r="P602" s="189">
        <v>1.333333333</v>
      </c>
      <c r="Q602" s="189">
        <v>1.538461538</v>
      </c>
      <c r="R602" s="189">
        <v>1.428571429</v>
      </c>
      <c r="S602" s="189">
        <v>1.818181818</v>
      </c>
      <c r="T602" s="189">
        <v>2.5</v>
      </c>
      <c r="U602" s="186"/>
      <c r="V602" s="186"/>
      <c r="W602" s="186"/>
      <c r="X602" s="186"/>
      <c r="Y602" s="186"/>
      <c r="Z602" s="186"/>
      <c r="AA602" s="186"/>
      <c r="AB602" s="186"/>
      <c r="AC602" s="186"/>
      <c r="AD602" s="186"/>
      <c r="AE602" s="186"/>
      <c r="AF602" s="186"/>
      <c r="AG602" s="186"/>
      <c r="AH602" s="186"/>
      <c r="AI602" s="186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186"/>
      <c r="AT602" s="186"/>
      <c r="AU602" s="186"/>
      <c r="AV602" s="186"/>
      <c r="AW602" s="186"/>
      <c r="AX602" s="186"/>
      <c r="AY602" s="186"/>
      <c r="AZ602" s="186"/>
      <c r="BA602" s="186"/>
      <c r="BB602" s="186"/>
      <c r="BC602" s="186"/>
      <c r="BD602" s="186"/>
      <c r="BE602" s="186"/>
      <c r="BF602" s="186"/>
    </row>
    <row r="603">
      <c r="A603" s="189">
        <v>14.0</v>
      </c>
      <c r="B603" s="189">
        <v>2.535</v>
      </c>
      <c r="C603" s="189">
        <v>2.701</v>
      </c>
      <c r="D603" s="189">
        <v>2.193</v>
      </c>
      <c r="E603" s="189">
        <v>2.25</v>
      </c>
      <c r="F603" s="189">
        <v>2.312</v>
      </c>
      <c r="G603" s="189">
        <v>1.94</v>
      </c>
      <c r="H603" s="189">
        <v>2.95</v>
      </c>
      <c r="I603" s="189">
        <v>2.838</v>
      </c>
      <c r="J603" s="189">
        <v>1.258</v>
      </c>
      <c r="K603" s="189">
        <v>1.9</v>
      </c>
      <c r="L603" s="189">
        <v>1.7</v>
      </c>
      <c r="M603" s="189">
        <v>1.0</v>
      </c>
      <c r="N603" s="189">
        <v>1.3125</v>
      </c>
      <c r="O603" s="189">
        <v>1.363636364</v>
      </c>
      <c r="P603" s="189">
        <v>1.333333333</v>
      </c>
      <c r="Q603" s="189">
        <v>1.538461538</v>
      </c>
      <c r="R603" s="189">
        <v>1.428571429</v>
      </c>
      <c r="S603" s="189">
        <v>1.818181818</v>
      </c>
      <c r="T603" s="189">
        <v>2.5</v>
      </c>
      <c r="U603" s="186"/>
      <c r="V603" s="186"/>
      <c r="W603" s="186"/>
      <c r="X603" s="186"/>
      <c r="Y603" s="186"/>
      <c r="Z603" s="186"/>
      <c r="AA603" s="186"/>
      <c r="AB603" s="186"/>
      <c r="AC603" s="186"/>
      <c r="AD603" s="186"/>
      <c r="AE603" s="186"/>
      <c r="AF603" s="186"/>
      <c r="AG603" s="186"/>
      <c r="AH603" s="186"/>
      <c r="AI603" s="186"/>
      <c r="AJ603" s="186"/>
      <c r="AK603" s="186"/>
      <c r="AL603" s="186"/>
      <c r="AM603" s="186"/>
      <c r="AN603" s="186"/>
      <c r="AO603" s="186"/>
      <c r="AP603" s="186"/>
      <c r="AQ603" s="186"/>
      <c r="AR603" s="186"/>
      <c r="AS603" s="186"/>
      <c r="AT603" s="186"/>
      <c r="AU603" s="186"/>
      <c r="AV603" s="186"/>
      <c r="AW603" s="186"/>
      <c r="AX603" s="186"/>
      <c r="AY603" s="186"/>
      <c r="AZ603" s="186"/>
      <c r="BA603" s="186"/>
      <c r="BB603" s="186"/>
      <c r="BC603" s="186"/>
      <c r="BD603" s="186"/>
      <c r="BE603" s="186"/>
      <c r="BF603" s="186"/>
    </row>
    <row r="604">
      <c r="A604" s="189">
        <v>15.0</v>
      </c>
      <c r="B604" s="189">
        <v>2.674</v>
      </c>
      <c r="C604" s="189">
        <v>2.906</v>
      </c>
      <c r="D604" s="189">
        <v>2.295</v>
      </c>
      <c r="E604" s="189">
        <v>2.375</v>
      </c>
      <c r="F604" s="189">
        <v>2.448</v>
      </c>
      <c r="G604" s="189">
        <v>2.018</v>
      </c>
      <c r="H604" s="189">
        <v>3.159</v>
      </c>
      <c r="I604" s="189">
        <v>2.973</v>
      </c>
      <c r="J604" s="189">
        <v>1.28</v>
      </c>
      <c r="K604" s="189">
        <v>1.95</v>
      </c>
      <c r="L604" s="189">
        <v>1.7</v>
      </c>
      <c r="M604" s="189">
        <v>1.0</v>
      </c>
      <c r="N604" s="189">
        <v>1.3125</v>
      </c>
      <c r="O604" s="189">
        <v>1.363636364</v>
      </c>
      <c r="P604" s="189">
        <v>1.333333333</v>
      </c>
      <c r="Q604" s="189">
        <v>1.538461538</v>
      </c>
      <c r="R604" s="189">
        <v>1.428571429</v>
      </c>
      <c r="S604" s="189">
        <v>1.818181818</v>
      </c>
      <c r="T604" s="189">
        <v>2.5</v>
      </c>
      <c r="U604" s="186"/>
      <c r="V604" s="186"/>
      <c r="W604" s="186"/>
      <c r="X604" s="186"/>
      <c r="Y604" s="186"/>
      <c r="Z604" s="186"/>
      <c r="AA604" s="186"/>
      <c r="AB604" s="186"/>
      <c r="AC604" s="186"/>
      <c r="AD604" s="186"/>
      <c r="AE604" s="186"/>
      <c r="AF604" s="186"/>
      <c r="AG604" s="186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6"/>
      <c r="AT604" s="186"/>
      <c r="AU604" s="186"/>
      <c r="AV604" s="186"/>
      <c r="AW604" s="186"/>
      <c r="AX604" s="186"/>
      <c r="AY604" s="186"/>
      <c r="AZ604" s="186"/>
      <c r="BA604" s="186"/>
      <c r="BB604" s="186"/>
      <c r="BC604" s="186"/>
      <c r="BD604" s="186"/>
      <c r="BE604" s="186"/>
      <c r="BF604" s="186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  <c r="AA605" s="186"/>
      <c r="AB605" s="186"/>
      <c r="AC605" s="186"/>
      <c r="AD605" s="186"/>
      <c r="AE605" s="186"/>
      <c r="AF605" s="186"/>
      <c r="AG605" s="186"/>
      <c r="AH605" s="186"/>
      <c r="AI605" s="186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86"/>
      <c r="AT605" s="186"/>
      <c r="AU605" s="186"/>
      <c r="AV605" s="186"/>
      <c r="AW605" s="186"/>
      <c r="AX605" s="186"/>
      <c r="AY605" s="186"/>
      <c r="AZ605" s="186"/>
      <c r="BA605" s="186"/>
      <c r="BB605" s="186"/>
      <c r="BC605" s="186"/>
      <c r="BD605" s="186"/>
      <c r="BE605" s="186"/>
      <c r="BF605" s="186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  <c r="AA606" s="186"/>
      <c r="AB606" s="186"/>
      <c r="AC606" s="186"/>
      <c r="AD606" s="186"/>
      <c r="AE606" s="186"/>
      <c r="AF606" s="186"/>
      <c r="AG606" s="186"/>
      <c r="AH606" s="186"/>
      <c r="AI606" s="186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86"/>
      <c r="AT606" s="186"/>
      <c r="AU606" s="186"/>
      <c r="AV606" s="186"/>
      <c r="AW606" s="186"/>
      <c r="AX606" s="186"/>
      <c r="AY606" s="186"/>
      <c r="AZ606" s="186"/>
      <c r="BA606" s="186"/>
      <c r="BB606" s="186"/>
      <c r="BC606" s="186"/>
      <c r="BD606" s="186"/>
      <c r="BE606" s="186"/>
      <c r="BF606" s="186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86"/>
      <c r="AT607" s="186"/>
      <c r="AU607" s="186"/>
      <c r="AV607" s="186"/>
      <c r="AW607" s="186"/>
      <c r="AX607" s="186"/>
      <c r="AY607" s="186"/>
      <c r="AZ607" s="186"/>
      <c r="BA607" s="186"/>
      <c r="BB607" s="186"/>
      <c r="BC607" s="186"/>
      <c r="BD607" s="186"/>
      <c r="BE607" s="186"/>
      <c r="BF607" s="186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  <c r="AA608" s="186"/>
      <c r="AB608" s="186"/>
      <c r="AC608" s="186"/>
      <c r="AD608" s="186"/>
      <c r="AE608" s="186"/>
      <c r="AF608" s="186"/>
      <c r="AG608" s="186"/>
      <c r="AH608" s="186"/>
      <c r="AI608" s="186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186"/>
      <c r="AT608" s="186"/>
      <c r="AU608" s="186"/>
      <c r="AV608" s="186"/>
      <c r="AW608" s="186"/>
      <c r="AX608" s="186"/>
      <c r="AY608" s="186"/>
      <c r="AZ608" s="186"/>
      <c r="BA608" s="186"/>
      <c r="BB608" s="186"/>
      <c r="BC608" s="186"/>
      <c r="BD608" s="186"/>
      <c r="BE608" s="186"/>
      <c r="BF608" s="186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  <c r="AA609" s="186"/>
      <c r="AB609" s="186"/>
      <c r="AC609" s="186"/>
      <c r="AD609" s="186"/>
      <c r="AE609" s="186"/>
      <c r="AF609" s="186"/>
      <c r="AG609" s="186"/>
      <c r="AH609" s="186"/>
      <c r="AI609" s="186"/>
      <c r="AJ609" s="186"/>
      <c r="AK609" s="186"/>
      <c r="AL609" s="186"/>
      <c r="AM609" s="186"/>
      <c r="AN609" s="186"/>
      <c r="AO609" s="186"/>
      <c r="AP609" s="186"/>
      <c r="AQ609" s="186"/>
      <c r="AR609" s="186"/>
      <c r="AS609" s="186"/>
      <c r="AT609" s="186"/>
      <c r="AU609" s="186"/>
      <c r="AV609" s="186"/>
      <c r="AW609" s="186"/>
      <c r="AX609" s="186"/>
      <c r="AY609" s="186"/>
      <c r="AZ609" s="186"/>
      <c r="BA609" s="186"/>
      <c r="BB609" s="186"/>
      <c r="BC609" s="186"/>
      <c r="BD609" s="186"/>
      <c r="BE609" s="186"/>
      <c r="BF609" s="186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/>
      <c r="AN610" s="186"/>
      <c r="AO610" s="186"/>
      <c r="AP610" s="186"/>
      <c r="AQ610" s="186"/>
      <c r="AR610" s="186"/>
      <c r="AS610" s="186"/>
      <c r="AT610" s="186"/>
      <c r="AU610" s="186"/>
      <c r="AV610" s="186"/>
      <c r="AW610" s="186"/>
      <c r="AX610" s="186"/>
      <c r="AY610" s="186"/>
      <c r="AZ610" s="186"/>
      <c r="BA610" s="186"/>
      <c r="BB610" s="186"/>
      <c r="BC610" s="186"/>
      <c r="BD610" s="186"/>
      <c r="BE610" s="186"/>
      <c r="BF610" s="186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  <c r="AA611" s="186"/>
      <c r="AB611" s="186"/>
      <c r="AC611" s="186"/>
      <c r="AD611" s="186"/>
      <c r="AE611" s="186"/>
      <c r="AF611" s="186"/>
      <c r="AG611" s="186"/>
      <c r="AH611" s="186"/>
      <c r="AI611" s="186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186"/>
      <c r="AT611" s="186"/>
      <c r="AU611" s="186"/>
      <c r="AV611" s="186"/>
      <c r="AW611" s="186"/>
      <c r="AX611" s="186"/>
      <c r="AY611" s="186"/>
      <c r="AZ611" s="186"/>
      <c r="BA611" s="186"/>
      <c r="BB611" s="186"/>
      <c r="BC611" s="186"/>
      <c r="BD611" s="186"/>
      <c r="BE611" s="186"/>
      <c r="BF611" s="186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  <c r="AA612" s="186"/>
      <c r="AB612" s="186"/>
      <c r="AC612" s="186"/>
      <c r="AD612" s="186"/>
      <c r="AE612" s="186"/>
      <c r="AF612" s="186"/>
      <c r="AG612" s="186"/>
      <c r="AH612" s="186"/>
      <c r="AI612" s="186"/>
      <c r="AJ612" s="186"/>
      <c r="AK612" s="186"/>
      <c r="AL612" s="186"/>
      <c r="AM612" s="186"/>
      <c r="AN612" s="186"/>
      <c r="AO612" s="186"/>
      <c r="AP612" s="186"/>
      <c r="AQ612" s="186"/>
      <c r="AR612" s="186"/>
      <c r="AS612" s="186"/>
      <c r="AT612" s="186"/>
      <c r="AU612" s="186"/>
      <c r="AV612" s="186"/>
      <c r="AW612" s="186"/>
      <c r="AX612" s="186"/>
      <c r="AY612" s="186"/>
      <c r="AZ612" s="186"/>
      <c r="BA612" s="186"/>
      <c r="BB612" s="186"/>
      <c r="BC612" s="186"/>
      <c r="BD612" s="186"/>
      <c r="BE612" s="186"/>
      <c r="BF612" s="186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  <c r="AA613" s="186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186"/>
      <c r="AT613" s="186"/>
      <c r="AU613" s="186"/>
      <c r="AV613" s="186"/>
      <c r="AW613" s="186"/>
      <c r="AX613" s="186"/>
      <c r="AY613" s="186"/>
      <c r="AZ613" s="186"/>
      <c r="BA613" s="186"/>
      <c r="BB613" s="186"/>
      <c r="BC613" s="186"/>
      <c r="BD613" s="186"/>
      <c r="BE613" s="186"/>
      <c r="BF613" s="186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  <c r="AA614" s="186"/>
      <c r="AB614" s="186"/>
      <c r="AC614" s="186"/>
      <c r="AD614" s="186"/>
      <c r="AE614" s="186"/>
      <c r="AF614" s="186"/>
      <c r="AG614" s="186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186"/>
      <c r="AT614" s="186"/>
      <c r="AU614" s="186"/>
      <c r="AV614" s="186"/>
      <c r="AW614" s="186"/>
      <c r="AX614" s="186"/>
      <c r="AY614" s="186"/>
      <c r="AZ614" s="186"/>
      <c r="BA614" s="186"/>
      <c r="BB614" s="186"/>
      <c r="BC614" s="186"/>
      <c r="BD614" s="186"/>
      <c r="BE614" s="186"/>
      <c r="BF614" s="186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  <c r="AA615" s="186"/>
      <c r="AB615" s="186"/>
      <c r="AC615" s="186"/>
      <c r="AD615" s="186"/>
      <c r="AE615" s="186"/>
      <c r="AF615" s="186"/>
      <c r="AG615" s="186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186"/>
      <c r="AT615" s="186"/>
      <c r="AU615" s="186"/>
      <c r="AV615" s="186"/>
      <c r="AW615" s="186"/>
      <c r="AX615" s="186"/>
      <c r="AY615" s="186"/>
      <c r="AZ615" s="186"/>
      <c r="BA615" s="186"/>
      <c r="BB615" s="186"/>
      <c r="BC615" s="186"/>
      <c r="BD615" s="186"/>
      <c r="BE615" s="186"/>
      <c r="BF615" s="186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186"/>
      <c r="AT616" s="186"/>
      <c r="AU616" s="186"/>
      <c r="AV616" s="186"/>
      <c r="AW616" s="186"/>
      <c r="AX616" s="186"/>
      <c r="AY616" s="186"/>
      <c r="AZ616" s="186"/>
      <c r="BA616" s="186"/>
      <c r="BB616" s="186"/>
      <c r="BC616" s="186"/>
      <c r="BD616" s="186"/>
      <c r="BE616" s="186"/>
      <c r="BF616" s="186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  <c r="AA617" s="186"/>
      <c r="AB617" s="186"/>
      <c r="AC617" s="186"/>
      <c r="AD617" s="186"/>
      <c r="AE617" s="186"/>
      <c r="AF617" s="186"/>
      <c r="AG617" s="186"/>
      <c r="AH617" s="186"/>
      <c r="AI617" s="186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186"/>
      <c r="AT617" s="186"/>
      <c r="AU617" s="186"/>
      <c r="AV617" s="186"/>
      <c r="AW617" s="186"/>
      <c r="AX617" s="186"/>
      <c r="AY617" s="186"/>
      <c r="AZ617" s="186"/>
      <c r="BA617" s="186"/>
      <c r="BB617" s="186"/>
      <c r="BC617" s="186"/>
      <c r="BD617" s="186"/>
      <c r="BE617" s="186"/>
      <c r="BF617" s="186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6"/>
      <c r="AT618" s="186"/>
      <c r="AU618" s="186"/>
      <c r="AV618" s="186"/>
      <c r="AW618" s="186"/>
      <c r="AX618" s="186"/>
      <c r="AY618" s="186"/>
      <c r="AZ618" s="186"/>
      <c r="BA618" s="186"/>
      <c r="BB618" s="186"/>
      <c r="BC618" s="186"/>
      <c r="BD618" s="186"/>
      <c r="BE618" s="186"/>
      <c r="BF618" s="186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6"/>
      <c r="AT619" s="186"/>
      <c r="AU619" s="186"/>
      <c r="AV619" s="186"/>
      <c r="AW619" s="186"/>
      <c r="AX619" s="186"/>
      <c r="AY619" s="186"/>
      <c r="AZ619" s="186"/>
      <c r="BA619" s="186"/>
      <c r="BB619" s="186"/>
      <c r="BC619" s="186"/>
      <c r="BD619" s="186"/>
      <c r="BE619" s="186"/>
      <c r="BF619" s="186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  <c r="AA620" s="186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6"/>
      <c r="AT620" s="186"/>
      <c r="AU620" s="186"/>
      <c r="AV620" s="186"/>
      <c r="AW620" s="186"/>
      <c r="AX620" s="186"/>
      <c r="AY620" s="186"/>
      <c r="AZ620" s="186"/>
      <c r="BA620" s="186"/>
      <c r="BB620" s="186"/>
      <c r="BC620" s="186"/>
      <c r="BD620" s="186"/>
      <c r="BE620" s="186"/>
      <c r="BF620" s="186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  <c r="AA621" s="186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6"/>
      <c r="AT621" s="186"/>
      <c r="AU621" s="186"/>
      <c r="AV621" s="186"/>
      <c r="AW621" s="186"/>
      <c r="AX621" s="186"/>
      <c r="AY621" s="186"/>
      <c r="AZ621" s="186"/>
      <c r="BA621" s="186"/>
      <c r="BB621" s="186"/>
      <c r="BC621" s="186"/>
      <c r="BD621" s="186"/>
      <c r="BE621" s="186"/>
      <c r="BF621" s="186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6"/>
      <c r="AT622" s="186"/>
      <c r="AU622" s="186"/>
      <c r="AV622" s="186"/>
      <c r="AW622" s="186"/>
      <c r="AX622" s="186"/>
      <c r="AY622" s="186"/>
      <c r="AZ622" s="186"/>
      <c r="BA622" s="186"/>
      <c r="BB622" s="186"/>
      <c r="BC622" s="186"/>
      <c r="BD622" s="186"/>
      <c r="BE622" s="186"/>
      <c r="BF622" s="186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6"/>
      <c r="AG623" s="186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86"/>
      <c r="AT623" s="186"/>
      <c r="AU623" s="186"/>
      <c r="AV623" s="186"/>
      <c r="AW623" s="186"/>
      <c r="AX623" s="186"/>
      <c r="AY623" s="186"/>
      <c r="AZ623" s="186"/>
      <c r="BA623" s="186"/>
      <c r="BB623" s="186"/>
      <c r="BC623" s="186"/>
      <c r="BD623" s="186"/>
      <c r="BE623" s="186"/>
      <c r="BF623" s="186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6"/>
      <c r="AG624" s="186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86"/>
      <c r="AT624" s="186"/>
      <c r="AU624" s="186"/>
      <c r="AV624" s="186"/>
      <c r="AW624" s="186"/>
      <c r="AX624" s="186"/>
      <c r="AY624" s="186"/>
      <c r="AZ624" s="186"/>
      <c r="BA624" s="186"/>
      <c r="BB624" s="186"/>
      <c r="BC624" s="186"/>
      <c r="BD624" s="186"/>
      <c r="BE624" s="186"/>
      <c r="BF624" s="186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86"/>
      <c r="AT625" s="186"/>
      <c r="AU625" s="186"/>
      <c r="AV625" s="186"/>
      <c r="AW625" s="186"/>
      <c r="AX625" s="186"/>
      <c r="AY625" s="186"/>
      <c r="AZ625" s="186"/>
      <c r="BA625" s="186"/>
      <c r="BB625" s="186"/>
      <c r="BC625" s="186"/>
      <c r="BD625" s="186"/>
      <c r="BE625" s="186"/>
      <c r="BF625" s="186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  <c r="AA626" s="186"/>
      <c r="AB626" s="186"/>
      <c r="AC626" s="186"/>
      <c r="AD626" s="186"/>
      <c r="AE626" s="186"/>
      <c r="AF626" s="186"/>
      <c r="AG626" s="186"/>
      <c r="AH626" s="186"/>
      <c r="AI626" s="186"/>
      <c r="AJ626" s="186"/>
      <c r="AK626" s="186"/>
      <c r="AL626" s="186"/>
      <c r="AM626" s="186"/>
      <c r="AN626" s="186"/>
      <c r="AO626" s="186"/>
      <c r="AP626" s="186"/>
      <c r="AQ626" s="186"/>
      <c r="AR626" s="186"/>
      <c r="AS626" s="186"/>
      <c r="AT626" s="186"/>
      <c r="AU626" s="186"/>
      <c r="AV626" s="186"/>
      <c r="AW626" s="186"/>
      <c r="AX626" s="186"/>
      <c r="AY626" s="186"/>
      <c r="AZ626" s="186"/>
      <c r="BA626" s="186"/>
      <c r="BB626" s="186"/>
      <c r="BC626" s="186"/>
      <c r="BD626" s="186"/>
      <c r="BE626" s="186"/>
      <c r="BF626" s="186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  <c r="AA627" s="186"/>
      <c r="AB627" s="186"/>
      <c r="AC627" s="186"/>
      <c r="AD627" s="186"/>
      <c r="AE627" s="186"/>
      <c r="AF627" s="186"/>
      <c r="AG627" s="186"/>
      <c r="AH627" s="186"/>
      <c r="AI627" s="186"/>
      <c r="AJ627" s="186"/>
      <c r="AK627" s="186"/>
      <c r="AL627" s="186"/>
      <c r="AM627" s="186"/>
      <c r="AN627" s="186"/>
      <c r="AO627" s="186"/>
      <c r="AP627" s="186"/>
      <c r="AQ627" s="186"/>
      <c r="AR627" s="186"/>
      <c r="AS627" s="186"/>
      <c r="AT627" s="186"/>
      <c r="AU627" s="186"/>
      <c r="AV627" s="186"/>
      <c r="AW627" s="186"/>
      <c r="AX627" s="186"/>
      <c r="AY627" s="186"/>
      <c r="AZ627" s="186"/>
      <c r="BA627" s="186"/>
      <c r="BB627" s="186"/>
      <c r="BC627" s="186"/>
      <c r="BD627" s="186"/>
      <c r="BE627" s="186"/>
      <c r="BF627" s="186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  <c r="AA628" s="186"/>
      <c r="AB628" s="186"/>
      <c r="AC628" s="186"/>
      <c r="AD628" s="186"/>
      <c r="AE628" s="186"/>
      <c r="AF628" s="186"/>
      <c r="AG628" s="186"/>
      <c r="AH628" s="186"/>
      <c r="AI628" s="186"/>
      <c r="AJ628" s="186"/>
      <c r="AK628" s="186"/>
      <c r="AL628" s="186"/>
      <c r="AM628" s="186"/>
      <c r="AN628" s="186"/>
      <c r="AO628" s="186"/>
      <c r="AP628" s="186"/>
      <c r="AQ628" s="186"/>
      <c r="AR628" s="186"/>
      <c r="AS628" s="186"/>
      <c r="AT628" s="186"/>
      <c r="AU628" s="186"/>
      <c r="AV628" s="186"/>
      <c r="AW628" s="186"/>
      <c r="AX628" s="186"/>
      <c r="AY628" s="186"/>
      <c r="AZ628" s="186"/>
      <c r="BA628" s="186"/>
      <c r="BB628" s="186"/>
      <c r="BC628" s="186"/>
      <c r="BD628" s="186"/>
      <c r="BE628" s="186"/>
      <c r="BF628" s="186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  <c r="AA629" s="186"/>
      <c r="AB629" s="186"/>
      <c r="AC629" s="186"/>
      <c r="AD629" s="186"/>
      <c r="AE629" s="186"/>
      <c r="AF629" s="186"/>
      <c r="AG629" s="186"/>
      <c r="AH629" s="186"/>
      <c r="AI629" s="186"/>
      <c r="AJ629" s="186"/>
      <c r="AK629" s="186"/>
      <c r="AL629" s="186"/>
      <c r="AM629" s="186"/>
      <c r="AN629" s="186"/>
      <c r="AO629" s="186"/>
      <c r="AP629" s="186"/>
      <c r="AQ629" s="186"/>
      <c r="AR629" s="186"/>
      <c r="AS629" s="186"/>
      <c r="AT629" s="186"/>
      <c r="AU629" s="186"/>
      <c r="AV629" s="186"/>
      <c r="AW629" s="186"/>
      <c r="AX629" s="186"/>
      <c r="AY629" s="186"/>
      <c r="AZ629" s="186"/>
      <c r="BA629" s="186"/>
      <c r="BB629" s="186"/>
      <c r="BC629" s="186"/>
      <c r="BD629" s="186"/>
      <c r="BE629" s="186"/>
      <c r="BF629" s="186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  <c r="AA630" s="186"/>
      <c r="AB630" s="186"/>
      <c r="AC630" s="186"/>
      <c r="AD630" s="186"/>
      <c r="AE630" s="186"/>
      <c r="AF630" s="186"/>
      <c r="AG630" s="186"/>
      <c r="AH630" s="186"/>
      <c r="AI630" s="186"/>
      <c r="AJ630" s="186"/>
      <c r="AK630" s="186"/>
      <c r="AL630" s="186"/>
      <c r="AM630" s="186"/>
      <c r="AN630" s="186"/>
      <c r="AO630" s="186"/>
      <c r="AP630" s="186"/>
      <c r="AQ630" s="186"/>
      <c r="AR630" s="186"/>
      <c r="AS630" s="186"/>
      <c r="AT630" s="186"/>
      <c r="AU630" s="186"/>
      <c r="AV630" s="186"/>
      <c r="AW630" s="186"/>
      <c r="AX630" s="186"/>
      <c r="AY630" s="186"/>
      <c r="AZ630" s="186"/>
      <c r="BA630" s="186"/>
      <c r="BB630" s="186"/>
      <c r="BC630" s="186"/>
      <c r="BD630" s="186"/>
      <c r="BE630" s="186"/>
      <c r="BF630" s="186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  <c r="AA631" s="186"/>
      <c r="AB631" s="186"/>
      <c r="AC631" s="186"/>
      <c r="AD631" s="186"/>
      <c r="AE631" s="186"/>
      <c r="AF631" s="186"/>
      <c r="AG631" s="186"/>
      <c r="AH631" s="186"/>
      <c r="AI631" s="186"/>
      <c r="AJ631" s="186"/>
      <c r="AK631" s="186"/>
      <c r="AL631" s="186"/>
      <c r="AM631" s="186"/>
      <c r="AN631" s="186"/>
      <c r="AO631" s="186"/>
      <c r="AP631" s="186"/>
      <c r="AQ631" s="186"/>
      <c r="AR631" s="186"/>
      <c r="AS631" s="186"/>
      <c r="AT631" s="186"/>
      <c r="AU631" s="186"/>
      <c r="AV631" s="186"/>
      <c r="AW631" s="186"/>
      <c r="AX631" s="186"/>
      <c r="AY631" s="186"/>
      <c r="AZ631" s="186"/>
      <c r="BA631" s="186"/>
      <c r="BB631" s="186"/>
      <c r="BC631" s="186"/>
      <c r="BD631" s="186"/>
      <c r="BE631" s="186"/>
      <c r="BF631" s="186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  <c r="AA632" s="186"/>
      <c r="AB632" s="186"/>
      <c r="AC632" s="186"/>
      <c r="AD632" s="186"/>
      <c r="AE632" s="186"/>
      <c r="AF632" s="186"/>
      <c r="AG632" s="186"/>
      <c r="AH632" s="186"/>
      <c r="AI632" s="186"/>
      <c r="AJ632" s="186"/>
      <c r="AK632" s="186"/>
      <c r="AL632" s="186"/>
      <c r="AM632" s="186"/>
      <c r="AN632" s="186"/>
      <c r="AO632" s="186"/>
      <c r="AP632" s="186"/>
      <c r="AQ632" s="186"/>
      <c r="AR632" s="186"/>
      <c r="AS632" s="186"/>
      <c r="AT632" s="186"/>
      <c r="AU632" s="186"/>
      <c r="AV632" s="186"/>
      <c r="AW632" s="186"/>
      <c r="AX632" s="186"/>
      <c r="AY632" s="186"/>
      <c r="AZ632" s="186"/>
      <c r="BA632" s="186"/>
      <c r="BB632" s="186"/>
      <c r="BC632" s="186"/>
      <c r="BD632" s="186"/>
      <c r="BE632" s="186"/>
      <c r="BF632" s="186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  <c r="AA633" s="186"/>
      <c r="AB633" s="186"/>
      <c r="AC633" s="186"/>
      <c r="AD633" s="186"/>
      <c r="AE633" s="186"/>
      <c r="AF633" s="186"/>
      <c r="AG633" s="186"/>
      <c r="AH633" s="186"/>
      <c r="AI633" s="186"/>
      <c r="AJ633" s="186"/>
      <c r="AK633" s="186"/>
      <c r="AL633" s="186"/>
      <c r="AM633" s="186"/>
      <c r="AN633" s="186"/>
      <c r="AO633" s="186"/>
      <c r="AP633" s="186"/>
      <c r="AQ633" s="186"/>
      <c r="AR633" s="186"/>
      <c r="AS633" s="186"/>
      <c r="AT633" s="186"/>
      <c r="AU633" s="186"/>
      <c r="AV633" s="186"/>
      <c r="AW633" s="186"/>
      <c r="AX633" s="186"/>
      <c r="AY633" s="186"/>
      <c r="AZ633" s="186"/>
      <c r="BA633" s="186"/>
      <c r="BB633" s="186"/>
      <c r="BC633" s="186"/>
      <c r="BD633" s="186"/>
      <c r="BE633" s="186"/>
      <c r="BF633" s="186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  <c r="AA634" s="186"/>
      <c r="AB634" s="186"/>
      <c r="AC634" s="186"/>
      <c r="AD634" s="186"/>
      <c r="AE634" s="186"/>
      <c r="AF634" s="186"/>
      <c r="AG634" s="186"/>
      <c r="AH634" s="186"/>
      <c r="AI634" s="186"/>
      <c r="AJ634" s="186"/>
      <c r="AK634" s="186"/>
      <c r="AL634" s="186"/>
      <c r="AM634" s="186"/>
      <c r="AN634" s="186"/>
      <c r="AO634" s="186"/>
      <c r="AP634" s="186"/>
      <c r="AQ634" s="186"/>
      <c r="AR634" s="186"/>
      <c r="AS634" s="186"/>
      <c r="AT634" s="186"/>
      <c r="AU634" s="186"/>
      <c r="AV634" s="186"/>
      <c r="AW634" s="186"/>
      <c r="AX634" s="186"/>
      <c r="AY634" s="186"/>
      <c r="AZ634" s="186"/>
      <c r="BA634" s="186"/>
      <c r="BB634" s="186"/>
      <c r="BC634" s="186"/>
      <c r="BD634" s="186"/>
      <c r="BE634" s="186"/>
      <c r="BF634" s="186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  <c r="AA635" s="186"/>
      <c r="AB635" s="186"/>
      <c r="AC635" s="186"/>
      <c r="AD635" s="186"/>
      <c r="AE635" s="186"/>
      <c r="AF635" s="186"/>
      <c r="AG635" s="186"/>
      <c r="AH635" s="186"/>
      <c r="AI635" s="186"/>
      <c r="AJ635" s="186"/>
      <c r="AK635" s="186"/>
      <c r="AL635" s="186"/>
      <c r="AM635" s="186"/>
      <c r="AN635" s="186"/>
      <c r="AO635" s="186"/>
      <c r="AP635" s="186"/>
      <c r="AQ635" s="186"/>
      <c r="AR635" s="186"/>
      <c r="AS635" s="186"/>
      <c r="AT635" s="186"/>
      <c r="AU635" s="186"/>
      <c r="AV635" s="186"/>
      <c r="AW635" s="186"/>
      <c r="AX635" s="186"/>
      <c r="AY635" s="186"/>
      <c r="AZ635" s="186"/>
      <c r="BA635" s="186"/>
      <c r="BB635" s="186"/>
      <c r="BC635" s="186"/>
      <c r="BD635" s="186"/>
      <c r="BE635" s="186"/>
      <c r="BF635" s="186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  <c r="AA636" s="186"/>
      <c r="AB636" s="186"/>
      <c r="AC636" s="186"/>
      <c r="AD636" s="186"/>
      <c r="AE636" s="186"/>
      <c r="AF636" s="186"/>
      <c r="AG636" s="186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6"/>
      <c r="AT636" s="186"/>
      <c r="AU636" s="186"/>
      <c r="AV636" s="186"/>
      <c r="AW636" s="186"/>
      <c r="AX636" s="186"/>
      <c r="AY636" s="186"/>
      <c r="AZ636" s="186"/>
      <c r="BA636" s="186"/>
      <c r="BB636" s="186"/>
      <c r="BC636" s="186"/>
      <c r="BD636" s="186"/>
      <c r="BE636" s="186"/>
      <c r="BF636" s="186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6"/>
      <c r="AT637" s="186"/>
      <c r="AU637" s="186"/>
      <c r="AV637" s="186"/>
      <c r="AW637" s="186"/>
      <c r="AX637" s="186"/>
      <c r="AY637" s="186"/>
      <c r="AZ637" s="186"/>
      <c r="BA637" s="186"/>
      <c r="BB637" s="186"/>
      <c r="BC637" s="186"/>
      <c r="BD637" s="186"/>
      <c r="BE637" s="186"/>
      <c r="BF637" s="186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6"/>
      <c r="AT638" s="186"/>
      <c r="AU638" s="186"/>
      <c r="AV638" s="186"/>
      <c r="AW638" s="186"/>
      <c r="AX638" s="186"/>
      <c r="AY638" s="186"/>
      <c r="AZ638" s="186"/>
      <c r="BA638" s="186"/>
      <c r="BB638" s="186"/>
      <c r="BC638" s="186"/>
      <c r="BD638" s="186"/>
      <c r="BE638" s="186"/>
      <c r="BF638" s="186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6"/>
      <c r="AT639" s="186"/>
      <c r="AU639" s="186"/>
      <c r="AV639" s="186"/>
      <c r="AW639" s="186"/>
      <c r="AX639" s="186"/>
      <c r="AY639" s="186"/>
      <c r="AZ639" s="186"/>
      <c r="BA639" s="186"/>
      <c r="BB639" s="186"/>
      <c r="BC639" s="186"/>
      <c r="BD639" s="186"/>
      <c r="BE639" s="186"/>
      <c r="BF639" s="186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6"/>
      <c r="AT640" s="186"/>
      <c r="AU640" s="186"/>
      <c r="AV640" s="186"/>
      <c r="AW640" s="186"/>
      <c r="AX640" s="186"/>
      <c r="AY640" s="186"/>
      <c r="AZ640" s="186"/>
      <c r="BA640" s="186"/>
      <c r="BB640" s="186"/>
      <c r="BC640" s="186"/>
      <c r="BD640" s="186"/>
      <c r="BE640" s="186"/>
      <c r="BF640" s="186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86"/>
      <c r="AT641" s="186"/>
      <c r="AU641" s="186"/>
      <c r="AV641" s="186"/>
      <c r="AW641" s="186"/>
      <c r="AX641" s="186"/>
      <c r="AY641" s="186"/>
      <c r="AZ641" s="186"/>
      <c r="BA641" s="186"/>
      <c r="BB641" s="186"/>
      <c r="BC641" s="186"/>
      <c r="BD641" s="186"/>
      <c r="BE641" s="186"/>
      <c r="BF641" s="186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86"/>
      <c r="AT642" s="186"/>
      <c r="AU642" s="186"/>
      <c r="AV642" s="186"/>
      <c r="AW642" s="186"/>
      <c r="AX642" s="186"/>
      <c r="AY642" s="186"/>
      <c r="AZ642" s="186"/>
      <c r="BA642" s="186"/>
      <c r="BB642" s="186"/>
      <c r="BC642" s="186"/>
      <c r="BD642" s="186"/>
      <c r="BE642" s="186"/>
      <c r="BF642" s="18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8" t="s">
        <v>805</v>
      </c>
      <c r="B1" s="147" t="str">
        <f>Template!B19:K22 = integer</f>
        <v>#VALUE!</v>
      </c>
      <c r="C1" s="5" t="str">
        <f>'Template'!B19:K22 &lt;= </f>
        <v>#ERROR!</v>
      </c>
      <c r="D1" s="148" t="s">
        <v>806</v>
      </c>
      <c r="I1" s="159">
        <v>1.0</v>
      </c>
    </row>
    <row r="2">
      <c r="A2" s="147" t="str">
        <f>Max(#REF!)</f>
        <v>#REF!</v>
      </c>
      <c r="B2" s="16">
        <f>Max(Template!C16)</f>
        <v>74689.8869</v>
      </c>
    </row>
    <row r="3">
      <c r="A3" s="147" t="str">
        <f>Template!H98:H100</f>
        <v>#VALUE!</v>
      </c>
      <c r="B3" s="216">
        <f>Template!B34:K34</f>
        <v>2</v>
      </c>
    </row>
    <row r="4">
      <c r="A4" s="148" t="s">
        <v>807</v>
      </c>
      <c r="B4" s="148" t="s">
        <v>808</v>
      </c>
    </row>
    <row r="5">
      <c r="A5" s="5" t="s">
        <v>809</v>
      </c>
    </row>
    <row r="6">
      <c r="A6" s="148" t="s">
        <v>810</v>
      </c>
      <c r="B6" s="148" t="s">
        <v>811</v>
      </c>
    </row>
    <row r="7">
      <c r="A7" s="147" t="str">
        <f>Template!H98:H100 &lt;= 2</f>
        <v>#VALUE!</v>
      </c>
      <c r="B7" s="147" t="str">
        <f>Template!B33:K36 &lt;= 2</f>
        <v>#VALUE!</v>
      </c>
    </row>
    <row r="8">
      <c r="A8" s="147" t="str">
        <f>Template!H98:H100 &lt;= #REF!</f>
        <v>#VALUE!</v>
      </c>
      <c r="B8" s="147" t="str">
        <f>Template!B33:L36 &lt;= Template!B39:L42</f>
        <v>#VALUE!</v>
      </c>
    </row>
    <row r="9">
      <c r="A9" s="147" t="str">
        <f>'Template'!H17:H26 &lt;= </f>
        <v>#ERROR!</v>
      </c>
      <c r="B9" s="147" t="str">
        <f>'Template'!B33:K36 &lt;= </f>
        <v>#ERROR!</v>
      </c>
    </row>
    <row r="10">
      <c r="A10" s="147" t="str">
        <f>Template!P99 &lt;= #REF!</f>
        <v>#REF!</v>
      </c>
      <c r="B10" s="147" t="b">
        <f>Template!P99 &lt;= Template!B51</f>
        <v>0</v>
      </c>
    </row>
    <row r="11">
      <c r="B11" s="147" t="b">
        <f>Template!P137 &lt;= Template!B52</f>
        <v>0</v>
      </c>
    </row>
    <row r="12">
      <c r="B12" s="147" t="b">
        <f>Template!P182 &lt;= Template!B53</f>
        <v>0</v>
      </c>
    </row>
    <row r="13">
      <c r="B13" s="147" t="b">
        <f>Template!P229 &lt;= Template!B54</f>
        <v>0</v>
      </c>
    </row>
  </sheetData>
  <drawing r:id="rId1"/>
</worksheet>
</file>