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fileSharing readOnlyRecommended="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5A7C9C5C-F6E6-44C9-93AE-8D817ACDCCCB}" xr6:coauthVersionLast="47" xr6:coauthVersionMax="47" xr10:uidLastSave="{00000000-0000-0000-0000-000000000000}"/>
  <bookViews>
    <workbookView xWindow="23430" yWindow="3015" windowWidth="25605" windowHeight="14280" tabRatio="780" xr2:uid="{17BE22DC-B925-44D4-BE55-7574169B4260}"/>
  </bookViews>
  <sheets>
    <sheet name="Main" sheetId="7" r:id="rId1"/>
    <sheet name="1-Eula" sheetId="9" r:id="rId2"/>
    <sheet name="1-Raiden" sheetId="10" r:id="rId3"/>
    <sheet name="1-Lisa" sheetId="11" r:id="rId4"/>
    <sheet name="1-Diona" sheetId="12" r:id="rId5"/>
    <sheet name="2-Eula" sheetId="13" r:id="rId6"/>
    <sheet name="2-Fischl" sheetId="16" r:id="rId7"/>
    <sheet name="2-Rosaria" sheetId="15" r:id="rId8"/>
    <sheet name="2-Diona" sheetId="14" r:id="rId9"/>
    <sheet name="3-Eula" sheetId="17" r:id="rId10"/>
    <sheet name="3-Raiden" sheetId="18" r:id="rId11"/>
    <sheet name="3-Beidou" sheetId="20" r:id="rId12"/>
    <sheet name="3-Diona" sheetId="19" r:id="rId13"/>
    <sheet name="4-Eula" sheetId="25" r:id="rId14"/>
    <sheet name="4-Fischl" sheetId="27" r:id="rId15"/>
    <sheet name="4-Beidou" sheetId="26" r:id="rId16"/>
    <sheet name="4-Diona" sheetId="28" r:id="rId17"/>
    <sheet name="5-Eula" sheetId="21" r:id="rId18"/>
    <sheet name="5-Raiden" sheetId="22" r:id="rId19"/>
    <sheet name="5-Rosaria" sheetId="32" r:id="rId20"/>
    <sheet name="5-Diona" sheetId="33" r:id="rId21"/>
    <sheet name="6-Eula" sheetId="29" r:id="rId22"/>
    <sheet name="6-Raiden" sheetId="30" r:id="rId23"/>
    <sheet name="6-Rosaria" sheetId="24" r:id="rId24"/>
    <sheet name="6-Zhongli" sheetId="31" r:id="rId25"/>
    <sheet name="7-Eula" sheetId="34" r:id="rId26"/>
    <sheet name="7-Raiden" sheetId="35" r:id="rId27"/>
    <sheet name="7-Rosaria" sheetId="36" r:id="rId28"/>
    <sheet name="7-Qiqi" sheetId="37" r:id="rId29"/>
    <sheet name="8-Eula" sheetId="38" r:id="rId30"/>
    <sheet name="8-Raiden" sheetId="39" r:id="rId31"/>
    <sheet name="8-Rosaria" sheetId="40" r:id="rId32"/>
    <sheet name="8-Qiqi" sheetId="41" r:id="rId33"/>
    <sheet name="template" sheetId="6" r:id="rId34"/>
    <sheet name="backup" sheetId="4" r:id="rId35"/>
  </sheets>
  <definedNames>
    <definedName name="_xlnm._FilterDatabase" localSheetId="0" hidden="1">Main!$P$14:$W$22</definedName>
    <definedName name="solver_adj" localSheetId="4" hidden="1">'1-Diona'!$D$90:$D$96</definedName>
    <definedName name="solver_adj" localSheetId="1" hidden="1">'1-Eula'!$D$90:$D$96</definedName>
    <definedName name="solver_adj" localSheetId="3" hidden="1">'1-Lisa'!$D$90:$D$96</definedName>
    <definedName name="solver_adj" localSheetId="2" hidden="1">'1-Raiden'!$D$90:$D$96</definedName>
    <definedName name="solver_adj" localSheetId="8" hidden="1">'2-Diona'!$D$90:$D$96</definedName>
    <definedName name="solver_adj" localSheetId="5" hidden="1">'2-Eula'!$D$90:$D$96</definedName>
    <definedName name="solver_adj" localSheetId="6" hidden="1">'2-Fischl'!$D$90:$D$96</definedName>
    <definedName name="solver_adj" localSheetId="7" hidden="1">'2-Rosaria'!$D$90:$D$96</definedName>
    <definedName name="solver_adj" localSheetId="11" hidden="1">'3-Beidou'!$D$90:$D$96</definedName>
    <definedName name="solver_adj" localSheetId="12" hidden="1">'3-Diona'!$D$90:$D$96</definedName>
    <definedName name="solver_adj" localSheetId="9" hidden="1">'3-Eula'!$D$90:$D$96</definedName>
    <definedName name="solver_adj" localSheetId="10" hidden="1">'3-Raiden'!$D$90:$D$96</definedName>
    <definedName name="solver_adj" localSheetId="15" hidden="1">'4-Beidou'!$D$90:$D$96</definedName>
    <definedName name="solver_adj" localSheetId="16" hidden="1">'4-Diona'!$D$90:$D$96</definedName>
    <definedName name="solver_adj" localSheetId="13" hidden="1">'4-Eula'!$D$90:$D$96</definedName>
    <definedName name="solver_adj" localSheetId="14" hidden="1">'4-Fischl'!$D$90:$D$96</definedName>
    <definedName name="solver_adj" localSheetId="20" hidden="1">'5-Diona'!$D$90:$D$96</definedName>
    <definedName name="solver_adj" localSheetId="17" hidden="1">'5-Eula'!$D$90:$D$96</definedName>
    <definedName name="solver_adj" localSheetId="18" hidden="1">'5-Raiden'!$D$90:$D$96</definedName>
    <definedName name="solver_adj" localSheetId="19" hidden="1">'5-Rosaria'!$D$90:$D$96</definedName>
    <definedName name="solver_adj" localSheetId="21" hidden="1">'6-Eula'!$D$90:$D$96</definedName>
    <definedName name="solver_adj" localSheetId="22" hidden="1">'6-Raiden'!$D$90:$D$96</definedName>
    <definedName name="solver_adj" localSheetId="23" hidden="1">'6-Rosaria'!$D$90:$D$96</definedName>
    <definedName name="solver_adj" localSheetId="24" hidden="1">'6-Zhongli'!$D$90:$D$96</definedName>
    <definedName name="solver_adj" localSheetId="25" hidden="1">'7-Eula'!$D$90:$D$96</definedName>
    <definedName name="solver_adj" localSheetId="28" hidden="1">'7-Qiqi'!$D$90:$D$96</definedName>
    <definedName name="solver_adj" localSheetId="26" hidden="1">'7-Raiden'!$D$90:$D$96</definedName>
    <definedName name="solver_adj" localSheetId="27" hidden="1">'7-Rosaria'!$D$90:$D$96</definedName>
    <definedName name="solver_adj" localSheetId="29" hidden="1">'8-Eula'!$D$90:$D$96</definedName>
    <definedName name="solver_adj" localSheetId="32" hidden="1">'8-Qiqi'!$D$90:$D$96</definedName>
    <definedName name="solver_adj" localSheetId="30" hidden="1">'8-Raiden'!$D$90:$D$96</definedName>
    <definedName name="solver_adj" localSheetId="31" hidden="1">'8-Rosaria'!$D$90:$D$96</definedName>
    <definedName name="solver_adj" localSheetId="34" hidden="1">backup!$D$90:$D$96</definedName>
    <definedName name="solver_adj" localSheetId="33" hidden="1">template!$D$90:$D$96</definedName>
    <definedName name="solver_cvg" localSheetId="4" hidden="1">0.0001</definedName>
    <definedName name="solver_cvg" localSheetId="1" hidden="1">0.0001</definedName>
    <definedName name="solver_cvg" localSheetId="3" hidden="1">0.0001</definedName>
    <definedName name="solver_cvg" localSheetId="2" hidden="1">0.0001</definedName>
    <definedName name="solver_cvg" localSheetId="8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11" hidden="1">0.0001</definedName>
    <definedName name="solver_cvg" localSheetId="12" hidden="1">0.0001</definedName>
    <definedName name="solver_cvg" localSheetId="9" hidden="1">0.0001</definedName>
    <definedName name="solver_cvg" localSheetId="10" hidden="1">0.0001</definedName>
    <definedName name="solver_cvg" localSheetId="15" hidden="1">0.0001</definedName>
    <definedName name="solver_cvg" localSheetId="16" hidden="1">0.0001</definedName>
    <definedName name="solver_cvg" localSheetId="13" hidden="1">0.0001</definedName>
    <definedName name="solver_cvg" localSheetId="14" hidden="1">0.0001</definedName>
    <definedName name="solver_cvg" localSheetId="20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8" hidden="1">0.0001</definedName>
    <definedName name="solver_cvg" localSheetId="26" hidden="1">0.0001</definedName>
    <definedName name="solver_cvg" localSheetId="27" hidden="1">0.0001</definedName>
    <definedName name="solver_cvg" localSheetId="29" hidden="1">0.0001</definedName>
    <definedName name="solver_cvg" localSheetId="32" hidden="1">0.0001</definedName>
    <definedName name="solver_cvg" localSheetId="30" hidden="1">0.0001</definedName>
    <definedName name="solver_cvg" localSheetId="31" hidden="1">0.0001</definedName>
    <definedName name="solver_cvg" localSheetId="34" hidden="1">0.0001</definedName>
    <definedName name="solver_cvg" localSheetId="33" hidden="1">0.0001</definedName>
    <definedName name="solver_drv" localSheetId="4" hidden="1">2</definedName>
    <definedName name="solver_drv" localSheetId="1" hidden="1">2</definedName>
    <definedName name="solver_drv" localSheetId="3" hidden="1">2</definedName>
    <definedName name="solver_drv" localSheetId="2" hidden="1">2</definedName>
    <definedName name="solver_drv" localSheetId="8" hidden="1">2</definedName>
    <definedName name="solver_drv" localSheetId="5" hidden="1">2</definedName>
    <definedName name="solver_drv" localSheetId="6" hidden="1">2</definedName>
    <definedName name="solver_drv" localSheetId="7" hidden="1">2</definedName>
    <definedName name="solver_drv" localSheetId="11" hidden="1">2</definedName>
    <definedName name="solver_drv" localSheetId="12" hidden="1">2</definedName>
    <definedName name="solver_drv" localSheetId="9" hidden="1">2</definedName>
    <definedName name="solver_drv" localSheetId="10" hidden="1">2</definedName>
    <definedName name="solver_drv" localSheetId="15" hidden="1">2</definedName>
    <definedName name="solver_drv" localSheetId="16" hidden="1">2</definedName>
    <definedName name="solver_drv" localSheetId="13" hidden="1">2</definedName>
    <definedName name="solver_drv" localSheetId="14" hidden="1">2</definedName>
    <definedName name="solver_drv" localSheetId="20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1" hidden="1">2</definedName>
    <definedName name="solver_drv" localSheetId="22" hidden="1">2</definedName>
    <definedName name="solver_drv" localSheetId="23" hidden="1">2</definedName>
    <definedName name="solver_drv" localSheetId="24" hidden="1">2</definedName>
    <definedName name="solver_drv" localSheetId="25" hidden="1">2</definedName>
    <definedName name="solver_drv" localSheetId="28" hidden="1">2</definedName>
    <definedName name="solver_drv" localSheetId="26" hidden="1">2</definedName>
    <definedName name="solver_drv" localSheetId="27" hidden="1">2</definedName>
    <definedName name="solver_drv" localSheetId="29" hidden="1">2</definedName>
    <definedName name="solver_drv" localSheetId="32" hidden="1">2</definedName>
    <definedName name="solver_drv" localSheetId="30" hidden="1">2</definedName>
    <definedName name="solver_drv" localSheetId="31" hidden="1">2</definedName>
    <definedName name="solver_drv" localSheetId="34" hidden="1">2</definedName>
    <definedName name="solver_drv" localSheetId="33" hidden="1">2</definedName>
    <definedName name="solver_eng" localSheetId="4" hidden="1">1</definedName>
    <definedName name="solver_eng" localSheetId="1" hidden="1">1</definedName>
    <definedName name="solver_eng" localSheetId="3" hidden="1">1</definedName>
    <definedName name="solver_eng" localSheetId="2" hidden="1">1</definedName>
    <definedName name="solver_eng" localSheetId="8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11" hidden="1">1</definedName>
    <definedName name="solver_eng" localSheetId="12" hidden="1">1</definedName>
    <definedName name="solver_eng" localSheetId="9" hidden="1">1</definedName>
    <definedName name="solver_eng" localSheetId="10" hidden="1">1</definedName>
    <definedName name="solver_eng" localSheetId="15" hidden="1">1</definedName>
    <definedName name="solver_eng" localSheetId="16" hidden="1">1</definedName>
    <definedName name="solver_eng" localSheetId="13" hidden="1">1</definedName>
    <definedName name="solver_eng" localSheetId="14" hidden="1">1</definedName>
    <definedName name="solver_eng" localSheetId="20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8" hidden="1">1</definedName>
    <definedName name="solver_eng" localSheetId="26" hidden="1">1</definedName>
    <definedName name="solver_eng" localSheetId="27" hidden="1">1</definedName>
    <definedName name="solver_eng" localSheetId="29" hidden="1">1</definedName>
    <definedName name="solver_eng" localSheetId="32" hidden="1">1</definedName>
    <definedName name="solver_eng" localSheetId="30" hidden="1">1</definedName>
    <definedName name="solver_eng" localSheetId="31" hidden="1">1</definedName>
    <definedName name="solver_eng" localSheetId="34" hidden="1">1</definedName>
    <definedName name="solver_eng" localSheetId="33" hidden="1">1</definedName>
    <definedName name="solver_est" localSheetId="4" hidden="1">1</definedName>
    <definedName name="solver_est" localSheetId="1" hidden="1">1</definedName>
    <definedName name="solver_est" localSheetId="3" hidden="1">1</definedName>
    <definedName name="solver_est" localSheetId="2" hidden="1">1</definedName>
    <definedName name="solver_est" localSheetId="8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11" hidden="1">1</definedName>
    <definedName name="solver_est" localSheetId="12" hidden="1">1</definedName>
    <definedName name="solver_est" localSheetId="9" hidden="1">1</definedName>
    <definedName name="solver_est" localSheetId="10" hidden="1">1</definedName>
    <definedName name="solver_est" localSheetId="15" hidden="1">1</definedName>
    <definedName name="solver_est" localSheetId="16" hidden="1">1</definedName>
    <definedName name="solver_est" localSheetId="13" hidden="1">1</definedName>
    <definedName name="solver_est" localSheetId="14" hidden="1">1</definedName>
    <definedName name="solver_est" localSheetId="20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8" hidden="1">1</definedName>
    <definedName name="solver_est" localSheetId="26" hidden="1">1</definedName>
    <definedName name="solver_est" localSheetId="27" hidden="1">1</definedName>
    <definedName name="solver_est" localSheetId="29" hidden="1">1</definedName>
    <definedName name="solver_est" localSheetId="32" hidden="1">1</definedName>
    <definedName name="solver_est" localSheetId="30" hidden="1">1</definedName>
    <definedName name="solver_est" localSheetId="31" hidden="1">1</definedName>
    <definedName name="solver_est" localSheetId="34" hidden="1">1</definedName>
    <definedName name="solver_est" localSheetId="33" hidden="1">1</definedName>
    <definedName name="solver_itr" localSheetId="4" hidden="1">2147483647</definedName>
    <definedName name="solver_itr" localSheetId="1" hidden="1">2147483647</definedName>
    <definedName name="solver_itr" localSheetId="3" hidden="1">2147483647</definedName>
    <definedName name="solver_itr" localSheetId="2" hidden="1">2147483647</definedName>
    <definedName name="solver_itr" localSheetId="8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11" hidden="1">2147483647</definedName>
    <definedName name="solver_itr" localSheetId="12" hidden="1">2147483647</definedName>
    <definedName name="solver_itr" localSheetId="9" hidden="1">2147483647</definedName>
    <definedName name="solver_itr" localSheetId="10" hidden="1">2147483647</definedName>
    <definedName name="solver_itr" localSheetId="15" hidden="1">2147483647</definedName>
    <definedName name="solver_itr" localSheetId="16" hidden="1">2147483647</definedName>
    <definedName name="solver_itr" localSheetId="13" hidden="1">2147483647</definedName>
    <definedName name="solver_itr" localSheetId="14" hidden="1">2147483647</definedName>
    <definedName name="solver_itr" localSheetId="20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8" hidden="1">2147483647</definedName>
    <definedName name="solver_itr" localSheetId="26" hidden="1">2147483647</definedName>
    <definedName name="solver_itr" localSheetId="27" hidden="1">2147483647</definedName>
    <definedName name="solver_itr" localSheetId="29" hidden="1">2147483647</definedName>
    <definedName name="solver_itr" localSheetId="32" hidden="1">2147483647</definedName>
    <definedName name="solver_itr" localSheetId="30" hidden="1">2147483647</definedName>
    <definedName name="solver_itr" localSheetId="31" hidden="1">2147483647</definedName>
    <definedName name="solver_itr" localSheetId="34" hidden="1">2147483647</definedName>
    <definedName name="solver_itr" localSheetId="33" hidden="1">2147483647</definedName>
    <definedName name="solver_lhs1" localSheetId="4" hidden="1">'1-Diona'!$C$86</definedName>
    <definedName name="solver_lhs1" localSheetId="1" hidden="1">'1-Eula'!$C$86</definedName>
    <definedName name="solver_lhs1" localSheetId="3" hidden="1">'1-Lisa'!$C$86</definedName>
    <definedName name="solver_lhs1" localSheetId="2" hidden="1">'1-Raiden'!$C$86</definedName>
    <definedName name="solver_lhs1" localSheetId="8" hidden="1">'2-Diona'!$C$86</definedName>
    <definedName name="solver_lhs1" localSheetId="5" hidden="1">'2-Eula'!$C$86</definedName>
    <definedName name="solver_lhs1" localSheetId="6" hidden="1">'2-Fischl'!$C$86</definedName>
    <definedName name="solver_lhs1" localSheetId="7" hidden="1">'2-Rosaria'!$C$86</definedName>
    <definedName name="solver_lhs1" localSheetId="11" hidden="1">'3-Beidou'!$C$86</definedName>
    <definedName name="solver_lhs1" localSheetId="12" hidden="1">'3-Diona'!$C$86</definedName>
    <definedName name="solver_lhs1" localSheetId="9" hidden="1">'3-Eula'!$C$86</definedName>
    <definedName name="solver_lhs1" localSheetId="10" hidden="1">'3-Raiden'!$C$86</definedName>
    <definedName name="solver_lhs1" localSheetId="15" hidden="1">'4-Beidou'!$C$86</definedName>
    <definedName name="solver_lhs1" localSheetId="16" hidden="1">'4-Diona'!$C$86</definedName>
    <definedName name="solver_lhs1" localSheetId="13" hidden="1">'4-Eula'!$C$86</definedName>
    <definedName name="solver_lhs1" localSheetId="14" hidden="1">'4-Fischl'!$C$86</definedName>
    <definedName name="solver_lhs1" localSheetId="20" hidden="1">'5-Diona'!$C$86</definedName>
    <definedName name="solver_lhs1" localSheetId="17" hidden="1">'5-Eula'!$C$86</definedName>
    <definedName name="solver_lhs1" localSheetId="18" hidden="1">'5-Raiden'!$C$86</definedName>
    <definedName name="solver_lhs1" localSheetId="19" hidden="1">'5-Rosaria'!$C$86</definedName>
    <definedName name="solver_lhs1" localSheetId="21" hidden="1">'6-Eula'!$C$86</definedName>
    <definedName name="solver_lhs1" localSheetId="22" hidden="1">'6-Raiden'!$C$86</definedName>
    <definedName name="solver_lhs1" localSheetId="23" hidden="1">'6-Rosaria'!$C$86</definedName>
    <definedName name="solver_lhs1" localSheetId="24" hidden="1">'6-Zhongli'!$C$86</definedName>
    <definedName name="solver_lhs1" localSheetId="25" hidden="1">'7-Eula'!$C$86</definedName>
    <definedName name="solver_lhs1" localSheetId="28" hidden="1">'7-Qiqi'!$C$86</definedName>
    <definedName name="solver_lhs1" localSheetId="26" hidden="1">'7-Raiden'!$C$86</definedName>
    <definedName name="solver_lhs1" localSheetId="27" hidden="1">'7-Rosaria'!$C$86</definedName>
    <definedName name="solver_lhs1" localSheetId="29" hidden="1">'8-Eula'!$C$86</definedName>
    <definedName name="solver_lhs1" localSheetId="32" hidden="1">'8-Qiqi'!$C$86</definedName>
    <definedName name="solver_lhs1" localSheetId="30" hidden="1">'8-Raiden'!$C$86</definedName>
    <definedName name="solver_lhs1" localSheetId="31" hidden="1">'8-Rosaria'!$C$86</definedName>
    <definedName name="solver_lhs1" localSheetId="34" hidden="1">backup!$C$86</definedName>
    <definedName name="solver_lhs1" localSheetId="33" hidden="1">template!$C$86</definedName>
    <definedName name="solver_lhs10" localSheetId="4" hidden="1">'1-Diona'!#REF!</definedName>
    <definedName name="solver_lhs10" localSheetId="1" hidden="1">'1-Eula'!#REF!</definedName>
    <definedName name="solver_lhs10" localSheetId="3" hidden="1">'1-Lisa'!#REF!</definedName>
    <definedName name="solver_lhs10" localSheetId="2" hidden="1">'1-Raiden'!#REF!</definedName>
    <definedName name="solver_lhs10" localSheetId="8" hidden="1">'2-Diona'!#REF!</definedName>
    <definedName name="solver_lhs10" localSheetId="5" hidden="1">'2-Eula'!#REF!</definedName>
    <definedName name="solver_lhs10" localSheetId="6" hidden="1">'2-Fischl'!#REF!</definedName>
    <definedName name="solver_lhs10" localSheetId="7" hidden="1">'2-Rosaria'!#REF!</definedName>
    <definedName name="solver_lhs10" localSheetId="11" hidden="1">'3-Beidou'!#REF!</definedName>
    <definedName name="solver_lhs10" localSheetId="12" hidden="1">'3-Diona'!#REF!</definedName>
    <definedName name="solver_lhs10" localSheetId="9" hidden="1">'3-Eula'!#REF!</definedName>
    <definedName name="solver_lhs10" localSheetId="10" hidden="1">'3-Raiden'!#REF!</definedName>
    <definedName name="solver_lhs10" localSheetId="15" hidden="1">'4-Beidou'!#REF!</definedName>
    <definedName name="solver_lhs10" localSheetId="16" hidden="1">'4-Diona'!#REF!</definedName>
    <definedName name="solver_lhs10" localSheetId="13" hidden="1">'4-Eula'!#REF!</definedName>
    <definedName name="solver_lhs10" localSheetId="14" hidden="1">'4-Fischl'!#REF!</definedName>
    <definedName name="solver_lhs10" localSheetId="20" hidden="1">'5-Diona'!#REF!</definedName>
    <definedName name="solver_lhs10" localSheetId="17" hidden="1">'5-Eula'!#REF!</definedName>
    <definedName name="solver_lhs10" localSheetId="18" hidden="1">'5-Raiden'!#REF!</definedName>
    <definedName name="solver_lhs10" localSheetId="19" hidden="1">'5-Rosaria'!#REF!</definedName>
    <definedName name="solver_lhs10" localSheetId="21" hidden="1">'6-Eula'!#REF!</definedName>
    <definedName name="solver_lhs10" localSheetId="22" hidden="1">'6-Raiden'!#REF!</definedName>
    <definedName name="solver_lhs10" localSheetId="23" hidden="1">'6-Rosaria'!#REF!</definedName>
    <definedName name="solver_lhs10" localSheetId="24" hidden="1">'6-Zhongli'!#REF!</definedName>
    <definedName name="solver_lhs10" localSheetId="25" hidden="1">'7-Eula'!#REF!</definedName>
    <definedName name="solver_lhs10" localSheetId="28" hidden="1">'7-Qiqi'!#REF!</definedName>
    <definedName name="solver_lhs10" localSheetId="26" hidden="1">'7-Raiden'!#REF!</definedName>
    <definedName name="solver_lhs10" localSheetId="27" hidden="1">'7-Rosaria'!#REF!</definedName>
    <definedName name="solver_lhs10" localSheetId="29" hidden="1">'8-Eula'!#REF!</definedName>
    <definedName name="solver_lhs10" localSheetId="32" hidden="1">'8-Qiqi'!#REF!</definedName>
    <definedName name="solver_lhs10" localSheetId="30" hidden="1">'8-Raiden'!#REF!</definedName>
    <definedName name="solver_lhs10" localSheetId="31" hidden="1">'8-Rosaria'!#REF!</definedName>
    <definedName name="solver_lhs10" localSheetId="34" hidden="1">backup!#REF!</definedName>
    <definedName name="solver_lhs10" localSheetId="33" hidden="1">template!#REF!</definedName>
    <definedName name="solver_lhs2" localSheetId="4" hidden="1">'1-Diona'!$D$19</definedName>
    <definedName name="solver_lhs2" localSheetId="1" hidden="1">'1-Eula'!$D$19</definedName>
    <definedName name="solver_lhs2" localSheetId="3" hidden="1">'1-Lisa'!$D$19</definedName>
    <definedName name="solver_lhs2" localSheetId="2" hidden="1">'1-Raiden'!$D$19</definedName>
    <definedName name="solver_lhs2" localSheetId="8" hidden="1">'2-Diona'!$D$19</definedName>
    <definedName name="solver_lhs2" localSheetId="5" hidden="1">'2-Eula'!$D$19</definedName>
    <definedName name="solver_lhs2" localSheetId="6" hidden="1">'2-Fischl'!$D$19</definedName>
    <definedName name="solver_lhs2" localSheetId="7" hidden="1">'2-Rosaria'!$D$19</definedName>
    <definedName name="solver_lhs2" localSheetId="11" hidden="1">'3-Beidou'!$D$19</definedName>
    <definedName name="solver_lhs2" localSheetId="12" hidden="1">'3-Diona'!$D$19</definedName>
    <definedName name="solver_lhs2" localSheetId="9" hidden="1">'3-Eula'!$D$19</definedName>
    <definedName name="solver_lhs2" localSheetId="10" hidden="1">'3-Raiden'!$D$19</definedName>
    <definedName name="solver_lhs2" localSheetId="15" hidden="1">'4-Beidou'!$D$19</definedName>
    <definedName name="solver_lhs2" localSheetId="16" hidden="1">'4-Diona'!$D$19</definedName>
    <definedName name="solver_lhs2" localSheetId="13" hidden="1">'4-Eula'!$D$19</definedName>
    <definedName name="solver_lhs2" localSheetId="14" hidden="1">'4-Fischl'!$D$19</definedName>
    <definedName name="solver_lhs2" localSheetId="20" hidden="1">'5-Diona'!$D$19</definedName>
    <definedName name="solver_lhs2" localSheetId="17" hidden="1">'5-Eula'!$D$19</definedName>
    <definedName name="solver_lhs2" localSheetId="18" hidden="1">'5-Raiden'!$D$19</definedName>
    <definedName name="solver_lhs2" localSheetId="19" hidden="1">'5-Rosaria'!$D$19</definedName>
    <definedName name="solver_lhs2" localSheetId="21" hidden="1">'6-Eula'!$D$19</definedName>
    <definedName name="solver_lhs2" localSheetId="22" hidden="1">'6-Raiden'!$D$19</definedName>
    <definedName name="solver_lhs2" localSheetId="23" hidden="1">'6-Rosaria'!$D$19</definedName>
    <definedName name="solver_lhs2" localSheetId="24" hidden="1">'6-Zhongli'!$D$19</definedName>
    <definedName name="solver_lhs2" localSheetId="25" hidden="1">'7-Eula'!$D$19</definedName>
    <definedName name="solver_lhs2" localSheetId="28" hidden="1">'7-Qiqi'!$D$19</definedName>
    <definedName name="solver_lhs2" localSheetId="26" hidden="1">'7-Raiden'!$D$19</definedName>
    <definedName name="solver_lhs2" localSheetId="27" hidden="1">'7-Rosaria'!$D$19</definedName>
    <definedName name="solver_lhs2" localSheetId="29" hidden="1">'8-Eula'!$D$19</definedName>
    <definedName name="solver_lhs2" localSheetId="32" hidden="1">'8-Qiqi'!$D$19</definedName>
    <definedName name="solver_lhs2" localSheetId="30" hidden="1">'8-Raiden'!$D$19</definedName>
    <definedName name="solver_lhs2" localSheetId="31" hidden="1">'8-Rosaria'!$D$19</definedName>
    <definedName name="solver_lhs2" localSheetId="34" hidden="1">backup!$D$19</definedName>
    <definedName name="solver_lhs2" localSheetId="33" hidden="1">template!$D$19</definedName>
    <definedName name="solver_lhs3" localSheetId="4" hidden="1">'1-Diona'!$D$90:$D$95</definedName>
    <definedName name="solver_lhs3" localSheetId="1" hidden="1">'1-Eula'!$D$90:$D$95</definedName>
    <definedName name="solver_lhs3" localSheetId="3" hidden="1">'1-Lisa'!$D$90:$D$95</definedName>
    <definedName name="solver_lhs3" localSheetId="2" hidden="1">'1-Raiden'!$D$90:$D$95</definedName>
    <definedName name="solver_lhs3" localSheetId="8" hidden="1">'2-Diona'!$D$90:$D$95</definedName>
    <definedName name="solver_lhs3" localSheetId="5" hidden="1">'2-Eula'!$D$90:$D$95</definedName>
    <definedName name="solver_lhs3" localSheetId="6" hidden="1">'2-Fischl'!$D$90:$D$95</definedName>
    <definedName name="solver_lhs3" localSheetId="7" hidden="1">'2-Rosaria'!$D$90:$D$95</definedName>
    <definedName name="solver_lhs3" localSheetId="11" hidden="1">'3-Beidou'!$D$90:$D$95</definedName>
    <definedName name="solver_lhs3" localSheetId="12" hidden="1">'3-Diona'!$D$90:$D$95</definedName>
    <definedName name="solver_lhs3" localSheetId="9" hidden="1">'3-Eula'!$D$90:$D$95</definedName>
    <definedName name="solver_lhs3" localSheetId="10" hidden="1">'3-Raiden'!$D$90:$D$95</definedName>
    <definedName name="solver_lhs3" localSheetId="15" hidden="1">'4-Beidou'!$D$90:$D$95</definedName>
    <definedName name="solver_lhs3" localSheetId="16" hidden="1">'4-Diona'!$D$90:$D$95</definedName>
    <definedName name="solver_lhs3" localSheetId="13" hidden="1">'4-Eula'!$D$90:$D$95</definedName>
    <definedName name="solver_lhs3" localSheetId="14" hidden="1">'4-Fischl'!$D$90:$D$95</definedName>
    <definedName name="solver_lhs3" localSheetId="20" hidden="1">'5-Diona'!$D$90:$D$95</definedName>
    <definedName name="solver_lhs3" localSheetId="17" hidden="1">'5-Eula'!$D$90:$D$95</definedName>
    <definedName name="solver_lhs3" localSheetId="18" hidden="1">'5-Raiden'!$D$90:$D$95</definedName>
    <definedName name="solver_lhs3" localSheetId="19" hidden="1">'5-Rosaria'!$D$90:$D$95</definedName>
    <definedName name="solver_lhs3" localSheetId="21" hidden="1">'6-Eula'!$D$90:$D$95</definedName>
    <definedName name="solver_lhs3" localSheetId="22" hidden="1">'6-Raiden'!$D$90:$D$95</definedName>
    <definedName name="solver_lhs3" localSheetId="23" hidden="1">'6-Rosaria'!$D$90:$D$95</definedName>
    <definedName name="solver_lhs3" localSheetId="24" hidden="1">'6-Zhongli'!$D$90:$D$95</definedName>
    <definedName name="solver_lhs3" localSheetId="25" hidden="1">'7-Eula'!$D$90:$D$95</definedName>
    <definedName name="solver_lhs3" localSheetId="28" hidden="1">'7-Qiqi'!$D$90:$D$95</definedName>
    <definedName name="solver_lhs3" localSheetId="26" hidden="1">'7-Raiden'!$D$90:$D$95</definedName>
    <definedName name="solver_lhs3" localSheetId="27" hidden="1">'7-Rosaria'!$D$90:$D$95</definedName>
    <definedName name="solver_lhs3" localSheetId="29" hidden="1">'8-Eula'!$D$90:$D$95</definedName>
    <definedName name="solver_lhs3" localSheetId="32" hidden="1">'8-Qiqi'!$D$90:$D$95</definedName>
    <definedName name="solver_lhs3" localSheetId="30" hidden="1">'8-Raiden'!$D$90:$D$95</definedName>
    <definedName name="solver_lhs3" localSheetId="31" hidden="1">'8-Rosaria'!$D$90:$D$95</definedName>
    <definedName name="solver_lhs3" localSheetId="34" hidden="1">backup!$D$90:$D$95</definedName>
    <definedName name="solver_lhs3" localSheetId="33" hidden="1">template!$D$90:$D$95</definedName>
    <definedName name="solver_lhs4" localSheetId="4" hidden="1">'1-Diona'!$D$90:$D$95</definedName>
    <definedName name="solver_lhs4" localSheetId="1" hidden="1">'1-Eula'!$D$90:$D$95</definedName>
    <definedName name="solver_lhs4" localSheetId="3" hidden="1">'1-Lisa'!$D$90:$D$95</definedName>
    <definedName name="solver_lhs4" localSheetId="2" hidden="1">'1-Raiden'!$D$90:$D$95</definedName>
    <definedName name="solver_lhs4" localSheetId="8" hidden="1">'2-Diona'!$D$90:$D$95</definedName>
    <definedName name="solver_lhs4" localSheetId="5" hidden="1">'2-Eula'!$D$90:$D$95</definedName>
    <definedName name="solver_lhs4" localSheetId="6" hidden="1">'2-Fischl'!$D$90:$D$95</definedName>
    <definedName name="solver_lhs4" localSheetId="7" hidden="1">'2-Rosaria'!$D$90:$D$95</definedName>
    <definedName name="solver_lhs4" localSheetId="11" hidden="1">'3-Beidou'!$D$90:$D$95</definedName>
    <definedName name="solver_lhs4" localSheetId="12" hidden="1">'3-Diona'!$D$90:$D$95</definedName>
    <definedName name="solver_lhs4" localSheetId="9" hidden="1">'3-Eula'!$D$90:$D$95</definedName>
    <definedName name="solver_lhs4" localSheetId="10" hidden="1">'3-Raiden'!$D$90:$D$95</definedName>
    <definedName name="solver_lhs4" localSheetId="15" hidden="1">'4-Beidou'!$D$90:$D$95</definedName>
    <definedName name="solver_lhs4" localSheetId="16" hidden="1">'4-Diona'!$D$90:$D$95</definedName>
    <definedName name="solver_lhs4" localSheetId="13" hidden="1">'4-Eula'!$D$90:$D$95</definedName>
    <definedName name="solver_lhs4" localSheetId="14" hidden="1">'4-Fischl'!$D$90:$D$95</definedName>
    <definedName name="solver_lhs4" localSheetId="20" hidden="1">'5-Diona'!$D$90:$D$95</definedName>
    <definedName name="solver_lhs4" localSheetId="17" hidden="1">'5-Eula'!$D$90:$D$95</definedName>
    <definedName name="solver_lhs4" localSheetId="18" hidden="1">'5-Raiden'!$D$90:$D$95</definedName>
    <definedName name="solver_lhs4" localSheetId="19" hidden="1">'5-Rosaria'!$D$90:$D$95</definedName>
    <definedName name="solver_lhs4" localSheetId="21" hidden="1">'6-Eula'!$D$90:$D$95</definedName>
    <definedName name="solver_lhs4" localSheetId="22" hidden="1">'6-Raiden'!$D$90:$D$95</definedName>
    <definedName name="solver_lhs4" localSheetId="23" hidden="1">'6-Rosaria'!$D$90:$D$95</definedName>
    <definedName name="solver_lhs4" localSheetId="24" hidden="1">'6-Zhongli'!$D$90:$D$95</definedName>
    <definedName name="solver_lhs4" localSheetId="25" hidden="1">'7-Eula'!$D$90:$D$95</definedName>
    <definedName name="solver_lhs4" localSheetId="28" hidden="1">'7-Qiqi'!$D$90:$D$95</definedName>
    <definedName name="solver_lhs4" localSheetId="26" hidden="1">'7-Raiden'!$D$90:$D$95</definedName>
    <definedName name="solver_lhs4" localSheetId="27" hidden="1">'7-Rosaria'!$D$90:$D$95</definedName>
    <definedName name="solver_lhs4" localSheetId="29" hidden="1">'8-Eula'!$D$90:$D$95</definedName>
    <definedName name="solver_lhs4" localSheetId="32" hidden="1">'8-Qiqi'!$D$90:$D$95</definedName>
    <definedName name="solver_lhs4" localSheetId="30" hidden="1">'8-Raiden'!$D$90:$D$95</definedName>
    <definedName name="solver_lhs4" localSheetId="31" hidden="1">'8-Rosaria'!$D$90:$D$95</definedName>
    <definedName name="solver_lhs4" localSheetId="34" hidden="1">backup!$D$90:$D$95</definedName>
    <definedName name="solver_lhs4" localSheetId="33" hidden="1">template!$D$90:$D$95</definedName>
    <definedName name="solver_lhs5" localSheetId="4" hidden="1">'1-Diona'!$D$90:$D$96</definedName>
    <definedName name="solver_lhs5" localSheetId="1" hidden="1">'1-Eula'!$D$90:$D$96</definedName>
    <definedName name="solver_lhs5" localSheetId="3" hidden="1">'1-Lisa'!$D$90:$D$96</definedName>
    <definedName name="solver_lhs5" localSheetId="2" hidden="1">'1-Raiden'!$D$90:$D$96</definedName>
    <definedName name="solver_lhs5" localSheetId="8" hidden="1">'2-Diona'!$D$90:$D$96</definedName>
    <definedName name="solver_lhs5" localSheetId="5" hidden="1">'2-Eula'!$D$90:$D$96</definedName>
    <definedName name="solver_lhs5" localSheetId="6" hidden="1">'2-Fischl'!$D$90:$D$96</definedName>
    <definedName name="solver_lhs5" localSheetId="7" hidden="1">'2-Rosaria'!$D$90:$D$96</definedName>
    <definedName name="solver_lhs5" localSheetId="11" hidden="1">'3-Beidou'!$D$90:$D$96</definedName>
    <definedName name="solver_lhs5" localSheetId="12" hidden="1">'3-Diona'!$D$90:$D$96</definedName>
    <definedName name="solver_lhs5" localSheetId="9" hidden="1">'3-Eula'!$D$90:$D$96</definedName>
    <definedName name="solver_lhs5" localSheetId="10" hidden="1">'3-Raiden'!$D$90:$D$96</definedName>
    <definedName name="solver_lhs5" localSheetId="15" hidden="1">'4-Beidou'!$D$90:$D$96</definedName>
    <definedName name="solver_lhs5" localSheetId="16" hidden="1">'4-Diona'!$D$90:$D$96</definedName>
    <definedName name="solver_lhs5" localSheetId="13" hidden="1">'4-Eula'!$D$90:$D$96</definedName>
    <definedName name="solver_lhs5" localSheetId="14" hidden="1">'4-Fischl'!$D$90:$D$96</definedName>
    <definedName name="solver_lhs5" localSheetId="20" hidden="1">'5-Diona'!$D$90:$D$96</definedName>
    <definedName name="solver_lhs5" localSheetId="17" hidden="1">'5-Eula'!$D$90:$D$96</definedName>
    <definedName name="solver_lhs5" localSheetId="18" hidden="1">'5-Raiden'!$D$90:$D$96</definedName>
    <definedName name="solver_lhs5" localSheetId="19" hidden="1">'5-Rosaria'!$D$90:$D$96</definedName>
    <definedName name="solver_lhs5" localSheetId="21" hidden="1">'6-Eula'!$D$90:$D$96</definedName>
    <definedName name="solver_lhs5" localSheetId="22" hidden="1">'6-Raiden'!$D$90:$D$96</definedName>
    <definedName name="solver_lhs5" localSheetId="23" hidden="1">'6-Rosaria'!$D$90:$D$96</definedName>
    <definedName name="solver_lhs5" localSheetId="24" hidden="1">'6-Zhongli'!$D$90:$D$96</definedName>
    <definedName name="solver_lhs5" localSheetId="25" hidden="1">'7-Eula'!$D$90:$D$96</definedName>
    <definedName name="solver_lhs5" localSheetId="28" hidden="1">'7-Qiqi'!$D$90:$D$96</definedName>
    <definedName name="solver_lhs5" localSheetId="26" hidden="1">'7-Raiden'!$D$90:$D$96</definedName>
    <definedName name="solver_lhs5" localSheetId="27" hidden="1">'7-Rosaria'!$D$90:$D$96</definedName>
    <definedName name="solver_lhs5" localSheetId="29" hidden="1">'8-Eula'!$D$90:$D$96</definedName>
    <definedName name="solver_lhs5" localSheetId="32" hidden="1">'8-Qiqi'!$D$90:$D$96</definedName>
    <definedName name="solver_lhs5" localSheetId="30" hidden="1">'8-Raiden'!$D$90:$D$96</definedName>
    <definedName name="solver_lhs5" localSheetId="31" hidden="1">'8-Rosaria'!$D$90:$D$96</definedName>
    <definedName name="solver_lhs5" localSheetId="34" hidden="1">backup!$D$90:$D$96</definedName>
    <definedName name="solver_lhs5" localSheetId="33" hidden="1">template!$D$90:$D$96</definedName>
    <definedName name="solver_lhs6" localSheetId="4" hidden="1">'1-Diona'!#REF!</definedName>
    <definedName name="solver_lhs6" localSheetId="1" hidden="1">'1-Eula'!#REF!</definedName>
    <definedName name="solver_lhs6" localSheetId="3" hidden="1">'1-Lisa'!#REF!</definedName>
    <definedName name="solver_lhs6" localSheetId="2" hidden="1">'1-Raiden'!#REF!</definedName>
    <definedName name="solver_lhs6" localSheetId="8" hidden="1">'2-Diona'!#REF!</definedName>
    <definedName name="solver_lhs6" localSheetId="5" hidden="1">'2-Eula'!#REF!</definedName>
    <definedName name="solver_lhs6" localSheetId="6" hidden="1">'2-Fischl'!#REF!</definedName>
    <definedName name="solver_lhs6" localSheetId="7" hidden="1">'2-Rosaria'!#REF!</definedName>
    <definedName name="solver_lhs6" localSheetId="11" hidden="1">'3-Beidou'!#REF!</definedName>
    <definedName name="solver_lhs6" localSheetId="12" hidden="1">'3-Diona'!#REF!</definedName>
    <definedName name="solver_lhs6" localSheetId="9" hidden="1">'3-Eula'!#REF!</definedName>
    <definedName name="solver_lhs6" localSheetId="10" hidden="1">'3-Raiden'!#REF!</definedName>
    <definedName name="solver_lhs6" localSheetId="15" hidden="1">'4-Beidou'!#REF!</definedName>
    <definedName name="solver_lhs6" localSheetId="16" hidden="1">'4-Diona'!#REF!</definedName>
    <definedName name="solver_lhs6" localSheetId="13" hidden="1">'4-Eula'!#REF!</definedName>
    <definedName name="solver_lhs6" localSheetId="14" hidden="1">'4-Fischl'!#REF!</definedName>
    <definedName name="solver_lhs6" localSheetId="20" hidden="1">'5-Diona'!#REF!</definedName>
    <definedName name="solver_lhs6" localSheetId="17" hidden="1">'5-Eula'!#REF!</definedName>
    <definedName name="solver_lhs6" localSheetId="18" hidden="1">'5-Raiden'!#REF!</definedName>
    <definedName name="solver_lhs6" localSheetId="19" hidden="1">'5-Rosaria'!#REF!</definedName>
    <definedName name="solver_lhs6" localSheetId="21" hidden="1">'6-Eula'!#REF!</definedName>
    <definedName name="solver_lhs6" localSheetId="22" hidden="1">'6-Raiden'!#REF!</definedName>
    <definedName name="solver_lhs6" localSheetId="23" hidden="1">'6-Rosaria'!#REF!</definedName>
    <definedName name="solver_lhs6" localSheetId="24" hidden="1">'6-Zhongli'!#REF!</definedName>
    <definedName name="solver_lhs6" localSheetId="25" hidden="1">'7-Eula'!#REF!</definedName>
    <definedName name="solver_lhs6" localSheetId="28" hidden="1">'7-Qiqi'!#REF!</definedName>
    <definedName name="solver_lhs6" localSheetId="26" hidden="1">'7-Raiden'!#REF!</definedName>
    <definedName name="solver_lhs6" localSheetId="27" hidden="1">'7-Rosaria'!#REF!</definedName>
    <definedName name="solver_lhs6" localSheetId="29" hidden="1">'8-Eula'!#REF!</definedName>
    <definedName name="solver_lhs6" localSheetId="32" hidden="1">'8-Qiqi'!#REF!</definedName>
    <definedName name="solver_lhs6" localSheetId="30" hidden="1">'8-Raiden'!#REF!</definedName>
    <definedName name="solver_lhs6" localSheetId="31" hidden="1">'8-Rosaria'!#REF!</definedName>
    <definedName name="solver_lhs6" localSheetId="34" hidden="1">backup!#REF!</definedName>
    <definedName name="solver_lhs6" localSheetId="33" hidden="1">template!#REF!</definedName>
    <definedName name="solver_lhs7" localSheetId="4" hidden="1">'1-Diona'!#REF!</definedName>
    <definedName name="solver_lhs7" localSheetId="1" hidden="1">'1-Eula'!#REF!</definedName>
    <definedName name="solver_lhs7" localSheetId="3" hidden="1">'1-Lisa'!#REF!</definedName>
    <definedName name="solver_lhs7" localSheetId="2" hidden="1">'1-Raiden'!#REF!</definedName>
    <definedName name="solver_lhs7" localSheetId="8" hidden="1">'2-Diona'!#REF!</definedName>
    <definedName name="solver_lhs7" localSheetId="5" hidden="1">'2-Eula'!#REF!</definedName>
    <definedName name="solver_lhs7" localSheetId="6" hidden="1">'2-Fischl'!#REF!</definedName>
    <definedName name="solver_lhs7" localSheetId="7" hidden="1">'2-Rosaria'!#REF!</definedName>
    <definedName name="solver_lhs7" localSheetId="11" hidden="1">'3-Beidou'!#REF!</definedName>
    <definedName name="solver_lhs7" localSheetId="12" hidden="1">'3-Diona'!#REF!</definedName>
    <definedName name="solver_lhs7" localSheetId="9" hidden="1">'3-Eula'!#REF!</definedName>
    <definedName name="solver_lhs7" localSheetId="10" hidden="1">'3-Raiden'!#REF!</definedName>
    <definedName name="solver_lhs7" localSheetId="15" hidden="1">'4-Beidou'!#REF!</definedName>
    <definedName name="solver_lhs7" localSheetId="16" hidden="1">'4-Diona'!#REF!</definedName>
    <definedName name="solver_lhs7" localSheetId="13" hidden="1">'4-Eula'!#REF!</definedName>
    <definedName name="solver_lhs7" localSheetId="14" hidden="1">'4-Fischl'!#REF!</definedName>
    <definedName name="solver_lhs7" localSheetId="20" hidden="1">'5-Diona'!#REF!</definedName>
    <definedName name="solver_lhs7" localSheetId="17" hidden="1">'5-Eula'!#REF!</definedName>
    <definedName name="solver_lhs7" localSheetId="18" hidden="1">'5-Raiden'!#REF!</definedName>
    <definedName name="solver_lhs7" localSheetId="19" hidden="1">'5-Rosaria'!#REF!</definedName>
    <definedName name="solver_lhs7" localSheetId="21" hidden="1">'6-Eula'!#REF!</definedName>
    <definedName name="solver_lhs7" localSheetId="22" hidden="1">'6-Raiden'!#REF!</definedName>
    <definedName name="solver_lhs7" localSheetId="23" hidden="1">'6-Rosaria'!#REF!</definedName>
    <definedName name="solver_lhs7" localSheetId="24" hidden="1">'6-Zhongli'!#REF!</definedName>
    <definedName name="solver_lhs7" localSheetId="25" hidden="1">'7-Eula'!#REF!</definedName>
    <definedName name="solver_lhs7" localSheetId="28" hidden="1">'7-Qiqi'!#REF!</definedName>
    <definedName name="solver_lhs7" localSheetId="26" hidden="1">'7-Raiden'!#REF!</definedName>
    <definedName name="solver_lhs7" localSheetId="27" hidden="1">'7-Rosaria'!#REF!</definedName>
    <definedName name="solver_lhs7" localSheetId="29" hidden="1">'8-Eula'!#REF!</definedName>
    <definedName name="solver_lhs7" localSheetId="32" hidden="1">'8-Qiqi'!#REF!</definedName>
    <definedName name="solver_lhs7" localSheetId="30" hidden="1">'8-Raiden'!#REF!</definedName>
    <definedName name="solver_lhs7" localSheetId="31" hidden="1">'8-Rosaria'!#REF!</definedName>
    <definedName name="solver_lhs7" localSheetId="34" hidden="1">backup!#REF!</definedName>
    <definedName name="solver_lhs7" localSheetId="33" hidden="1">template!#REF!</definedName>
    <definedName name="solver_lhs8" localSheetId="4" hidden="1">'1-Diona'!#REF!</definedName>
    <definedName name="solver_lhs8" localSheetId="1" hidden="1">'1-Eula'!#REF!</definedName>
    <definedName name="solver_lhs8" localSheetId="3" hidden="1">'1-Lisa'!#REF!</definedName>
    <definedName name="solver_lhs8" localSheetId="2" hidden="1">'1-Raiden'!#REF!</definedName>
    <definedName name="solver_lhs8" localSheetId="8" hidden="1">'2-Diona'!#REF!</definedName>
    <definedName name="solver_lhs8" localSheetId="5" hidden="1">'2-Eula'!#REF!</definedName>
    <definedName name="solver_lhs8" localSheetId="6" hidden="1">'2-Fischl'!#REF!</definedName>
    <definedName name="solver_lhs8" localSheetId="7" hidden="1">'2-Rosaria'!#REF!</definedName>
    <definedName name="solver_lhs8" localSheetId="11" hidden="1">'3-Beidou'!#REF!</definedName>
    <definedName name="solver_lhs8" localSheetId="12" hidden="1">'3-Diona'!#REF!</definedName>
    <definedName name="solver_lhs8" localSheetId="9" hidden="1">'3-Eula'!#REF!</definedName>
    <definedName name="solver_lhs8" localSheetId="10" hidden="1">'3-Raiden'!#REF!</definedName>
    <definedName name="solver_lhs8" localSheetId="15" hidden="1">'4-Beidou'!#REF!</definedName>
    <definedName name="solver_lhs8" localSheetId="16" hidden="1">'4-Diona'!#REF!</definedName>
    <definedName name="solver_lhs8" localSheetId="13" hidden="1">'4-Eula'!#REF!</definedName>
    <definedName name="solver_lhs8" localSheetId="14" hidden="1">'4-Fischl'!#REF!</definedName>
    <definedName name="solver_lhs8" localSheetId="20" hidden="1">'5-Diona'!#REF!</definedName>
    <definedName name="solver_lhs8" localSheetId="17" hidden="1">'5-Eula'!#REF!</definedName>
    <definedName name="solver_lhs8" localSheetId="18" hidden="1">'5-Raiden'!#REF!</definedName>
    <definedName name="solver_lhs8" localSheetId="19" hidden="1">'5-Rosaria'!#REF!</definedName>
    <definedName name="solver_lhs8" localSheetId="21" hidden="1">'6-Eula'!#REF!</definedName>
    <definedName name="solver_lhs8" localSheetId="22" hidden="1">'6-Raiden'!#REF!</definedName>
    <definedName name="solver_lhs8" localSheetId="23" hidden="1">'6-Rosaria'!#REF!</definedName>
    <definedName name="solver_lhs8" localSheetId="24" hidden="1">'6-Zhongli'!#REF!</definedName>
    <definedName name="solver_lhs8" localSheetId="25" hidden="1">'7-Eula'!#REF!</definedName>
    <definedName name="solver_lhs8" localSheetId="28" hidden="1">'7-Qiqi'!#REF!</definedName>
    <definedName name="solver_lhs8" localSheetId="26" hidden="1">'7-Raiden'!#REF!</definedName>
    <definedName name="solver_lhs8" localSheetId="27" hidden="1">'7-Rosaria'!#REF!</definedName>
    <definedName name="solver_lhs8" localSheetId="29" hidden="1">'8-Eula'!#REF!</definedName>
    <definedName name="solver_lhs8" localSheetId="32" hidden="1">'8-Qiqi'!#REF!</definedName>
    <definedName name="solver_lhs8" localSheetId="30" hidden="1">'8-Raiden'!#REF!</definedName>
    <definedName name="solver_lhs8" localSheetId="31" hidden="1">'8-Rosaria'!#REF!</definedName>
    <definedName name="solver_lhs8" localSheetId="34" hidden="1">backup!#REF!</definedName>
    <definedName name="solver_lhs8" localSheetId="33" hidden="1">template!#REF!</definedName>
    <definedName name="solver_lhs9" localSheetId="4" hidden="1">'1-Diona'!#REF!</definedName>
    <definedName name="solver_lhs9" localSheetId="1" hidden="1">'1-Eula'!#REF!</definedName>
    <definedName name="solver_lhs9" localSheetId="3" hidden="1">'1-Lisa'!#REF!</definedName>
    <definedName name="solver_lhs9" localSheetId="2" hidden="1">'1-Raiden'!#REF!</definedName>
    <definedName name="solver_lhs9" localSheetId="8" hidden="1">'2-Diona'!#REF!</definedName>
    <definedName name="solver_lhs9" localSheetId="5" hidden="1">'2-Eula'!#REF!</definedName>
    <definedName name="solver_lhs9" localSheetId="6" hidden="1">'2-Fischl'!#REF!</definedName>
    <definedName name="solver_lhs9" localSheetId="7" hidden="1">'2-Rosaria'!#REF!</definedName>
    <definedName name="solver_lhs9" localSheetId="11" hidden="1">'3-Beidou'!#REF!</definedName>
    <definedName name="solver_lhs9" localSheetId="12" hidden="1">'3-Diona'!#REF!</definedName>
    <definedName name="solver_lhs9" localSheetId="9" hidden="1">'3-Eula'!#REF!</definedName>
    <definedName name="solver_lhs9" localSheetId="10" hidden="1">'3-Raiden'!#REF!</definedName>
    <definedName name="solver_lhs9" localSheetId="15" hidden="1">'4-Beidou'!#REF!</definedName>
    <definedName name="solver_lhs9" localSheetId="16" hidden="1">'4-Diona'!#REF!</definedName>
    <definedName name="solver_lhs9" localSheetId="13" hidden="1">'4-Eula'!#REF!</definedName>
    <definedName name="solver_lhs9" localSheetId="14" hidden="1">'4-Fischl'!#REF!</definedName>
    <definedName name="solver_lhs9" localSheetId="20" hidden="1">'5-Diona'!#REF!</definedName>
    <definedName name="solver_lhs9" localSheetId="17" hidden="1">'5-Eula'!#REF!</definedName>
    <definedName name="solver_lhs9" localSheetId="18" hidden="1">'5-Raiden'!#REF!</definedName>
    <definedName name="solver_lhs9" localSheetId="19" hidden="1">'5-Rosaria'!#REF!</definedName>
    <definedName name="solver_lhs9" localSheetId="21" hidden="1">'6-Eula'!#REF!</definedName>
    <definedName name="solver_lhs9" localSheetId="22" hidden="1">'6-Raiden'!#REF!</definedName>
    <definedName name="solver_lhs9" localSheetId="23" hidden="1">'6-Rosaria'!#REF!</definedName>
    <definedName name="solver_lhs9" localSheetId="24" hidden="1">'6-Zhongli'!#REF!</definedName>
    <definedName name="solver_lhs9" localSheetId="25" hidden="1">'7-Eula'!#REF!</definedName>
    <definedName name="solver_lhs9" localSheetId="28" hidden="1">'7-Qiqi'!#REF!</definedName>
    <definedName name="solver_lhs9" localSheetId="26" hidden="1">'7-Raiden'!#REF!</definedName>
    <definedName name="solver_lhs9" localSheetId="27" hidden="1">'7-Rosaria'!#REF!</definedName>
    <definedName name="solver_lhs9" localSheetId="29" hidden="1">'8-Eula'!#REF!</definedName>
    <definedName name="solver_lhs9" localSheetId="32" hidden="1">'8-Qiqi'!#REF!</definedName>
    <definedName name="solver_lhs9" localSheetId="30" hidden="1">'8-Raiden'!#REF!</definedName>
    <definedName name="solver_lhs9" localSheetId="31" hidden="1">'8-Rosaria'!#REF!</definedName>
    <definedName name="solver_lhs9" localSheetId="34" hidden="1">backup!#REF!</definedName>
    <definedName name="solver_lhs9" localSheetId="33" hidden="1">template!#REF!</definedName>
    <definedName name="solver_mip" localSheetId="4" hidden="1">2147483647</definedName>
    <definedName name="solver_mip" localSheetId="1" hidden="1">2147483647</definedName>
    <definedName name="solver_mip" localSheetId="3" hidden="1">2147483647</definedName>
    <definedName name="solver_mip" localSheetId="2" hidden="1">2147483647</definedName>
    <definedName name="solver_mip" localSheetId="8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11" hidden="1">2147483647</definedName>
    <definedName name="solver_mip" localSheetId="12" hidden="1">2147483647</definedName>
    <definedName name="solver_mip" localSheetId="9" hidden="1">2147483647</definedName>
    <definedName name="solver_mip" localSheetId="10" hidden="1">2147483647</definedName>
    <definedName name="solver_mip" localSheetId="15" hidden="1">2147483647</definedName>
    <definedName name="solver_mip" localSheetId="16" hidden="1">2147483647</definedName>
    <definedName name="solver_mip" localSheetId="13" hidden="1">2147483647</definedName>
    <definedName name="solver_mip" localSheetId="14" hidden="1">2147483647</definedName>
    <definedName name="solver_mip" localSheetId="20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8" hidden="1">2147483647</definedName>
    <definedName name="solver_mip" localSheetId="26" hidden="1">2147483647</definedName>
    <definedName name="solver_mip" localSheetId="27" hidden="1">2147483647</definedName>
    <definedName name="solver_mip" localSheetId="29" hidden="1">2147483647</definedName>
    <definedName name="solver_mip" localSheetId="32" hidden="1">2147483647</definedName>
    <definedName name="solver_mip" localSheetId="30" hidden="1">2147483647</definedName>
    <definedName name="solver_mip" localSheetId="31" hidden="1">2147483647</definedName>
    <definedName name="solver_mip" localSheetId="34" hidden="1">2147483647</definedName>
    <definedName name="solver_mip" localSheetId="33" hidden="1">2147483647</definedName>
    <definedName name="solver_mni" localSheetId="4" hidden="1">30</definedName>
    <definedName name="solver_mni" localSheetId="1" hidden="1">30</definedName>
    <definedName name="solver_mni" localSheetId="3" hidden="1">30</definedName>
    <definedName name="solver_mni" localSheetId="2" hidden="1">30</definedName>
    <definedName name="solver_mni" localSheetId="8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11" hidden="1">30</definedName>
    <definedName name="solver_mni" localSheetId="12" hidden="1">30</definedName>
    <definedName name="solver_mni" localSheetId="9" hidden="1">30</definedName>
    <definedName name="solver_mni" localSheetId="10" hidden="1">30</definedName>
    <definedName name="solver_mni" localSheetId="15" hidden="1">30</definedName>
    <definedName name="solver_mni" localSheetId="16" hidden="1">30</definedName>
    <definedName name="solver_mni" localSheetId="13" hidden="1">30</definedName>
    <definedName name="solver_mni" localSheetId="14" hidden="1">30</definedName>
    <definedName name="solver_mni" localSheetId="20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8" hidden="1">30</definedName>
    <definedName name="solver_mni" localSheetId="26" hidden="1">30</definedName>
    <definedName name="solver_mni" localSheetId="27" hidden="1">30</definedName>
    <definedName name="solver_mni" localSheetId="29" hidden="1">30</definedName>
    <definedName name="solver_mni" localSheetId="32" hidden="1">30</definedName>
    <definedName name="solver_mni" localSheetId="30" hidden="1">30</definedName>
    <definedName name="solver_mni" localSheetId="31" hidden="1">30</definedName>
    <definedName name="solver_mni" localSheetId="34" hidden="1">30</definedName>
    <definedName name="solver_mni" localSheetId="33" hidden="1">30</definedName>
    <definedName name="solver_mrt" localSheetId="4" hidden="1">0.075</definedName>
    <definedName name="solver_mrt" localSheetId="1" hidden="1">0.075</definedName>
    <definedName name="solver_mrt" localSheetId="3" hidden="1">0.075</definedName>
    <definedName name="solver_mrt" localSheetId="2" hidden="1">0.075</definedName>
    <definedName name="solver_mrt" localSheetId="8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11" hidden="1">0.075</definedName>
    <definedName name="solver_mrt" localSheetId="12" hidden="1">0.075</definedName>
    <definedName name="solver_mrt" localSheetId="9" hidden="1">0.075</definedName>
    <definedName name="solver_mrt" localSheetId="10" hidden="1">0.075</definedName>
    <definedName name="solver_mrt" localSheetId="15" hidden="1">0.075</definedName>
    <definedName name="solver_mrt" localSheetId="16" hidden="1">0.075</definedName>
    <definedName name="solver_mrt" localSheetId="13" hidden="1">0.075</definedName>
    <definedName name="solver_mrt" localSheetId="14" hidden="1">0.075</definedName>
    <definedName name="solver_mrt" localSheetId="20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8" hidden="1">0.075</definedName>
    <definedName name="solver_mrt" localSheetId="26" hidden="1">0.075</definedName>
    <definedName name="solver_mrt" localSheetId="27" hidden="1">0.075</definedName>
    <definedName name="solver_mrt" localSheetId="29" hidden="1">0.075</definedName>
    <definedName name="solver_mrt" localSheetId="32" hidden="1">0.075</definedName>
    <definedName name="solver_mrt" localSheetId="30" hidden="1">0.075</definedName>
    <definedName name="solver_mrt" localSheetId="31" hidden="1">0.075</definedName>
    <definedName name="solver_mrt" localSheetId="34" hidden="1">0.075</definedName>
    <definedName name="solver_mrt" localSheetId="33" hidden="1">0.075</definedName>
    <definedName name="solver_msl" localSheetId="4" hidden="1">2</definedName>
    <definedName name="solver_msl" localSheetId="1" hidden="1">2</definedName>
    <definedName name="solver_msl" localSheetId="3" hidden="1">2</definedName>
    <definedName name="solver_msl" localSheetId="2" hidden="1">2</definedName>
    <definedName name="solver_msl" localSheetId="8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11" hidden="1">2</definedName>
    <definedName name="solver_msl" localSheetId="12" hidden="1">2</definedName>
    <definedName name="solver_msl" localSheetId="9" hidden="1">2</definedName>
    <definedName name="solver_msl" localSheetId="10" hidden="1">2</definedName>
    <definedName name="solver_msl" localSheetId="15" hidden="1">2</definedName>
    <definedName name="solver_msl" localSheetId="16" hidden="1">2</definedName>
    <definedName name="solver_msl" localSheetId="13" hidden="1">2</definedName>
    <definedName name="solver_msl" localSheetId="14" hidden="1">2</definedName>
    <definedName name="solver_msl" localSheetId="20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8" hidden="1">2</definedName>
    <definedName name="solver_msl" localSheetId="26" hidden="1">2</definedName>
    <definedName name="solver_msl" localSheetId="27" hidden="1">2</definedName>
    <definedName name="solver_msl" localSheetId="29" hidden="1">2</definedName>
    <definedName name="solver_msl" localSheetId="32" hidden="1">2</definedName>
    <definedName name="solver_msl" localSheetId="30" hidden="1">2</definedName>
    <definedName name="solver_msl" localSheetId="31" hidden="1">2</definedName>
    <definedName name="solver_msl" localSheetId="34" hidden="1">2</definedName>
    <definedName name="solver_msl" localSheetId="33" hidden="1">2</definedName>
    <definedName name="solver_neg" localSheetId="4" hidden="1">1</definedName>
    <definedName name="solver_neg" localSheetId="1" hidden="1">1</definedName>
    <definedName name="solver_neg" localSheetId="3" hidden="1">1</definedName>
    <definedName name="solver_neg" localSheetId="2" hidden="1">1</definedName>
    <definedName name="solver_neg" localSheetId="8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11" hidden="1">1</definedName>
    <definedName name="solver_neg" localSheetId="12" hidden="1">1</definedName>
    <definedName name="solver_neg" localSheetId="9" hidden="1">1</definedName>
    <definedName name="solver_neg" localSheetId="10" hidden="1">1</definedName>
    <definedName name="solver_neg" localSheetId="15" hidden="1">1</definedName>
    <definedName name="solver_neg" localSheetId="16" hidden="1">1</definedName>
    <definedName name="solver_neg" localSheetId="13" hidden="1">1</definedName>
    <definedName name="solver_neg" localSheetId="14" hidden="1">1</definedName>
    <definedName name="solver_neg" localSheetId="20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1" hidden="1">1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25" hidden="1">1</definedName>
    <definedName name="solver_neg" localSheetId="28" hidden="1">1</definedName>
    <definedName name="solver_neg" localSheetId="26" hidden="1">1</definedName>
    <definedName name="solver_neg" localSheetId="27" hidden="1">1</definedName>
    <definedName name="solver_neg" localSheetId="29" hidden="1">1</definedName>
    <definedName name="solver_neg" localSheetId="32" hidden="1">1</definedName>
    <definedName name="solver_neg" localSheetId="30" hidden="1">1</definedName>
    <definedName name="solver_neg" localSheetId="31" hidden="1">1</definedName>
    <definedName name="solver_neg" localSheetId="34" hidden="1">1</definedName>
    <definedName name="solver_neg" localSheetId="33" hidden="1">1</definedName>
    <definedName name="solver_nod" localSheetId="4" hidden="1">2147483647</definedName>
    <definedName name="solver_nod" localSheetId="1" hidden="1">2147483647</definedName>
    <definedName name="solver_nod" localSheetId="3" hidden="1">2147483647</definedName>
    <definedName name="solver_nod" localSheetId="2" hidden="1">2147483647</definedName>
    <definedName name="solver_nod" localSheetId="8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11" hidden="1">2147483647</definedName>
    <definedName name="solver_nod" localSheetId="12" hidden="1">2147483647</definedName>
    <definedName name="solver_nod" localSheetId="9" hidden="1">2147483647</definedName>
    <definedName name="solver_nod" localSheetId="10" hidden="1">2147483647</definedName>
    <definedName name="solver_nod" localSheetId="15" hidden="1">2147483647</definedName>
    <definedName name="solver_nod" localSheetId="16" hidden="1">2147483647</definedName>
    <definedName name="solver_nod" localSheetId="13" hidden="1">2147483647</definedName>
    <definedName name="solver_nod" localSheetId="14" hidden="1">2147483647</definedName>
    <definedName name="solver_nod" localSheetId="20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8" hidden="1">2147483647</definedName>
    <definedName name="solver_nod" localSheetId="26" hidden="1">2147483647</definedName>
    <definedName name="solver_nod" localSheetId="27" hidden="1">2147483647</definedName>
    <definedName name="solver_nod" localSheetId="29" hidden="1">2147483647</definedName>
    <definedName name="solver_nod" localSheetId="32" hidden="1">2147483647</definedName>
    <definedName name="solver_nod" localSheetId="30" hidden="1">2147483647</definedName>
    <definedName name="solver_nod" localSheetId="31" hidden="1">2147483647</definedName>
    <definedName name="solver_nod" localSheetId="34" hidden="1">2147483647</definedName>
    <definedName name="solver_nod" localSheetId="33" hidden="1">2147483647</definedName>
    <definedName name="solver_num" localSheetId="4" hidden="1">5</definedName>
    <definedName name="solver_num" localSheetId="1" hidden="1">5</definedName>
    <definedName name="solver_num" localSheetId="3" hidden="1">5</definedName>
    <definedName name="solver_num" localSheetId="2" hidden="1">5</definedName>
    <definedName name="solver_num" localSheetId="8" hidden="1">5</definedName>
    <definedName name="solver_num" localSheetId="5" hidden="1">5</definedName>
    <definedName name="solver_num" localSheetId="6" hidden="1">5</definedName>
    <definedName name="solver_num" localSheetId="7" hidden="1">5</definedName>
    <definedName name="solver_num" localSheetId="11" hidden="1">5</definedName>
    <definedName name="solver_num" localSheetId="12" hidden="1">5</definedName>
    <definedName name="solver_num" localSheetId="9" hidden="1">5</definedName>
    <definedName name="solver_num" localSheetId="10" hidden="1">5</definedName>
    <definedName name="solver_num" localSheetId="15" hidden="1">5</definedName>
    <definedName name="solver_num" localSheetId="16" hidden="1">5</definedName>
    <definedName name="solver_num" localSheetId="13" hidden="1">5</definedName>
    <definedName name="solver_num" localSheetId="14" hidden="1">5</definedName>
    <definedName name="solver_num" localSheetId="20" hidden="1">5</definedName>
    <definedName name="solver_num" localSheetId="17" hidden="1">5</definedName>
    <definedName name="solver_num" localSheetId="18" hidden="1">5</definedName>
    <definedName name="solver_num" localSheetId="19" hidden="1">5</definedName>
    <definedName name="solver_num" localSheetId="21" hidden="1">5</definedName>
    <definedName name="solver_num" localSheetId="22" hidden="1">5</definedName>
    <definedName name="solver_num" localSheetId="23" hidden="1">5</definedName>
    <definedName name="solver_num" localSheetId="24" hidden="1">5</definedName>
    <definedName name="solver_num" localSheetId="25" hidden="1">5</definedName>
    <definedName name="solver_num" localSheetId="28" hidden="1">5</definedName>
    <definedName name="solver_num" localSheetId="26" hidden="1">5</definedName>
    <definedName name="solver_num" localSheetId="27" hidden="1">5</definedName>
    <definedName name="solver_num" localSheetId="29" hidden="1">5</definedName>
    <definedName name="solver_num" localSheetId="32" hidden="1">5</definedName>
    <definedName name="solver_num" localSheetId="30" hidden="1">5</definedName>
    <definedName name="solver_num" localSheetId="31" hidden="1">5</definedName>
    <definedName name="solver_num" localSheetId="34" hidden="1">5</definedName>
    <definedName name="solver_num" localSheetId="33" hidden="1">5</definedName>
    <definedName name="solver_nwt" localSheetId="4" hidden="1">1</definedName>
    <definedName name="solver_nwt" localSheetId="1" hidden="1">1</definedName>
    <definedName name="solver_nwt" localSheetId="3" hidden="1">1</definedName>
    <definedName name="solver_nwt" localSheetId="2" hidden="1">1</definedName>
    <definedName name="solver_nwt" localSheetId="8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11" hidden="1">1</definedName>
    <definedName name="solver_nwt" localSheetId="12" hidden="1">1</definedName>
    <definedName name="solver_nwt" localSheetId="9" hidden="1">1</definedName>
    <definedName name="solver_nwt" localSheetId="10" hidden="1">1</definedName>
    <definedName name="solver_nwt" localSheetId="15" hidden="1">1</definedName>
    <definedName name="solver_nwt" localSheetId="16" hidden="1">1</definedName>
    <definedName name="solver_nwt" localSheetId="13" hidden="1">1</definedName>
    <definedName name="solver_nwt" localSheetId="14" hidden="1">1</definedName>
    <definedName name="solver_nwt" localSheetId="20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8" hidden="1">1</definedName>
    <definedName name="solver_nwt" localSheetId="26" hidden="1">1</definedName>
    <definedName name="solver_nwt" localSheetId="27" hidden="1">1</definedName>
    <definedName name="solver_nwt" localSheetId="29" hidden="1">1</definedName>
    <definedName name="solver_nwt" localSheetId="32" hidden="1">1</definedName>
    <definedName name="solver_nwt" localSheetId="30" hidden="1">1</definedName>
    <definedName name="solver_nwt" localSheetId="31" hidden="1">1</definedName>
    <definedName name="solver_nwt" localSheetId="34" hidden="1">1</definedName>
    <definedName name="solver_nwt" localSheetId="33" hidden="1">1</definedName>
    <definedName name="solver_opt" localSheetId="4" hidden="1">'1-Diona'!$F$97</definedName>
    <definedName name="solver_opt" localSheetId="1" hidden="1">'1-Eula'!$F$97</definedName>
    <definedName name="solver_opt" localSheetId="3" hidden="1">'1-Lisa'!$F$97</definedName>
    <definedName name="solver_opt" localSheetId="2" hidden="1">'1-Raiden'!$F$97</definedName>
    <definedName name="solver_opt" localSheetId="8" hidden="1">'2-Diona'!$F$97</definedName>
    <definedName name="solver_opt" localSheetId="5" hidden="1">'2-Eula'!$F$97</definedName>
    <definedName name="solver_opt" localSheetId="6" hidden="1">'2-Fischl'!$F$97</definedName>
    <definedName name="solver_opt" localSheetId="7" hidden="1">'2-Rosaria'!$F$97</definedName>
    <definedName name="solver_opt" localSheetId="11" hidden="1">'3-Beidou'!$F$97</definedName>
    <definedName name="solver_opt" localSheetId="12" hidden="1">'3-Diona'!$F$97</definedName>
    <definedName name="solver_opt" localSheetId="9" hidden="1">'3-Eula'!$F$97</definedName>
    <definedName name="solver_opt" localSheetId="10" hidden="1">'3-Raiden'!$F$97</definedName>
    <definedName name="solver_opt" localSheetId="15" hidden="1">'4-Beidou'!$F$97</definedName>
    <definedName name="solver_opt" localSheetId="16" hidden="1">'4-Diona'!$F$97</definedName>
    <definedName name="solver_opt" localSheetId="13" hidden="1">'4-Eula'!$F$97</definedName>
    <definedName name="solver_opt" localSheetId="14" hidden="1">'4-Fischl'!$F$97</definedName>
    <definedName name="solver_opt" localSheetId="20" hidden="1">'5-Diona'!$F$97</definedName>
    <definedName name="solver_opt" localSheetId="17" hidden="1">'5-Eula'!$F$97</definedName>
    <definedName name="solver_opt" localSheetId="18" hidden="1">'5-Raiden'!$F$97</definedName>
    <definedName name="solver_opt" localSheetId="19" hidden="1">'5-Rosaria'!$F$97</definedName>
    <definedName name="solver_opt" localSheetId="21" hidden="1">'6-Eula'!$F$97</definedName>
    <definedName name="solver_opt" localSheetId="22" hidden="1">'6-Raiden'!$F$97</definedName>
    <definedName name="solver_opt" localSheetId="23" hidden="1">'6-Rosaria'!$F$97</definedName>
    <definedName name="solver_opt" localSheetId="24" hidden="1">'6-Zhongli'!$F$97</definedName>
    <definedName name="solver_opt" localSheetId="25" hidden="1">'7-Eula'!$F$97</definedName>
    <definedName name="solver_opt" localSheetId="28" hidden="1">'7-Qiqi'!$F$97</definedName>
    <definedName name="solver_opt" localSheetId="26" hidden="1">'7-Raiden'!$F$97</definedName>
    <definedName name="solver_opt" localSheetId="27" hidden="1">'7-Rosaria'!$F$97</definedName>
    <definedName name="solver_opt" localSheetId="29" hidden="1">'8-Eula'!$F$97</definedName>
    <definedName name="solver_opt" localSheetId="32" hidden="1">'8-Qiqi'!$F$97</definedName>
    <definedName name="solver_opt" localSheetId="30" hidden="1">'8-Raiden'!$F$97</definedName>
    <definedName name="solver_opt" localSheetId="31" hidden="1">'8-Rosaria'!$F$97</definedName>
    <definedName name="solver_opt" localSheetId="34" hidden="1">backup!$F$97</definedName>
    <definedName name="solver_opt" localSheetId="33" hidden="1">template!$F$97</definedName>
    <definedName name="solver_pre" localSheetId="4" hidden="1">0.000001</definedName>
    <definedName name="solver_pre" localSheetId="1" hidden="1">0.000001</definedName>
    <definedName name="solver_pre" localSheetId="3" hidden="1">0.000001</definedName>
    <definedName name="solver_pre" localSheetId="2" hidden="1">0.000001</definedName>
    <definedName name="solver_pre" localSheetId="8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11" hidden="1">0.000001</definedName>
    <definedName name="solver_pre" localSheetId="12" hidden="1">0.000001</definedName>
    <definedName name="solver_pre" localSheetId="9" hidden="1">0.000001</definedName>
    <definedName name="solver_pre" localSheetId="10" hidden="1">0.000001</definedName>
    <definedName name="solver_pre" localSheetId="15" hidden="1">0.000001</definedName>
    <definedName name="solver_pre" localSheetId="16" hidden="1">0.000001</definedName>
    <definedName name="solver_pre" localSheetId="13" hidden="1">0.000001</definedName>
    <definedName name="solver_pre" localSheetId="14" hidden="1">0.000001</definedName>
    <definedName name="solver_pre" localSheetId="20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8" hidden="1">0.000001</definedName>
    <definedName name="solver_pre" localSheetId="26" hidden="1">0.000001</definedName>
    <definedName name="solver_pre" localSheetId="27" hidden="1">0.000001</definedName>
    <definedName name="solver_pre" localSheetId="29" hidden="1">0.000001</definedName>
    <definedName name="solver_pre" localSheetId="32" hidden="1">0.000001</definedName>
    <definedName name="solver_pre" localSheetId="30" hidden="1">0.000001</definedName>
    <definedName name="solver_pre" localSheetId="31" hidden="1">0.000001</definedName>
    <definedName name="solver_pre" localSheetId="34" hidden="1">0.000001</definedName>
    <definedName name="solver_pre" localSheetId="33" hidden="1">0.000001</definedName>
    <definedName name="solver_rbv" localSheetId="4" hidden="1">2</definedName>
    <definedName name="solver_rbv" localSheetId="1" hidden="1">2</definedName>
    <definedName name="solver_rbv" localSheetId="3" hidden="1">2</definedName>
    <definedName name="solver_rbv" localSheetId="2" hidden="1">2</definedName>
    <definedName name="solver_rbv" localSheetId="8" hidden="1">2</definedName>
    <definedName name="solver_rbv" localSheetId="5" hidden="1">2</definedName>
    <definedName name="solver_rbv" localSheetId="6" hidden="1">2</definedName>
    <definedName name="solver_rbv" localSheetId="7" hidden="1">2</definedName>
    <definedName name="solver_rbv" localSheetId="11" hidden="1">2</definedName>
    <definedName name="solver_rbv" localSheetId="12" hidden="1">2</definedName>
    <definedName name="solver_rbv" localSheetId="9" hidden="1">2</definedName>
    <definedName name="solver_rbv" localSheetId="10" hidden="1">2</definedName>
    <definedName name="solver_rbv" localSheetId="15" hidden="1">2</definedName>
    <definedName name="solver_rbv" localSheetId="16" hidden="1">2</definedName>
    <definedName name="solver_rbv" localSheetId="13" hidden="1">2</definedName>
    <definedName name="solver_rbv" localSheetId="14" hidden="1">2</definedName>
    <definedName name="solver_rbv" localSheetId="20" hidden="1">2</definedName>
    <definedName name="solver_rbv" localSheetId="17" hidden="1">2</definedName>
    <definedName name="solver_rbv" localSheetId="18" hidden="1">2</definedName>
    <definedName name="solver_rbv" localSheetId="19" hidden="1">2</definedName>
    <definedName name="solver_rbv" localSheetId="21" hidden="1">2</definedName>
    <definedName name="solver_rbv" localSheetId="22" hidden="1">2</definedName>
    <definedName name="solver_rbv" localSheetId="23" hidden="1">2</definedName>
    <definedName name="solver_rbv" localSheetId="24" hidden="1">2</definedName>
    <definedName name="solver_rbv" localSheetId="25" hidden="1">2</definedName>
    <definedName name="solver_rbv" localSheetId="28" hidden="1">2</definedName>
    <definedName name="solver_rbv" localSheetId="26" hidden="1">2</definedName>
    <definedName name="solver_rbv" localSheetId="27" hidden="1">2</definedName>
    <definedName name="solver_rbv" localSheetId="29" hidden="1">2</definedName>
    <definedName name="solver_rbv" localSheetId="32" hidden="1">2</definedName>
    <definedName name="solver_rbv" localSheetId="30" hidden="1">2</definedName>
    <definedName name="solver_rbv" localSheetId="31" hidden="1">2</definedName>
    <definedName name="solver_rbv" localSheetId="34" hidden="1">2</definedName>
    <definedName name="solver_rbv" localSheetId="33" hidden="1">2</definedName>
    <definedName name="solver_rel1" localSheetId="4" hidden="1">2</definedName>
    <definedName name="solver_rel1" localSheetId="1" hidden="1">2</definedName>
    <definedName name="solver_rel1" localSheetId="3" hidden="1">2</definedName>
    <definedName name="solver_rel1" localSheetId="2" hidden="1">2</definedName>
    <definedName name="solver_rel1" localSheetId="8" hidden="1">2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" localSheetId="11" hidden="1">2</definedName>
    <definedName name="solver_rel1" localSheetId="12" hidden="1">2</definedName>
    <definedName name="solver_rel1" localSheetId="9" hidden="1">2</definedName>
    <definedName name="solver_rel1" localSheetId="10" hidden="1">2</definedName>
    <definedName name="solver_rel1" localSheetId="15" hidden="1">2</definedName>
    <definedName name="solver_rel1" localSheetId="16" hidden="1">2</definedName>
    <definedName name="solver_rel1" localSheetId="13" hidden="1">2</definedName>
    <definedName name="solver_rel1" localSheetId="14" hidden="1">2</definedName>
    <definedName name="solver_rel1" localSheetId="20" hidden="1">2</definedName>
    <definedName name="solver_rel1" localSheetId="17" hidden="1">2</definedName>
    <definedName name="solver_rel1" localSheetId="18" hidden="1">2</definedName>
    <definedName name="solver_rel1" localSheetId="19" hidden="1">2</definedName>
    <definedName name="solver_rel1" localSheetId="21" hidden="1">2</definedName>
    <definedName name="solver_rel1" localSheetId="22" hidden="1">2</definedName>
    <definedName name="solver_rel1" localSheetId="23" hidden="1">2</definedName>
    <definedName name="solver_rel1" localSheetId="24" hidden="1">2</definedName>
    <definedName name="solver_rel1" localSheetId="25" hidden="1">2</definedName>
    <definedName name="solver_rel1" localSheetId="28" hidden="1">2</definedName>
    <definedName name="solver_rel1" localSheetId="26" hidden="1">2</definedName>
    <definedName name="solver_rel1" localSheetId="27" hidden="1">2</definedName>
    <definedName name="solver_rel1" localSheetId="29" hidden="1">2</definedName>
    <definedName name="solver_rel1" localSheetId="32" hidden="1">2</definedName>
    <definedName name="solver_rel1" localSheetId="30" hidden="1">2</definedName>
    <definedName name="solver_rel1" localSheetId="31" hidden="1">2</definedName>
    <definedName name="solver_rel1" localSheetId="34" hidden="1">2</definedName>
    <definedName name="solver_rel1" localSheetId="33" hidden="1">2</definedName>
    <definedName name="solver_rel10" localSheetId="4" hidden="1">3</definedName>
    <definedName name="solver_rel10" localSheetId="1" hidden="1">3</definedName>
    <definedName name="solver_rel10" localSheetId="3" hidden="1">3</definedName>
    <definedName name="solver_rel10" localSheetId="2" hidden="1">3</definedName>
    <definedName name="solver_rel10" localSheetId="8" hidden="1">3</definedName>
    <definedName name="solver_rel10" localSheetId="5" hidden="1">3</definedName>
    <definedName name="solver_rel10" localSheetId="6" hidden="1">3</definedName>
    <definedName name="solver_rel10" localSheetId="7" hidden="1">3</definedName>
    <definedName name="solver_rel10" localSheetId="11" hidden="1">3</definedName>
    <definedName name="solver_rel10" localSheetId="12" hidden="1">3</definedName>
    <definedName name="solver_rel10" localSheetId="9" hidden="1">3</definedName>
    <definedName name="solver_rel10" localSheetId="10" hidden="1">3</definedName>
    <definedName name="solver_rel10" localSheetId="15" hidden="1">3</definedName>
    <definedName name="solver_rel10" localSheetId="16" hidden="1">3</definedName>
    <definedName name="solver_rel10" localSheetId="13" hidden="1">3</definedName>
    <definedName name="solver_rel10" localSheetId="14" hidden="1">3</definedName>
    <definedName name="solver_rel10" localSheetId="20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1" hidden="1">3</definedName>
    <definedName name="solver_rel10" localSheetId="22" hidden="1">3</definedName>
    <definedName name="solver_rel10" localSheetId="23" hidden="1">3</definedName>
    <definedName name="solver_rel10" localSheetId="24" hidden="1">3</definedName>
    <definedName name="solver_rel10" localSheetId="25" hidden="1">3</definedName>
    <definedName name="solver_rel10" localSheetId="28" hidden="1">3</definedName>
    <definedName name="solver_rel10" localSheetId="26" hidden="1">3</definedName>
    <definedName name="solver_rel10" localSheetId="27" hidden="1">3</definedName>
    <definedName name="solver_rel10" localSheetId="29" hidden="1">3</definedName>
    <definedName name="solver_rel10" localSheetId="32" hidden="1">3</definedName>
    <definedName name="solver_rel10" localSheetId="30" hidden="1">3</definedName>
    <definedName name="solver_rel10" localSheetId="31" hidden="1">3</definedName>
    <definedName name="solver_rel10" localSheetId="34" hidden="1">3</definedName>
    <definedName name="solver_rel10" localSheetId="33" hidden="1">3</definedName>
    <definedName name="solver_rel2" localSheetId="4" hidden="1">3</definedName>
    <definedName name="solver_rel2" localSheetId="1" hidden="1">3</definedName>
    <definedName name="solver_rel2" localSheetId="3" hidden="1">3</definedName>
    <definedName name="solver_rel2" localSheetId="2" hidden="1">3</definedName>
    <definedName name="solver_rel2" localSheetId="8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11" hidden="1">3</definedName>
    <definedName name="solver_rel2" localSheetId="12" hidden="1">3</definedName>
    <definedName name="solver_rel2" localSheetId="9" hidden="1">3</definedName>
    <definedName name="solver_rel2" localSheetId="10" hidden="1">3</definedName>
    <definedName name="solver_rel2" localSheetId="15" hidden="1">3</definedName>
    <definedName name="solver_rel2" localSheetId="16" hidden="1">3</definedName>
    <definedName name="solver_rel2" localSheetId="13" hidden="1">3</definedName>
    <definedName name="solver_rel2" localSheetId="14" hidden="1">3</definedName>
    <definedName name="solver_rel2" localSheetId="20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8" hidden="1">3</definedName>
    <definedName name="solver_rel2" localSheetId="26" hidden="1">3</definedName>
    <definedName name="solver_rel2" localSheetId="27" hidden="1">3</definedName>
    <definedName name="solver_rel2" localSheetId="29" hidden="1">3</definedName>
    <definedName name="solver_rel2" localSheetId="32" hidden="1">3</definedName>
    <definedName name="solver_rel2" localSheetId="30" hidden="1">3</definedName>
    <definedName name="solver_rel2" localSheetId="31" hidden="1">3</definedName>
    <definedName name="solver_rel2" localSheetId="34" hidden="1">3</definedName>
    <definedName name="solver_rel2" localSheetId="33" hidden="1">3</definedName>
    <definedName name="solver_rel3" localSheetId="4" hidden="1">1</definedName>
    <definedName name="solver_rel3" localSheetId="1" hidden="1">1</definedName>
    <definedName name="solver_rel3" localSheetId="3" hidden="1">1</definedName>
    <definedName name="solver_rel3" localSheetId="2" hidden="1">1</definedName>
    <definedName name="solver_rel3" localSheetId="8" hidden="1">1</definedName>
    <definedName name="solver_rel3" localSheetId="5" hidden="1">1</definedName>
    <definedName name="solver_rel3" localSheetId="6" hidden="1">1</definedName>
    <definedName name="solver_rel3" localSheetId="7" hidden="1">1</definedName>
    <definedName name="solver_rel3" localSheetId="11" hidden="1">1</definedName>
    <definedName name="solver_rel3" localSheetId="12" hidden="1">1</definedName>
    <definedName name="solver_rel3" localSheetId="9" hidden="1">1</definedName>
    <definedName name="solver_rel3" localSheetId="10" hidden="1">1</definedName>
    <definedName name="solver_rel3" localSheetId="15" hidden="1">1</definedName>
    <definedName name="solver_rel3" localSheetId="16" hidden="1">1</definedName>
    <definedName name="solver_rel3" localSheetId="13" hidden="1">1</definedName>
    <definedName name="solver_rel3" localSheetId="14" hidden="1">1</definedName>
    <definedName name="solver_rel3" localSheetId="20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1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8" hidden="1">1</definedName>
    <definedName name="solver_rel3" localSheetId="26" hidden="1">1</definedName>
    <definedName name="solver_rel3" localSheetId="27" hidden="1">1</definedName>
    <definedName name="solver_rel3" localSheetId="29" hidden="1">1</definedName>
    <definedName name="solver_rel3" localSheetId="32" hidden="1">1</definedName>
    <definedName name="solver_rel3" localSheetId="30" hidden="1">1</definedName>
    <definedName name="solver_rel3" localSheetId="31" hidden="1">1</definedName>
    <definedName name="solver_rel3" localSheetId="34" hidden="1">1</definedName>
    <definedName name="solver_rel3" localSheetId="33" hidden="1">1</definedName>
    <definedName name="solver_rel4" localSheetId="4" hidden="1">4</definedName>
    <definedName name="solver_rel4" localSheetId="1" hidden="1">4</definedName>
    <definedName name="solver_rel4" localSheetId="3" hidden="1">4</definedName>
    <definedName name="solver_rel4" localSheetId="2" hidden="1">4</definedName>
    <definedName name="solver_rel4" localSheetId="8" hidden="1">4</definedName>
    <definedName name="solver_rel4" localSheetId="5" hidden="1">4</definedName>
    <definedName name="solver_rel4" localSheetId="6" hidden="1">4</definedName>
    <definedName name="solver_rel4" localSheetId="7" hidden="1">4</definedName>
    <definedName name="solver_rel4" localSheetId="11" hidden="1">4</definedName>
    <definedName name="solver_rel4" localSheetId="12" hidden="1">4</definedName>
    <definedName name="solver_rel4" localSheetId="9" hidden="1">4</definedName>
    <definedName name="solver_rel4" localSheetId="10" hidden="1">4</definedName>
    <definedName name="solver_rel4" localSheetId="15" hidden="1">4</definedName>
    <definedName name="solver_rel4" localSheetId="16" hidden="1">4</definedName>
    <definedName name="solver_rel4" localSheetId="13" hidden="1">4</definedName>
    <definedName name="solver_rel4" localSheetId="14" hidden="1">4</definedName>
    <definedName name="solver_rel4" localSheetId="20" hidden="1">4</definedName>
    <definedName name="solver_rel4" localSheetId="17" hidden="1">4</definedName>
    <definedName name="solver_rel4" localSheetId="18" hidden="1">4</definedName>
    <definedName name="solver_rel4" localSheetId="19" hidden="1">4</definedName>
    <definedName name="solver_rel4" localSheetId="21" hidden="1">4</definedName>
    <definedName name="solver_rel4" localSheetId="22" hidden="1">4</definedName>
    <definedName name="solver_rel4" localSheetId="23" hidden="1">4</definedName>
    <definedName name="solver_rel4" localSheetId="24" hidden="1">4</definedName>
    <definedName name="solver_rel4" localSheetId="25" hidden="1">4</definedName>
    <definedName name="solver_rel4" localSheetId="28" hidden="1">4</definedName>
    <definedName name="solver_rel4" localSheetId="26" hidden="1">4</definedName>
    <definedName name="solver_rel4" localSheetId="27" hidden="1">4</definedName>
    <definedName name="solver_rel4" localSheetId="29" hidden="1">4</definedName>
    <definedName name="solver_rel4" localSheetId="32" hidden="1">4</definedName>
    <definedName name="solver_rel4" localSheetId="30" hidden="1">4</definedName>
    <definedName name="solver_rel4" localSheetId="31" hidden="1">4</definedName>
    <definedName name="solver_rel4" localSheetId="34" hidden="1">4</definedName>
    <definedName name="solver_rel4" localSheetId="33" hidden="1">4</definedName>
    <definedName name="solver_rel5" localSheetId="4" hidden="1">1</definedName>
    <definedName name="solver_rel5" localSheetId="1" hidden="1">1</definedName>
    <definedName name="solver_rel5" localSheetId="3" hidden="1">1</definedName>
    <definedName name="solver_rel5" localSheetId="2" hidden="1">1</definedName>
    <definedName name="solver_rel5" localSheetId="8" hidden="1">1</definedName>
    <definedName name="solver_rel5" localSheetId="5" hidden="1">1</definedName>
    <definedName name="solver_rel5" localSheetId="6" hidden="1">1</definedName>
    <definedName name="solver_rel5" localSheetId="7" hidden="1">1</definedName>
    <definedName name="solver_rel5" localSheetId="11" hidden="1">1</definedName>
    <definedName name="solver_rel5" localSheetId="12" hidden="1">1</definedName>
    <definedName name="solver_rel5" localSheetId="9" hidden="1">1</definedName>
    <definedName name="solver_rel5" localSheetId="10" hidden="1">1</definedName>
    <definedName name="solver_rel5" localSheetId="15" hidden="1">1</definedName>
    <definedName name="solver_rel5" localSheetId="16" hidden="1">1</definedName>
    <definedName name="solver_rel5" localSheetId="13" hidden="1">1</definedName>
    <definedName name="solver_rel5" localSheetId="14" hidden="1">1</definedName>
    <definedName name="solver_rel5" localSheetId="20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1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8" hidden="1">1</definedName>
    <definedName name="solver_rel5" localSheetId="26" hidden="1">1</definedName>
    <definedName name="solver_rel5" localSheetId="27" hidden="1">1</definedName>
    <definedName name="solver_rel5" localSheetId="29" hidden="1">1</definedName>
    <definedName name="solver_rel5" localSheetId="32" hidden="1">1</definedName>
    <definedName name="solver_rel5" localSheetId="30" hidden="1">1</definedName>
    <definedName name="solver_rel5" localSheetId="31" hidden="1">1</definedName>
    <definedName name="solver_rel5" localSheetId="34" hidden="1">1</definedName>
    <definedName name="solver_rel5" localSheetId="33" hidden="1">1</definedName>
    <definedName name="solver_rel6" localSheetId="4" hidden="1">3</definedName>
    <definedName name="solver_rel6" localSheetId="1" hidden="1">3</definedName>
    <definedName name="solver_rel6" localSheetId="3" hidden="1">3</definedName>
    <definedName name="solver_rel6" localSheetId="2" hidden="1">3</definedName>
    <definedName name="solver_rel6" localSheetId="8" hidden="1">3</definedName>
    <definedName name="solver_rel6" localSheetId="5" hidden="1">3</definedName>
    <definedName name="solver_rel6" localSheetId="6" hidden="1">3</definedName>
    <definedName name="solver_rel6" localSheetId="7" hidden="1">3</definedName>
    <definedName name="solver_rel6" localSheetId="11" hidden="1">3</definedName>
    <definedName name="solver_rel6" localSheetId="12" hidden="1">3</definedName>
    <definedName name="solver_rel6" localSheetId="9" hidden="1">3</definedName>
    <definedName name="solver_rel6" localSheetId="10" hidden="1">3</definedName>
    <definedName name="solver_rel6" localSheetId="15" hidden="1">3</definedName>
    <definedName name="solver_rel6" localSheetId="16" hidden="1">3</definedName>
    <definedName name="solver_rel6" localSheetId="13" hidden="1">3</definedName>
    <definedName name="solver_rel6" localSheetId="14" hidden="1">3</definedName>
    <definedName name="solver_rel6" localSheetId="20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8" hidden="1">3</definedName>
    <definedName name="solver_rel6" localSheetId="26" hidden="1">3</definedName>
    <definedName name="solver_rel6" localSheetId="27" hidden="1">3</definedName>
    <definedName name="solver_rel6" localSheetId="29" hidden="1">3</definedName>
    <definedName name="solver_rel6" localSheetId="32" hidden="1">3</definedName>
    <definedName name="solver_rel6" localSheetId="30" hidden="1">3</definedName>
    <definedName name="solver_rel6" localSheetId="31" hidden="1">3</definedName>
    <definedName name="solver_rel6" localSheetId="34" hidden="1">3</definedName>
    <definedName name="solver_rel6" localSheetId="33" hidden="1">3</definedName>
    <definedName name="solver_rel7" localSheetId="4" hidden="1">3</definedName>
    <definedName name="solver_rel7" localSheetId="1" hidden="1">3</definedName>
    <definedName name="solver_rel7" localSheetId="3" hidden="1">3</definedName>
    <definedName name="solver_rel7" localSheetId="2" hidden="1">3</definedName>
    <definedName name="solver_rel7" localSheetId="8" hidden="1">3</definedName>
    <definedName name="solver_rel7" localSheetId="5" hidden="1">3</definedName>
    <definedName name="solver_rel7" localSheetId="6" hidden="1">3</definedName>
    <definedName name="solver_rel7" localSheetId="7" hidden="1">3</definedName>
    <definedName name="solver_rel7" localSheetId="11" hidden="1">3</definedName>
    <definedName name="solver_rel7" localSheetId="12" hidden="1">3</definedName>
    <definedName name="solver_rel7" localSheetId="9" hidden="1">3</definedName>
    <definedName name="solver_rel7" localSheetId="10" hidden="1">3</definedName>
    <definedName name="solver_rel7" localSheetId="15" hidden="1">3</definedName>
    <definedName name="solver_rel7" localSheetId="16" hidden="1">3</definedName>
    <definedName name="solver_rel7" localSheetId="13" hidden="1">3</definedName>
    <definedName name="solver_rel7" localSheetId="14" hidden="1">3</definedName>
    <definedName name="solver_rel7" localSheetId="20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1" hidden="1">3</definedName>
    <definedName name="solver_rel7" localSheetId="22" hidden="1">3</definedName>
    <definedName name="solver_rel7" localSheetId="23" hidden="1">3</definedName>
    <definedName name="solver_rel7" localSheetId="24" hidden="1">3</definedName>
    <definedName name="solver_rel7" localSheetId="25" hidden="1">3</definedName>
    <definedName name="solver_rel7" localSheetId="28" hidden="1">3</definedName>
    <definedName name="solver_rel7" localSheetId="26" hidden="1">3</definedName>
    <definedName name="solver_rel7" localSheetId="27" hidden="1">3</definedName>
    <definedName name="solver_rel7" localSheetId="29" hidden="1">3</definedName>
    <definedName name="solver_rel7" localSheetId="32" hidden="1">3</definedName>
    <definedName name="solver_rel7" localSheetId="30" hidden="1">3</definedName>
    <definedName name="solver_rel7" localSheetId="31" hidden="1">3</definedName>
    <definedName name="solver_rel7" localSheetId="34" hidden="1">3</definedName>
    <definedName name="solver_rel7" localSheetId="33" hidden="1">3</definedName>
    <definedName name="solver_rel8" localSheetId="4" hidden="1">3</definedName>
    <definedName name="solver_rel8" localSheetId="1" hidden="1">3</definedName>
    <definedName name="solver_rel8" localSheetId="3" hidden="1">3</definedName>
    <definedName name="solver_rel8" localSheetId="2" hidden="1">3</definedName>
    <definedName name="solver_rel8" localSheetId="8" hidden="1">3</definedName>
    <definedName name="solver_rel8" localSheetId="5" hidden="1">3</definedName>
    <definedName name="solver_rel8" localSheetId="6" hidden="1">3</definedName>
    <definedName name="solver_rel8" localSheetId="7" hidden="1">3</definedName>
    <definedName name="solver_rel8" localSheetId="11" hidden="1">3</definedName>
    <definedName name="solver_rel8" localSheetId="12" hidden="1">3</definedName>
    <definedName name="solver_rel8" localSheetId="9" hidden="1">3</definedName>
    <definedName name="solver_rel8" localSheetId="10" hidden="1">3</definedName>
    <definedName name="solver_rel8" localSheetId="15" hidden="1">3</definedName>
    <definedName name="solver_rel8" localSheetId="16" hidden="1">3</definedName>
    <definedName name="solver_rel8" localSheetId="13" hidden="1">3</definedName>
    <definedName name="solver_rel8" localSheetId="14" hidden="1">3</definedName>
    <definedName name="solver_rel8" localSheetId="20" hidden="1">3</definedName>
    <definedName name="solver_rel8" localSheetId="17" hidden="1">3</definedName>
    <definedName name="solver_rel8" localSheetId="18" hidden="1">3</definedName>
    <definedName name="solver_rel8" localSheetId="19" hidden="1">3</definedName>
    <definedName name="solver_rel8" localSheetId="21" hidden="1">3</definedName>
    <definedName name="solver_rel8" localSheetId="22" hidden="1">3</definedName>
    <definedName name="solver_rel8" localSheetId="23" hidden="1">3</definedName>
    <definedName name="solver_rel8" localSheetId="24" hidden="1">3</definedName>
    <definedName name="solver_rel8" localSheetId="25" hidden="1">3</definedName>
    <definedName name="solver_rel8" localSheetId="28" hidden="1">3</definedName>
    <definedName name="solver_rel8" localSheetId="26" hidden="1">3</definedName>
    <definedName name="solver_rel8" localSheetId="27" hidden="1">3</definedName>
    <definedName name="solver_rel8" localSheetId="29" hidden="1">3</definedName>
    <definedName name="solver_rel8" localSheetId="32" hidden="1">3</definedName>
    <definedName name="solver_rel8" localSheetId="30" hidden="1">3</definedName>
    <definedName name="solver_rel8" localSheetId="31" hidden="1">3</definedName>
    <definedName name="solver_rel8" localSheetId="34" hidden="1">3</definedName>
    <definedName name="solver_rel8" localSheetId="33" hidden="1">3</definedName>
    <definedName name="solver_rel9" localSheetId="4" hidden="1">3</definedName>
    <definedName name="solver_rel9" localSheetId="1" hidden="1">3</definedName>
    <definedName name="solver_rel9" localSheetId="3" hidden="1">3</definedName>
    <definedName name="solver_rel9" localSheetId="2" hidden="1">3</definedName>
    <definedName name="solver_rel9" localSheetId="8" hidden="1">3</definedName>
    <definedName name="solver_rel9" localSheetId="5" hidden="1">3</definedName>
    <definedName name="solver_rel9" localSheetId="6" hidden="1">3</definedName>
    <definedName name="solver_rel9" localSheetId="7" hidden="1">3</definedName>
    <definedName name="solver_rel9" localSheetId="11" hidden="1">3</definedName>
    <definedName name="solver_rel9" localSheetId="12" hidden="1">3</definedName>
    <definedName name="solver_rel9" localSheetId="9" hidden="1">3</definedName>
    <definedName name="solver_rel9" localSheetId="10" hidden="1">3</definedName>
    <definedName name="solver_rel9" localSheetId="15" hidden="1">3</definedName>
    <definedName name="solver_rel9" localSheetId="16" hidden="1">3</definedName>
    <definedName name="solver_rel9" localSheetId="13" hidden="1">3</definedName>
    <definedName name="solver_rel9" localSheetId="14" hidden="1">3</definedName>
    <definedName name="solver_rel9" localSheetId="20" hidden="1">3</definedName>
    <definedName name="solver_rel9" localSheetId="17" hidden="1">3</definedName>
    <definedName name="solver_rel9" localSheetId="18" hidden="1">3</definedName>
    <definedName name="solver_rel9" localSheetId="19" hidden="1">3</definedName>
    <definedName name="solver_rel9" localSheetId="21" hidden="1">3</definedName>
    <definedName name="solver_rel9" localSheetId="22" hidden="1">3</definedName>
    <definedName name="solver_rel9" localSheetId="23" hidden="1">3</definedName>
    <definedName name="solver_rel9" localSheetId="24" hidden="1">3</definedName>
    <definedName name="solver_rel9" localSheetId="25" hidden="1">3</definedName>
    <definedName name="solver_rel9" localSheetId="28" hidden="1">3</definedName>
    <definedName name="solver_rel9" localSheetId="26" hidden="1">3</definedName>
    <definedName name="solver_rel9" localSheetId="27" hidden="1">3</definedName>
    <definedName name="solver_rel9" localSheetId="29" hidden="1">3</definedName>
    <definedName name="solver_rel9" localSheetId="32" hidden="1">3</definedName>
    <definedName name="solver_rel9" localSheetId="30" hidden="1">3</definedName>
    <definedName name="solver_rel9" localSheetId="31" hidden="1">3</definedName>
    <definedName name="solver_rel9" localSheetId="34" hidden="1">3</definedName>
    <definedName name="solver_rel9" localSheetId="33" hidden="1">3</definedName>
    <definedName name="solver_rhs1" localSheetId="4" hidden="1">'1-Diona'!$D$86</definedName>
    <definedName name="solver_rhs1" localSheetId="1" hidden="1">'1-Eula'!$D$86</definedName>
    <definedName name="solver_rhs1" localSheetId="3" hidden="1">'1-Lisa'!$D$86</definedName>
    <definedName name="solver_rhs1" localSheetId="2" hidden="1">'1-Raiden'!$D$86</definedName>
    <definedName name="solver_rhs1" localSheetId="8" hidden="1">'2-Diona'!$D$86</definedName>
    <definedName name="solver_rhs1" localSheetId="5" hidden="1">'2-Eula'!$D$86</definedName>
    <definedName name="solver_rhs1" localSheetId="6" hidden="1">'2-Fischl'!$D$86</definedName>
    <definedName name="solver_rhs1" localSheetId="7" hidden="1">'2-Rosaria'!$D$86</definedName>
    <definedName name="solver_rhs1" localSheetId="11" hidden="1">'3-Beidou'!$D$86</definedName>
    <definedName name="solver_rhs1" localSheetId="12" hidden="1">'3-Diona'!$D$86</definedName>
    <definedName name="solver_rhs1" localSheetId="9" hidden="1">'3-Eula'!$D$86</definedName>
    <definedName name="solver_rhs1" localSheetId="10" hidden="1">'3-Raiden'!$D$86</definedName>
    <definedName name="solver_rhs1" localSheetId="15" hidden="1">'4-Beidou'!$D$86</definedName>
    <definedName name="solver_rhs1" localSheetId="16" hidden="1">'4-Diona'!$D$86</definedName>
    <definedName name="solver_rhs1" localSheetId="13" hidden="1">'4-Eula'!$D$86</definedName>
    <definedName name="solver_rhs1" localSheetId="14" hidden="1">'4-Fischl'!$D$86</definedName>
    <definedName name="solver_rhs1" localSheetId="20" hidden="1">'5-Diona'!$D$86</definedName>
    <definedName name="solver_rhs1" localSheetId="17" hidden="1">'5-Eula'!$D$86</definedName>
    <definedName name="solver_rhs1" localSheetId="18" hidden="1">'5-Raiden'!$D$86</definedName>
    <definedName name="solver_rhs1" localSheetId="19" hidden="1">'5-Rosaria'!$D$86</definedName>
    <definedName name="solver_rhs1" localSheetId="21" hidden="1">'6-Eula'!$D$86</definedName>
    <definedName name="solver_rhs1" localSheetId="22" hidden="1">'6-Raiden'!$D$86</definedName>
    <definedName name="solver_rhs1" localSheetId="23" hidden="1">'6-Rosaria'!$D$86</definedName>
    <definedName name="solver_rhs1" localSheetId="24" hidden="1">'6-Zhongli'!$D$86</definedName>
    <definedName name="solver_rhs1" localSheetId="25" hidden="1">'7-Eula'!$D$86</definedName>
    <definedName name="solver_rhs1" localSheetId="28" hidden="1">'7-Qiqi'!$D$86</definedName>
    <definedName name="solver_rhs1" localSheetId="26" hidden="1">'7-Raiden'!$D$86</definedName>
    <definedName name="solver_rhs1" localSheetId="27" hidden="1">'7-Rosaria'!$D$86</definedName>
    <definedName name="solver_rhs1" localSheetId="29" hidden="1">'8-Eula'!$D$86</definedName>
    <definedName name="solver_rhs1" localSheetId="32" hidden="1">'8-Qiqi'!$D$86</definedName>
    <definedName name="solver_rhs1" localSheetId="30" hidden="1">'8-Raiden'!$D$86</definedName>
    <definedName name="solver_rhs1" localSheetId="31" hidden="1">'8-Rosaria'!$D$86</definedName>
    <definedName name="solver_rhs1" localSheetId="34" hidden="1">backup!$D$86</definedName>
    <definedName name="solver_rhs1" localSheetId="33" hidden="1">template!$D$86</definedName>
    <definedName name="solver_rhs10" localSheetId="4" hidden="1">'1-Diona'!#REF!</definedName>
    <definedName name="solver_rhs10" localSheetId="1" hidden="1">'1-Eula'!#REF!</definedName>
    <definedName name="solver_rhs10" localSheetId="3" hidden="1">'1-Lisa'!#REF!</definedName>
    <definedName name="solver_rhs10" localSheetId="2" hidden="1">'1-Raiden'!#REF!</definedName>
    <definedName name="solver_rhs10" localSheetId="8" hidden="1">'2-Diona'!#REF!</definedName>
    <definedName name="solver_rhs10" localSheetId="5" hidden="1">'2-Eula'!#REF!</definedName>
    <definedName name="solver_rhs10" localSheetId="6" hidden="1">'2-Fischl'!#REF!</definedName>
    <definedName name="solver_rhs10" localSheetId="7" hidden="1">'2-Rosaria'!#REF!</definedName>
    <definedName name="solver_rhs10" localSheetId="11" hidden="1">'3-Beidou'!#REF!</definedName>
    <definedName name="solver_rhs10" localSheetId="12" hidden="1">'3-Diona'!#REF!</definedName>
    <definedName name="solver_rhs10" localSheetId="9" hidden="1">'3-Eula'!#REF!</definedName>
    <definedName name="solver_rhs10" localSheetId="10" hidden="1">'3-Raiden'!#REF!</definedName>
    <definedName name="solver_rhs10" localSheetId="15" hidden="1">'4-Beidou'!#REF!</definedName>
    <definedName name="solver_rhs10" localSheetId="16" hidden="1">'4-Diona'!#REF!</definedName>
    <definedName name="solver_rhs10" localSheetId="13" hidden="1">'4-Eula'!#REF!</definedName>
    <definedName name="solver_rhs10" localSheetId="14" hidden="1">'4-Fischl'!#REF!</definedName>
    <definedName name="solver_rhs10" localSheetId="20" hidden="1">'5-Diona'!#REF!</definedName>
    <definedName name="solver_rhs10" localSheetId="17" hidden="1">'5-Eula'!#REF!</definedName>
    <definedName name="solver_rhs10" localSheetId="18" hidden="1">'5-Raiden'!#REF!</definedName>
    <definedName name="solver_rhs10" localSheetId="19" hidden="1">'5-Rosaria'!#REF!</definedName>
    <definedName name="solver_rhs10" localSheetId="21" hidden="1">'6-Eula'!#REF!</definedName>
    <definedName name="solver_rhs10" localSheetId="22" hidden="1">'6-Raiden'!#REF!</definedName>
    <definedName name="solver_rhs10" localSheetId="23" hidden="1">'6-Rosaria'!#REF!</definedName>
    <definedName name="solver_rhs10" localSheetId="24" hidden="1">'6-Zhongli'!#REF!</definedName>
    <definedName name="solver_rhs10" localSheetId="25" hidden="1">'7-Eula'!#REF!</definedName>
    <definedName name="solver_rhs10" localSheetId="28" hidden="1">'7-Qiqi'!#REF!</definedName>
    <definedName name="solver_rhs10" localSheetId="26" hidden="1">'7-Raiden'!#REF!</definedName>
    <definedName name="solver_rhs10" localSheetId="27" hidden="1">'7-Rosaria'!#REF!</definedName>
    <definedName name="solver_rhs10" localSheetId="29" hidden="1">'8-Eula'!#REF!</definedName>
    <definedName name="solver_rhs10" localSheetId="32" hidden="1">'8-Qiqi'!#REF!</definedName>
    <definedName name="solver_rhs10" localSheetId="30" hidden="1">'8-Raiden'!#REF!</definedName>
    <definedName name="solver_rhs10" localSheetId="31" hidden="1">'8-Rosaria'!#REF!</definedName>
    <definedName name="solver_rhs10" localSheetId="34" hidden="1">backup!#REF!</definedName>
    <definedName name="solver_rhs10" localSheetId="33" hidden="1">template!#REF!</definedName>
    <definedName name="solver_rhs2" localSheetId="4" hidden="1">'1-Diona'!$E$19</definedName>
    <definedName name="solver_rhs2" localSheetId="1" hidden="1">'1-Eula'!$E$19</definedName>
    <definedName name="solver_rhs2" localSheetId="3" hidden="1">'1-Lisa'!$E$19</definedName>
    <definedName name="solver_rhs2" localSheetId="2" hidden="1">'1-Raiden'!$E$19</definedName>
    <definedName name="solver_rhs2" localSheetId="8" hidden="1">'2-Diona'!$E$19</definedName>
    <definedName name="solver_rhs2" localSheetId="5" hidden="1">'2-Eula'!$E$19</definedName>
    <definedName name="solver_rhs2" localSheetId="6" hidden="1">'2-Fischl'!$E$19</definedName>
    <definedName name="solver_rhs2" localSheetId="7" hidden="1">'2-Rosaria'!$E$19</definedName>
    <definedName name="solver_rhs2" localSheetId="11" hidden="1">'3-Beidou'!$E$19</definedName>
    <definedName name="solver_rhs2" localSheetId="12" hidden="1">'3-Diona'!$E$19</definedName>
    <definedName name="solver_rhs2" localSheetId="9" hidden="1">'3-Eula'!$E$19</definedName>
    <definedName name="solver_rhs2" localSheetId="10" hidden="1">'3-Raiden'!$E$19</definedName>
    <definedName name="solver_rhs2" localSheetId="15" hidden="1">'4-Beidou'!$E$19</definedName>
    <definedName name="solver_rhs2" localSheetId="16" hidden="1">'4-Diona'!$E$19</definedName>
    <definedName name="solver_rhs2" localSheetId="13" hidden="1">'4-Eula'!$E$19</definedName>
    <definedName name="solver_rhs2" localSheetId="14" hidden="1">'4-Fischl'!$E$19</definedName>
    <definedName name="solver_rhs2" localSheetId="20" hidden="1">'5-Diona'!$E$19</definedName>
    <definedName name="solver_rhs2" localSheetId="17" hidden="1">'5-Eula'!$E$19</definedName>
    <definedName name="solver_rhs2" localSheetId="18" hidden="1">'5-Raiden'!$E$19</definedName>
    <definedName name="solver_rhs2" localSheetId="19" hidden="1">'5-Rosaria'!$E$19</definedName>
    <definedName name="solver_rhs2" localSheetId="21" hidden="1">'6-Eula'!$E$19</definedName>
    <definedName name="solver_rhs2" localSheetId="22" hidden="1">'6-Raiden'!$E$19</definedName>
    <definedName name="solver_rhs2" localSheetId="23" hidden="1">'6-Rosaria'!$E$19</definedName>
    <definedName name="solver_rhs2" localSheetId="24" hidden="1">'6-Zhongli'!$E$19</definedName>
    <definedName name="solver_rhs2" localSheetId="25" hidden="1">'7-Eula'!$E$19</definedName>
    <definedName name="solver_rhs2" localSheetId="28" hidden="1">'7-Qiqi'!$E$19</definedName>
    <definedName name="solver_rhs2" localSheetId="26" hidden="1">'7-Raiden'!$E$19</definedName>
    <definedName name="solver_rhs2" localSheetId="27" hidden="1">'7-Rosaria'!$E$19</definedName>
    <definedName name="solver_rhs2" localSheetId="29" hidden="1">'8-Eula'!$E$19</definedName>
    <definedName name="solver_rhs2" localSheetId="32" hidden="1">'8-Qiqi'!$E$19</definedName>
    <definedName name="solver_rhs2" localSheetId="30" hidden="1">'8-Raiden'!$E$19</definedName>
    <definedName name="solver_rhs2" localSheetId="31" hidden="1">'8-Rosaria'!$E$19</definedName>
    <definedName name="solver_rhs2" localSheetId="34" hidden="1">backup!$E$19</definedName>
    <definedName name="solver_rhs2" localSheetId="33" hidden="1">template!$E$19</definedName>
    <definedName name="solver_rhs3" localSheetId="4" hidden="1">'1-Diona'!$D$86</definedName>
    <definedName name="solver_rhs3" localSheetId="1" hidden="1">'1-Eula'!$D$86</definedName>
    <definedName name="solver_rhs3" localSheetId="3" hidden="1">'1-Lisa'!$D$86</definedName>
    <definedName name="solver_rhs3" localSheetId="2" hidden="1">'1-Raiden'!$D$86</definedName>
    <definedName name="solver_rhs3" localSheetId="8" hidden="1">'2-Diona'!$D$86</definedName>
    <definedName name="solver_rhs3" localSheetId="5" hidden="1">'2-Eula'!$D$86</definedName>
    <definedName name="solver_rhs3" localSheetId="6" hidden="1">'2-Fischl'!$D$86</definedName>
    <definedName name="solver_rhs3" localSheetId="7" hidden="1">'2-Rosaria'!$D$86</definedName>
    <definedName name="solver_rhs3" localSheetId="11" hidden="1">'3-Beidou'!$D$86</definedName>
    <definedName name="solver_rhs3" localSheetId="12" hidden="1">'3-Diona'!$D$86</definedName>
    <definedName name="solver_rhs3" localSheetId="9" hidden="1">'3-Eula'!$D$86</definedName>
    <definedName name="solver_rhs3" localSheetId="10" hidden="1">'3-Raiden'!$D$86</definedName>
    <definedName name="solver_rhs3" localSheetId="15" hidden="1">'4-Beidou'!$D$86</definedName>
    <definedName name="solver_rhs3" localSheetId="16" hidden="1">'4-Diona'!$D$86</definedName>
    <definedName name="solver_rhs3" localSheetId="13" hidden="1">'4-Eula'!$D$86</definedName>
    <definedName name="solver_rhs3" localSheetId="14" hidden="1">'4-Fischl'!$D$86</definedName>
    <definedName name="solver_rhs3" localSheetId="20" hidden="1">'5-Diona'!$D$86</definedName>
    <definedName name="solver_rhs3" localSheetId="17" hidden="1">'5-Eula'!$D$86</definedName>
    <definedName name="solver_rhs3" localSheetId="18" hidden="1">'5-Raiden'!$D$86</definedName>
    <definedName name="solver_rhs3" localSheetId="19" hidden="1">'5-Rosaria'!$D$86</definedName>
    <definedName name="solver_rhs3" localSheetId="21" hidden="1">'6-Eula'!$D$86</definedName>
    <definedName name="solver_rhs3" localSheetId="22" hidden="1">'6-Raiden'!$D$86</definedName>
    <definedName name="solver_rhs3" localSheetId="23" hidden="1">'6-Rosaria'!$D$86</definedName>
    <definedName name="solver_rhs3" localSheetId="24" hidden="1">'6-Zhongli'!$D$86</definedName>
    <definedName name="solver_rhs3" localSheetId="25" hidden="1">'7-Eula'!$D$86</definedName>
    <definedName name="solver_rhs3" localSheetId="28" hidden="1">'7-Qiqi'!$D$86</definedName>
    <definedName name="solver_rhs3" localSheetId="26" hidden="1">'7-Raiden'!$D$86</definedName>
    <definedName name="solver_rhs3" localSheetId="27" hidden="1">'7-Rosaria'!$D$86</definedName>
    <definedName name="solver_rhs3" localSheetId="29" hidden="1">'8-Eula'!$D$86</definedName>
    <definedName name="solver_rhs3" localSheetId="32" hidden="1">'8-Qiqi'!$D$86</definedName>
    <definedName name="solver_rhs3" localSheetId="30" hidden="1">'8-Raiden'!$D$86</definedName>
    <definedName name="solver_rhs3" localSheetId="31" hidden="1">'8-Rosaria'!$D$86</definedName>
    <definedName name="solver_rhs3" localSheetId="34" hidden="1">backup!$D$86</definedName>
    <definedName name="solver_rhs3" localSheetId="33" hidden="1">template!$D$86</definedName>
    <definedName name="solver_rhs4" localSheetId="4" hidden="1">"integer"</definedName>
    <definedName name="solver_rhs4" localSheetId="1" hidden="1">"integer"</definedName>
    <definedName name="solver_rhs4" localSheetId="3" hidden="1">"integer"</definedName>
    <definedName name="solver_rhs4" localSheetId="2" hidden="1">"integer"</definedName>
    <definedName name="solver_rhs4" localSheetId="8" hidden="1">"integer"</definedName>
    <definedName name="solver_rhs4" localSheetId="5" hidden="1">"integer"</definedName>
    <definedName name="solver_rhs4" localSheetId="6" hidden="1">"integer"</definedName>
    <definedName name="solver_rhs4" localSheetId="7" hidden="1">"integer"</definedName>
    <definedName name="solver_rhs4" localSheetId="11" hidden="1">"integer"</definedName>
    <definedName name="solver_rhs4" localSheetId="12" hidden="1">"integer"</definedName>
    <definedName name="solver_rhs4" localSheetId="9" hidden="1">"integer"</definedName>
    <definedName name="solver_rhs4" localSheetId="10" hidden="1">"integer"</definedName>
    <definedName name="solver_rhs4" localSheetId="15" hidden="1">"integer"</definedName>
    <definedName name="solver_rhs4" localSheetId="16" hidden="1">"integer"</definedName>
    <definedName name="solver_rhs4" localSheetId="13" hidden="1">"integer"</definedName>
    <definedName name="solver_rhs4" localSheetId="14" hidden="1">"integer"</definedName>
    <definedName name="solver_rhs4" localSheetId="20" hidden="1">"integer"</definedName>
    <definedName name="solver_rhs4" localSheetId="17" hidden="1">"integer"</definedName>
    <definedName name="solver_rhs4" localSheetId="18" hidden="1">"integer"</definedName>
    <definedName name="solver_rhs4" localSheetId="19" hidden="1">"integer"</definedName>
    <definedName name="solver_rhs4" localSheetId="21" hidden="1">"integer"</definedName>
    <definedName name="solver_rhs4" localSheetId="22" hidden="1">"integer"</definedName>
    <definedName name="solver_rhs4" localSheetId="23" hidden="1">"integer"</definedName>
    <definedName name="solver_rhs4" localSheetId="24" hidden="1">"integer"</definedName>
    <definedName name="solver_rhs4" localSheetId="25" hidden="1">"integer"</definedName>
    <definedName name="solver_rhs4" localSheetId="28" hidden="1">"integer"</definedName>
    <definedName name="solver_rhs4" localSheetId="26" hidden="1">"integer"</definedName>
    <definedName name="solver_rhs4" localSheetId="27" hidden="1">"integer"</definedName>
    <definedName name="solver_rhs4" localSheetId="29" hidden="1">"integer"</definedName>
    <definedName name="solver_rhs4" localSheetId="32" hidden="1">"integer"</definedName>
    <definedName name="solver_rhs4" localSheetId="30" hidden="1">"integer"</definedName>
    <definedName name="solver_rhs4" localSheetId="31" hidden="1">"integer"</definedName>
    <definedName name="solver_rhs4" localSheetId="34" hidden="1">"integer"</definedName>
    <definedName name="solver_rhs4" localSheetId="33" hidden="1">"integer"</definedName>
    <definedName name="solver_rhs5" localSheetId="4" hidden="1">'1-Diona'!$F$90:$F$96</definedName>
    <definedName name="solver_rhs5" localSheetId="1" hidden="1">'1-Eula'!$F$90:$F$96</definedName>
    <definedName name="solver_rhs5" localSheetId="3" hidden="1">'1-Lisa'!$F$90:$F$96</definedName>
    <definedName name="solver_rhs5" localSheetId="2" hidden="1">'1-Raiden'!$F$90:$F$96</definedName>
    <definedName name="solver_rhs5" localSheetId="8" hidden="1">'2-Diona'!$F$90:$F$96</definedName>
    <definedName name="solver_rhs5" localSheetId="5" hidden="1">'2-Eula'!$F$90:$F$96</definedName>
    <definedName name="solver_rhs5" localSheetId="6" hidden="1">'2-Fischl'!$F$90:$F$96</definedName>
    <definedName name="solver_rhs5" localSheetId="7" hidden="1">'2-Rosaria'!$F$90:$F$96</definedName>
    <definedName name="solver_rhs5" localSheetId="11" hidden="1">'3-Beidou'!$F$90:$F$96</definedName>
    <definedName name="solver_rhs5" localSheetId="12" hidden="1">'3-Diona'!$F$90:$F$96</definedName>
    <definedName name="solver_rhs5" localSheetId="9" hidden="1">'3-Eula'!$F$90:$F$96</definedName>
    <definedName name="solver_rhs5" localSheetId="10" hidden="1">'3-Raiden'!$F$90:$F$96</definedName>
    <definedName name="solver_rhs5" localSheetId="15" hidden="1">'4-Beidou'!$F$90:$F$96</definedName>
    <definedName name="solver_rhs5" localSheetId="16" hidden="1">'4-Diona'!$F$90:$F$96</definedName>
    <definedName name="solver_rhs5" localSheetId="13" hidden="1">'4-Eula'!$F$90:$F$96</definedName>
    <definedName name="solver_rhs5" localSheetId="14" hidden="1">'4-Fischl'!$F$90:$F$96</definedName>
    <definedName name="solver_rhs5" localSheetId="20" hidden="1">'5-Diona'!$F$90:$F$96</definedName>
    <definedName name="solver_rhs5" localSheetId="17" hidden="1">'5-Eula'!$F$90:$F$96</definedName>
    <definedName name="solver_rhs5" localSheetId="18" hidden="1">'5-Raiden'!$F$90:$F$96</definedName>
    <definedName name="solver_rhs5" localSheetId="19" hidden="1">'5-Rosaria'!$F$90:$F$96</definedName>
    <definedName name="solver_rhs5" localSheetId="21" hidden="1">'6-Eula'!$F$90:$F$96</definedName>
    <definedName name="solver_rhs5" localSheetId="22" hidden="1">'6-Raiden'!$F$90:$F$96</definedName>
    <definedName name="solver_rhs5" localSheetId="23" hidden="1">'6-Rosaria'!$F$90:$F$96</definedName>
    <definedName name="solver_rhs5" localSheetId="24" hidden="1">'6-Zhongli'!$F$90:$F$96</definedName>
    <definedName name="solver_rhs5" localSheetId="25" hidden="1">'7-Eula'!$F$90:$F$96</definedName>
    <definedName name="solver_rhs5" localSheetId="28" hidden="1">'7-Qiqi'!$F$90:$F$96</definedName>
    <definedName name="solver_rhs5" localSheetId="26" hidden="1">'7-Raiden'!$F$90:$F$96</definedName>
    <definedName name="solver_rhs5" localSheetId="27" hidden="1">'7-Rosaria'!$F$90:$F$96</definedName>
    <definedName name="solver_rhs5" localSheetId="29" hidden="1">'8-Eula'!$F$90:$F$96</definedName>
    <definedName name="solver_rhs5" localSheetId="32" hidden="1">'8-Qiqi'!$F$90:$F$96</definedName>
    <definedName name="solver_rhs5" localSheetId="30" hidden="1">'8-Raiden'!$F$90:$F$96</definedName>
    <definedName name="solver_rhs5" localSheetId="31" hidden="1">'8-Rosaria'!$F$90:$F$96</definedName>
    <definedName name="solver_rhs5" localSheetId="34" hidden="1">backup!$F$90:$F$96</definedName>
    <definedName name="solver_rhs5" localSheetId="33" hidden="1">template!$F$90:$F$96</definedName>
    <definedName name="solver_rhs6" localSheetId="4" hidden="1">'1-Diona'!#REF!</definedName>
    <definedName name="solver_rhs6" localSheetId="1" hidden="1">'1-Eula'!#REF!</definedName>
    <definedName name="solver_rhs6" localSheetId="3" hidden="1">'1-Lisa'!#REF!</definedName>
    <definedName name="solver_rhs6" localSheetId="2" hidden="1">'1-Raiden'!#REF!</definedName>
    <definedName name="solver_rhs6" localSheetId="8" hidden="1">'2-Diona'!#REF!</definedName>
    <definedName name="solver_rhs6" localSheetId="5" hidden="1">'2-Eula'!#REF!</definedName>
    <definedName name="solver_rhs6" localSheetId="6" hidden="1">'2-Fischl'!#REF!</definedName>
    <definedName name="solver_rhs6" localSheetId="7" hidden="1">'2-Rosaria'!#REF!</definedName>
    <definedName name="solver_rhs6" localSheetId="11" hidden="1">'3-Beidou'!#REF!</definedName>
    <definedName name="solver_rhs6" localSheetId="12" hidden="1">'3-Diona'!#REF!</definedName>
    <definedName name="solver_rhs6" localSheetId="9" hidden="1">'3-Eula'!#REF!</definedName>
    <definedName name="solver_rhs6" localSheetId="10" hidden="1">'3-Raiden'!#REF!</definedName>
    <definedName name="solver_rhs6" localSheetId="15" hidden="1">'4-Beidou'!#REF!</definedName>
    <definedName name="solver_rhs6" localSheetId="16" hidden="1">'4-Diona'!#REF!</definedName>
    <definedName name="solver_rhs6" localSheetId="13" hidden="1">'4-Eula'!#REF!</definedName>
    <definedName name="solver_rhs6" localSheetId="14" hidden="1">'4-Fischl'!#REF!</definedName>
    <definedName name="solver_rhs6" localSheetId="20" hidden="1">'5-Diona'!#REF!</definedName>
    <definedName name="solver_rhs6" localSheetId="17" hidden="1">'5-Eula'!#REF!</definedName>
    <definedName name="solver_rhs6" localSheetId="18" hidden="1">'5-Raiden'!#REF!</definedName>
    <definedName name="solver_rhs6" localSheetId="19" hidden="1">'5-Rosaria'!#REF!</definedName>
    <definedName name="solver_rhs6" localSheetId="21" hidden="1">'6-Eula'!#REF!</definedName>
    <definedName name="solver_rhs6" localSheetId="22" hidden="1">'6-Raiden'!#REF!</definedName>
    <definedName name="solver_rhs6" localSheetId="23" hidden="1">'6-Rosaria'!#REF!</definedName>
    <definedName name="solver_rhs6" localSheetId="24" hidden="1">'6-Zhongli'!#REF!</definedName>
    <definedName name="solver_rhs6" localSheetId="25" hidden="1">'7-Eula'!#REF!</definedName>
    <definedName name="solver_rhs6" localSheetId="28" hidden="1">'7-Qiqi'!#REF!</definedName>
    <definedName name="solver_rhs6" localSheetId="26" hidden="1">'7-Raiden'!#REF!</definedName>
    <definedName name="solver_rhs6" localSheetId="27" hidden="1">'7-Rosaria'!#REF!</definedName>
    <definedName name="solver_rhs6" localSheetId="29" hidden="1">'8-Eula'!#REF!</definedName>
    <definedName name="solver_rhs6" localSheetId="32" hidden="1">'8-Qiqi'!#REF!</definedName>
    <definedName name="solver_rhs6" localSheetId="30" hidden="1">'8-Raiden'!#REF!</definedName>
    <definedName name="solver_rhs6" localSheetId="31" hidden="1">'8-Rosaria'!#REF!</definedName>
    <definedName name="solver_rhs6" localSheetId="34" hidden="1">backup!#REF!</definedName>
    <definedName name="solver_rhs6" localSheetId="33" hidden="1">template!#REF!</definedName>
    <definedName name="solver_rhs7" localSheetId="4" hidden="1">'1-Diona'!#REF!</definedName>
    <definedName name="solver_rhs7" localSheetId="1" hidden="1">'1-Eula'!#REF!</definedName>
    <definedName name="solver_rhs7" localSheetId="3" hidden="1">'1-Lisa'!#REF!</definedName>
    <definedName name="solver_rhs7" localSheetId="2" hidden="1">'1-Raiden'!#REF!</definedName>
    <definedName name="solver_rhs7" localSheetId="8" hidden="1">'2-Diona'!#REF!</definedName>
    <definedName name="solver_rhs7" localSheetId="5" hidden="1">'2-Eula'!#REF!</definedName>
    <definedName name="solver_rhs7" localSheetId="6" hidden="1">'2-Fischl'!#REF!</definedName>
    <definedName name="solver_rhs7" localSheetId="7" hidden="1">'2-Rosaria'!#REF!</definedName>
    <definedName name="solver_rhs7" localSheetId="11" hidden="1">'3-Beidou'!#REF!</definedName>
    <definedName name="solver_rhs7" localSheetId="12" hidden="1">'3-Diona'!#REF!</definedName>
    <definedName name="solver_rhs7" localSheetId="9" hidden="1">'3-Eula'!#REF!</definedName>
    <definedName name="solver_rhs7" localSheetId="10" hidden="1">'3-Raiden'!#REF!</definedName>
    <definedName name="solver_rhs7" localSheetId="15" hidden="1">'4-Beidou'!#REF!</definedName>
    <definedName name="solver_rhs7" localSheetId="16" hidden="1">'4-Diona'!#REF!</definedName>
    <definedName name="solver_rhs7" localSheetId="13" hidden="1">'4-Eula'!#REF!</definedName>
    <definedName name="solver_rhs7" localSheetId="14" hidden="1">'4-Fischl'!#REF!</definedName>
    <definedName name="solver_rhs7" localSheetId="20" hidden="1">'5-Diona'!#REF!</definedName>
    <definedName name="solver_rhs7" localSheetId="17" hidden="1">'5-Eula'!#REF!</definedName>
    <definedName name="solver_rhs7" localSheetId="18" hidden="1">'5-Raiden'!#REF!</definedName>
    <definedName name="solver_rhs7" localSheetId="19" hidden="1">'5-Rosaria'!#REF!</definedName>
    <definedName name="solver_rhs7" localSheetId="21" hidden="1">'6-Eula'!#REF!</definedName>
    <definedName name="solver_rhs7" localSheetId="22" hidden="1">'6-Raiden'!#REF!</definedName>
    <definedName name="solver_rhs7" localSheetId="23" hidden="1">'6-Rosaria'!#REF!</definedName>
    <definedName name="solver_rhs7" localSheetId="24" hidden="1">'6-Zhongli'!#REF!</definedName>
    <definedName name="solver_rhs7" localSheetId="25" hidden="1">'7-Eula'!#REF!</definedName>
    <definedName name="solver_rhs7" localSheetId="28" hidden="1">'7-Qiqi'!#REF!</definedName>
    <definedName name="solver_rhs7" localSheetId="26" hidden="1">'7-Raiden'!#REF!</definedName>
    <definedName name="solver_rhs7" localSheetId="27" hidden="1">'7-Rosaria'!#REF!</definedName>
    <definedName name="solver_rhs7" localSheetId="29" hidden="1">'8-Eula'!#REF!</definedName>
    <definedName name="solver_rhs7" localSheetId="32" hidden="1">'8-Qiqi'!#REF!</definedName>
    <definedName name="solver_rhs7" localSheetId="30" hidden="1">'8-Raiden'!#REF!</definedName>
    <definedName name="solver_rhs7" localSheetId="31" hidden="1">'8-Rosaria'!#REF!</definedName>
    <definedName name="solver_rhs7" localSheetId="34" hidden="1">backup!#REF!</definedName>
    <definedName name="solver_rhs7" localSheetId="33" hidden="1">template!#REF!</definedName>
    <definedName name="solver_rhs8" localSheetId="4" hidden="1">'1-Diona'!#REF!</definedName>
    <definedName name="solver_rhs8" localSheetId="1" hidden="1">'1-Eula'!#REF!</definedName>
    <definedName name="solver_rhs8" localSheetId="3" hidden="1">'1-Lisa'!#REF!</definedName>
    <definedName name="solver_rhs8" localSheetId="2" hidden="1">'1-Raiden'!#REF!</definedName>
    <definedName name="solver_rhs8" localSheetId="8" hidden="1">'2-Diona'!#REF!</definedName>
    <definedName name="solver_rhs8" localSheetId="5" hidden="1">'2-Eula'!#REF!</definedName>
    <definedName name="solver_rhs8" localSheetId="6" hidden="1">'2-Fischl'!#REF!</definedName>
    <definedName name="solver_rhs8" localSheetId="7" hidden="1">'2-Rosaria'!#REF!</definedName>
    <definedName name="solver_rhs8" localSheetId="11" hidden="1">'3-Beidou'!#REF!</definedName>
    <definedName name="solver_rhs8" localSheetId="12" hidden="1">'3-Diona'!#REF!</definedName>
    <definedName name="solver_rhs8" localSheetId="9" hidden="1">'3-Eula'!#REF!</definedName>
    <definedName name="solver_rhs8" localSheetId="10" hidden="1">'3-Raiden'!#REF!</definedName>
    <definedName name="solver_rhs8" localSheetId="15" hidden="1">'4-Beidou'!#REF!</definedName>
    <definedName name="solver_rhs8" localSheetId="16" hidden="1">'4-Diona'!#REF!</definedName>
    <definedName name="solver_rhs8" localSheetId="13" hidden="1">'4-Eula'!#REF!</definedName>
    <definedName name="solver_rhs8" localSheetId="14" hidden="1">'4-Fischl'!#REF!</definedName>
    <definedName name="solver_rhs8" localSheetId="20" hidden="1">'5-Diona'!#REF!</definedName>
    <definedName name="solver_rhs8" localSheetId="17" hidden="1">'5-Eula'!#REF!</definedName>
    <definedName name="solver_rhs8" localSheetId="18" hidden="1">'5-Raiden'!#REF!</definedName>
    <definedName name="solver_rhs8" localSheetId="19" hidden="1">'5-Rosaria'!#REF!</definedName>
    <definedName name="solver_rhs8" localSheetId="21" hidden="1">'6-Eula'!#REF!</definedName>
    <definedName name="solver_rhs8" localSheetId="22" hidden="1">'6-Raiden'!#REF!</definedName>
    <definedName name="solver_rhs8" localSheetId="23" hidden="1">'6-Rosaria'!#REF!</definedName>
    <definedName name="solver_rhs8" localSheetId="24" hidden="1">'6-Zhongli'!#REF!</definedName>
    <definedName name="solver_rhs8" localSheetId="25" hidden="1">'7-Eula'!#REF!</definedName>
    <definedName name="solver_rhs8" localSheetId="28" hidden="1">'7-Qiqi'!#REF!</definedName>
    <definedName name="solver_rhs8" localSheetId="26" hidden="1">'7-Raiden'!#REF!</definedName>
    <definedName name="solver_rhs8" localSheetId="27" hidden="1">'7-Rosaria'!#REF!</definedName>
    <definedName name="solver_rhs8" localSheetId="29" hidden="1">'8-Eula'!#REF!</definedName>
    <definedName name="solver_rhs8" localSheetId="32" hidden="1">'8-Qiqi'!#REF!</definedName>
    <definedName name="solver_rhs8" localSheetId="30" hidden="1">'8-Raiden'!#REF!</definedName>
    <definedName name="solver_rhs8" localSheetId="31" hidden="1">'8-Rosaria'!#REF!</definedName>
    <definedName name="solver_rhs8" localSheetId="34" hidden="1">backup!#REF!</definedName>
    <definedName name="solver_rhs8" localSheetId="33" hidden="1">template!#REF!</definedName>
    <definedName name="solver_rhs9" localSheetId="4" hidden="1">'1-Diona'!#REF!</definedName>
    <definedName name="solver_rhs9" localSheetId="1" hidden="1">'1-Eula'!#REF!</definedName>
    <definedName name="solver_rhs9" localSheetId="3" hidden="1">'1-Lisa'!#REF!</definedName>
    <definedName name="solver_rhs9" localSheetId="2" hidden="1">'1-Raiden'!#REF!</definedName>
    <definedName name="solver_rhs9" localSheetId="8" hidden="1">'2-Diona'!#REF!</definedName>
    <definedName name="solver_rhs9" localSheetId="5" hidden="1">'2-Eula'!#REF!</definedName>
    <definedName name="solver_rhs9" localSheetId="6" hidden="1">'2-Fischl'!#REF!</definedName>
    <definedName name="solver_rhs9" localSheetId="7" hidden="1">'2-Rosaria'!#REF!</definedName>
    <definedName name="solver_rhs9" localSheetId="11" hidden="1">'3-Beidou'!#REF!</definedName>
    <definedName name="solver_rhs9" localSheetId="12" hidden="1">'3-Diona'!#REF!</definedName>
    <definedName name="solver_rhs9" localSheetId="9" hidden="1">'3-Eula'!#REF!</definedName>
    <definedName name="solver_rhs9" localSheetId="10" hidden="1">'3-Raiden'!#REF!</definedName>
    <definedName name="solver_rhs9" localSheetId="15" hidden="1">'4-Beidou'!#REF!</definedName>
    <definedName name="solver_rhs9" localSheetId="16" hidden="1">'4-Diona'!#REF!</definedName>
    <definedName name="solver_rhs9" localSheetId="13" hidden="1">'4-Eula'!#REF!</definedName>
    <definedName name="solver_rhs9" localSheetId="14" hidden="1">'4-Fischl'!#REF!</definedName>
    <definedName name="solver_rhs9" localSheetId="20" hidden="1">'5-Diona'!#REF!</definedName>
    <definedName name="solver_rhs9" localSheetId="17" hidden="1">'5-Eula'!#REF!</definedName>
    <definedName name="solver_rhs9" localSheetId="18" hidden="1">'5-Raiden'!#REF!</definedName>
    <definedName name="solver_rhs9" localSheetId="19" hidden="1">'5-Rosaria'!#REF!</definedName>
    <definedName name="solver_rhs9" localSheetId="21" hidden="1">'6-Eula'!#REF!</definedName>
    <definedName name="solver_rhs9" localSheetId="22" hidden="1">'6-Raiden'!#REF!</definedName>
    <definedName name="solver_rhs9" localSheetId="23" hidden="1">'6-Rosaria'!#REF!</definedName>
    <definedName name="solver_rhs9" localSheetId="24" hidden="1">'6-Zhongli'!#REF!</definedName>
    <definedName name="solver_rhs9" localSheetId="25" hidden="1">'7-Eula'!#REF!</definedName>
    <definedName name="solver_rhs9" localSheetId="28" hidden="1">'7-Qiqi'!#REF!</definedName>
    <definedName name="solver_rhs9" localSheetId="26" hidden="1">'7-Raiden'!#REF!</definedName>
    <definedName name="solver_rhs9" localSheetId="27" hidden="1">'7-Rosaria'!#REF!</definedName>
    <definedName name="solver_rhs9" localSheetId="29" hidden="1">'8-Eula'!#REF!</definedName>
    <definedName name="solver_rhs9" localSheetId="32" hidden="1">'8-Qiqi'!#REF!</definedName>
    <definedName name="solver_rhs9" localSheetId="30" hidden="1">'8-Raiden'!#REF!</definedName>
    <definedName name="solver_rhs9" localSheetId="31" hidden="1">'8-Rosaria'!#REF!</definedName>
    <definedName name="solver_rhs9" localSheetId="34" hidden="1">backup!#REF!</definedName>
    <definedName name="solver_rhs9" localSheetId="33" hidden="1">template!#REF!</definedName>
    <definedName name="solver_rlx" localSheetId="4" hidden="1">2</definedName>
    <definedName name="solver_rlx" localSheetId="1" hidden="1">2</definedName>
    <definedName name="solver_rlx" localSheetId="3" hidden="1">2</definedName>
    <definedName name="solver_rlx" localSheetId="2" hidden="1">2</definedName>
    <definedName name="solver_rlx" localSheetId="8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11" hidden="1">2</definedName>
    <definedName name="solver_rlx" localSheetId="12" hidden="1">2</definedName>
    <definedName name="solver_rlx" localSheetId="9" hidden="1">2</definedName>
    <definedName name="solver_rlx" localSheetId="10" hidden="1">2</definedName>
    <definedName name="solver_rlx" localSheetId="15" hidden="1">2</definedName>
    <definedName name="solver_rlx" localSheetId="16" hidden="1">2</definedName>
    <definedName name="solver_rlx" localSheetId="13" hidden="1">2</definedName>
    <definedName name="solver_rlx" localSheetId="14" hidden="1">2</definedName>
    <definedName name="solver_rlx" localSheetId="20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8" hidden="1">2</definedName>
    <definedName name="solver_rlx" localSheetId="26" hidden="1">2</definedName>
    <definedName name="solver_rlx" localSheetId="27" hidden="1">2</definedName>
    <definedName name="solver_rlx" localSheetId="29" hidden="1">2</definedName>
    <definedName name="solver_rlx" localSheetId="32" hidden="1">2</definedName>
    <definedName name="solver_rlx" localSheetId="30" hidden="1">2</definedName>
    <definedName name="solver_rlx" localSheetId="31" hidden="1">2</definedName>
    <definedName name="solver_rlx" localSheetId="34" hidden="1">2</definedName>
    <definedName name="solver_rlx" localSheetId="33" hidden="1">2</definedName>
    <definedName name="solver_rsd" localSheetId="4" hidden="1">0</definedName>
    <definedName name="solver_rsd" localSheetId="1" hidden="1">0</definedName>
    <definedName name="solver_rsd" localSheetId="3" hidden="1">0</definedName>
    <definedName name="solver_rsd" localSheetId="2" hidden="1">0</definedName>
    <definedName name="solver_rsd" localSheetId="8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11" hidden="1">0</definedName>
    <definedName name="solver_rsd" localSheetId="12" hidden="1">0</definedName>
    <definedName name="solver_rsd" localSheetId="9" hidden="1">0</definedName>
    <definedName name="solver_rsd" localSheetId="10" hidden="1">0</definedName>
    <definedName name="solver_rsd" localSheetId="15" hidden="1">0</definedName>
    <definedName name="solver_rsd" localSheetId="16" hidden="1">0</definedName>
    <definedName name="solver_rsd" localSheetId="13" hidden="1">0</definedName>
    <definedName name="solver_rsd" localSheetId="14" hidden="1">0</definedName>
    <definedName name="solver_rsd" localSheetId="20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8" hidden="1">0</definedName>
    <definedName name="solver_rsd" localSheetId="26" hidden="1">0</definedName>
    <definedName name="solver_rsd" localSheetId="27" hidden="1">0</definedName>
    <definedName name="solver_rsd" localSheetId="29" hidden="1">0</definedName>
    <definedName name="solver_rsd" localSheetId="32" hidden="1">0</definedName>
    <definedName name="solver_rsd" localSheetId="30" hidden="1">0</definedName>
    <definedName name="solver_rsd" localSheetId="31" hidden="1">0</definedName>
    <definedName name="solver_rsd" localSheetId="34" hidden="1">0</definedName>
    <definedName name="solver_rsd" localSheetId="33" hidden="1">0</definedName>
    <definedName name="solver_scl" localSheetId="4" hidden="1">2</definedName>
    <definedName name="solver_scl" localSheetId="1" hidden="1">2</definedName>
    <definedName name="solver_scl" localSheetId="3" hidden="1">2</definedName>
    <definedName name="solver_scl" localSheetId="2" hidden="1">2</definedName>
    <definedName name="solver_scl" localSheetId="8" hidden="1">2</definedName>
    <definedName name="solver_scl" localSheetId="5" hidden="1">2</definedName>
    <definedName name="solver_scl" localSheetId="6" hidden="1">2</definedName>
    <definedName name="solver_scl" localSheetId="7" hidden="1">2</definedName>
    <definedName name="solver_scl" localSheetId="11" hidden="1">2</definedName>
    <definedName name="solver_scl" localSheetId="12" hidden="1">2</definedName>
    <definedName name="solver_scl" localSheetId="9" hidden="1">2</definedName>
    <definedName name="solver_scl" localSheetId="10" hidden="1">2</definedName>
    <definedName name="solver_scl" localSheetId="15" hidden="1">2</definedName>
    <definedName name="solver_scl" localSheetId="16" hidden="1">2</definedName>
    <definedName name="solver_scl" localSheetId="13" hidden="1">2</definedName>
    <definedName name="solver_scl" localSheetId="14" hidden="1">2</definedName>
    <definedName name="solver_scl" localSheetId="20" hidden="1">2</definedName>
    <definedName name="solver_scl" localSheetId="17" hidden="1">2</definedName>
    <definedName name="solver_scl" localSheetId="18" hidden="1">2</definedName>
    <definedName name="solver_scl" localSheetId="19" hidden="1">2</definedName>
    <definedName name="solver_scl" localSheetId="21" hidden="1">2</definedName>
    <definedName name="solver_scl" localSheetId="22" hidden="1">2</definedName>
    <definedName name="solver_scl" localSheetId="23" hidden="1">2</definedName>
    <definedName name="solver_scl" localSheetId="24" hidden="1">2</definedName>
    <definedName name="solver_scl" localSheetId="25" hidden="1">2</definedName>
    <definedName name="solver_scl" localSheetId="28" hidden="1">2</definedName>
    <definedName name="solver_scl" localSheetId="26" hidden="1">2</definedName>
    <definedName name="solver_scl" localSheetId="27" hidden="1">2</definedName>
    <definedName name="solver_scl" localSheetId="29" hidden="1">2</definedName>
    <definedName name="solver_scl" localSheetId="32" hidden="1">2</definedName>
    <definedName name="solver_scl" localSheetId="30" hidden="1">2</definedName>
    <definedName name="solver_scl" localSheetId="31" hidden="1">2</definedName>
    <definedName name="solver_scl" localSheetId="34" hidden="1">2</definedName>
    <definedName name="solver_scl" localSheetId="33" hidden="1">2</definedName>
    <definedName name="solver_sho" localSheetId="4" hidden="1">2</definedName>
    <definedName name="solver_sho" localSheetId="1" hidden="1">2</definedName>
    <definedName name="solver_sho" localSheetId="3" hidden="1">2</definedName>
    <definedName name="solver_sho" localSheetId="2" hidden="1">2</definedName>
    <definedName name="solver_sho" localSheetId="8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11" hidden="1">2</definedName>
    <definedName name="solver_sho" localSheetId="12" hidden="1">2</definedName>
    <definedName name="solver_sho" localSheetId="9" hidden="1">2</definedName>
    <definedName name="solver_sho" localSheetId="10" hidden="1">2</definedName>
    <definedName name="solver_sho" localSheetId="15" hidden="1">2</definedName>
    <definedName name="solver_sho" localSheetId="16" hidden="1">2</definedName>
    <definedName name="solver_sho" localSheetId="13" hidden="1">2</definedName>
    <definedName name="solver_sho" localSheetId="14" hidden="1">2</definedName>
    <definedName name="solver_sho" localSheetId="20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8" hidden="1">2</definedName>
    <definedName name="solver_sho" localSheetId="26" hidden="1">2</definedName>
    <definedName name="solver_sho" localSheetId="27" hidden="1">2</definedName>
    <definedName name="solver_sho" localSheetId="29" hidden="1">2</definedName>
    <definedName name="solver_sho" localSheetId="32" hidden="1">2</definedName>
    <definedName name="solver_sho" localSheetId="30" hidden="1">2</definedName>
    <definedName name="solver_sho" localSheetId="31" hidden="1">2</definedName>
    <definedName name="solver_sho" localSheetId="34" hidden="1">2</definedName>
    <definedName name="solver_sho" localSheetId="33" hidden="1">2</definedName>
    <definedName name="solver_ssz" localSheetId="4" hidden="1">100</definedName>
    <definedName name="solver_ssz" localSheetId="1" hidden="1">100</definedName>
    <definedName name="solver_ssz" localSheetId="3" hidden="1">100</definedName>
    <definedName name="solver_ssz" localSheetId="2" hidden="1">100</definedName>
    <definedName name="solver_ssz" localSheetId="8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11" hidden="1">100</definedName>
    <definedName name="solver_ssz" localSheetId="12" hidden="1">100</definedName>
    <definedName name="solver_ssz" localSheetId="9" hidden="1">100</definedName>
    <definedName name="solver_ssz" localSheetId="10" hidden="1">100</definedName>
    <definedName name="solver_ssz" localSheetId="15" hidden="1">100</definedName>
    <definedName name="solver_ssz" localSheetId="16" hidden="1">100</definedName>
    <definedName name="solver_ssz" localSheetId="13" hidden="1">100</definedName>
    <definedName name="solver_ssz" localSheetId="14" hidden="1">100</definedName>
    <definedName name="solver_ssz" localSheetId="20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8" hidden="1">100</definedName>
    <definedName name="solver_ssz" localSheetId="26" hidden="1">100</definedName>
    <definedName name="solver_ssz" localSheetId="27" hidden="1">100</definedName>
    <definedName name="solver_ssz" localSheetId="29" hidden="1">100</definedName>
    <definedName name="solver_ssz" localSheetId="32" hidden="1">100</definedName>
    <definedName name="solver_ssz" localSheetId="30" hidden="1">100</definedName>
    <definedName name="solver_ssz" localSheetId="31" hidden="1">100</definedName>
    <definedName name="solver_ssz" localSheetId="34" hidden="1">100</definedName>
    <definedName name="solver_ssz" localSheetId="33" hidden="1">100</definedName>
    <definedName name="solver_tim" localSheetId="4" hidden="1">2147483647</definedName>
    <definedName name="solver_tim" localSheetId="1" hidden="1">2147483647</definedName>
    <definedName name="solver_tim" localSheetId="3" hidden="1">2147483647</definedName>
    <definedName name="solver_tim" localSheetId="2" hidden="1">2147483647</definedName>
    <definedName name="solver_tim" localSheetId="8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11" hidden="1">2147483647</definedName>
    <definedName name="solver_tim" localSheetId="12" hidden="1">2147483647</definedName>
    <definedName name="solver_tim" localSheetId="9" hidden="1">2147483647</definedName>
    <definedName name="solver_tim" localSheetId="10" hidden="1">2147483647</definedName>
    <definedName name="solver_tim" localSheetId="15" hidden="1">2147483647</definedName>
    <definedName name="solver_tim" localSheetId="16" hidden="1">2147483647</definedName>
    <definedName name="solver_tim" localSheetId="13" hidden="1">2147483647</definedName>
    <definedName name="solver_tim" localSheetId="14" hidden="1">2147483647</definedName>
    <definedName name="solver_tim" localSheetId="20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8" hidden="1">2147483647</definedName>
    <definedName name="solver_tim" localSheetId="26" hidden="1">2147483647</definedName>
    <definedName name="solver_tim" localSheetId="27" hidden="1">2147483647</definedName>
    <definedName name="solver_tim" localSheetId="29" hidden="1">2147483647</definedName>
    <definedName name="solver_tim" localSheetId="32" hidden="1">2147483647</definedName>
    <definedName name="solver_tim" localSheetId="30" hidden="1">2147483647</definedName>
    <definedName name="solver_tim" localSheetId="31" hidden="1">2147483647</definedName>
    <definedName name="solver_tim" localSheetId="34" hidden="1">2147483647</definedName>
    <definedName name="solver_tim" localSheetId="33" hidden="1">2147483647</definedName>
    <definedName name="solver_tol" localSheetId="4" hidden="1">0.01</definedName>
    <definedName name="solver_tol" localSheetId="1" hidden="1">0.01</definedName>
    <definedName name="solver_tol" localSheetId="3" hidden="1">0.01</definedName>
    <definedName name="solver_tol" localSheetId="2" hidden="1">0.01</definedName>
    <definedName name="solver_tol" localSheetId="8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11" hidden="1">0.01</definedName>
    <definedName name="solver_tol" localSheetId="12" hidden="1">0.01</definedName>
    <definedName name="solver_tol" localSheetId="9" hidden="1">0.01</definedName>
    <definedName name="solver_tol" localSheetId="10" hidden="1">0.01</definedName>
    <definedName name="solver_tol" localSheetId="15" hidden="1">0.01</definedName>
    <definedName name="solver_tol" localSheetId="16" hidden="1">0.01</definedName>
    <definedName name="solver_tol" localSheetId="13" hidden="1">0.01</definedName>
    <definedName name="solver_tol" localSheetId="14" hidden="1">0.01</definedName>
    <definedName name="solver_tol" localSheetId="20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8" hidden="1">0.01</definedName>
    <definedName name="solver_tol" localSheetId="26" hidden="1">0.01</definedName>
    <definedName name="solver_tol" localSheetId="27" hidden="1">0.01</definedName>
    <definedName name="solver_tol" localSheetId="29" hidden="1">0.01</definedName>
    <definedName name="solver_tol" localSheetId="32" hidden="1">0.01</definedName>
    <definedName name="solver_tol" localSheetId="30" hidden="1">0.01</definedName>
    <definedName name="solver_tol" localSheetId="31" hidden="1">0.01</definedName>
    <definedName name="solver_tol" localSheetId="34" hidden="1">0.01</definedName>
    <definedName name="solver_tol" localSheetId="33" hidden="1">0.01</definedName>
    <definedName name="solver_typ" localSheetId="4" hidden="1">1</definedName>
    <definedName name="solver_typ" localSheetId="1" hidden="1">1</definedName>
    <definedName name="solver_typ" localSheetId="3" hidden="1">1</definedName>
    <definedName name="solver_typ" localSheetId="2" hidden="1">1</definedName>
    <definedName name="solver_typ" localSheetId="8" hidden="1">1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11" hidden="1">1</definedName>
    <definedName name="solver_typ" localSheetId="12" hidden="1">1</definedName>
    <definedName name="solver_typ" localSheetId="9" hidden="1">1</definedName>
    <definedName name="solver_typ" localSheetId="10" hidden="1">1</definedName>
    <definedName name="solver_typ" localSheetId="15" hidden="1">1</definedName>
    <definedName name="solver_typ" localSheetId="16" hidden="1">1</definedName>
    <definedName name="solver_typ" localSheetId="13" hidden="1">1</definedName>
    <definedName name="solver_typ" localSheetId="14" hidden="1">1</definedName>
    <definedName name="solver_typ" localSheetId="20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1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8" hidden="1">1</definedName>
    <definedName name="solver_typ" localSheetId="26" hidden="1">1</definedName>
    <definedName name="solver_typ" localSheetId="27" hidden="1">1</definedName>
    <definedName name="solver_typ" localSheetId="29" hidden="1">1</definedName>
    <definedName name="solver_typ" localSheetId="32" hidden="1">1</definedName>
    <definedName name="solver_typ" localSheetId="30" hidden="1">1</definedName>
    <definedName name="solver_typ" localSheetId="31" hidden="1">1</definedName>
    <definedName name="solver_typ" localSheetId="34" hidden="1">1</definedName>
    <definedName name="solver_typ" localSheetId="33" hidden="1">1</definedName>
    <definedName name="solver_val" localSheetId="4" hidden="1">0</definedName>
    <definedName name="solver_val" localSheetId="1" hidden="1">0</definedName>
    <definedName name="solver_val" localSheetId="3" hidden="1">0</definedName>
    <definedName name="solver_val" localSheetId="2" hidden="1">0</definedName>
    <definedName name="solver_val" localSheetId="8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11" hidden="1">0</definedName>
    <definedName name="solver_val" localSheetId="12" hidden="1">0</definedName>
    <definedName name="solver_val" localSheetId="9" hidden="1">0</definedName>
    <definedName name="solver_val" localSheetId="10" hidden="1">0</definedName>
    <definedName name="solver_val" localSheetId="15" hidden="1">0</definedName>
    <definedName name="solver_val" localSheetId="16" hidden="1">0</definedName>
    <definedName name="solver_val" localSheetId="13" hidden="1">0</definedName>
    <definedName name="solver_val" localSheetId="14" hidden="1">0</definedName>
    <definedName name="solver_val" localSheetId="20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8" hidden="1">0</definedName>
    <definedName name="solver_val" localSheetId="26" hidden="1">0</definedName>
    <definedName name="solver_val" localSheetId="27" hidden="1">0</definedName>
    <definedName name="solver_val" localSheetId="29" hidden="1">0</definedName>
    <definedName name="solver_val" localSheetId="32" hidden="1">0</definedName>
    <definedName name="solver_val" localSheetId="30" hidden="1">0</definedName>
    <definedName name="solver_val" localSheetId="31" hidden="1">0</definedName>
    <definedName name="solver_val" localSheetId="34" hidden="1">0</definedName>
    <definedName name="solver_val" localSheetId="33" hidden="1">0</definedName>
    <definedName name="solver_ver" localSheetId="4" hidden="1">3</definedName>
    <definedName name="solver_ver" localSheetId="1" hidden="1">3</definedName>
    <definedName name="solver_ver" localSheetId="3" hidden="1">3</definedName>
    <definedName name="solver_ver" localSheetId="2" hidden="1">3</definedName>
    <definedName name="solver_ver" localSheetId="8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11" hidden="1">3</definedName>
    <definedName name="solver_ver" localSheetId="12" hidden="1">3</definedName>
    <definedName name="solver_ver" localSheetId="9" hidden="1">3</definedName>
    <definedName name="solver_ver" localSheetId="10" hidden="1">3</definedName>
    <definedName name="solver_ver" localSheetId="15" hidden="1">3</definedName>
    <definedName name="solver_ver" localSheetId="16" hidden="1">3</definedName>
    <definedName name="solver_ver" localSheetId="13" hidden="1">3</definedName>
    <definedName name="solver_ver" localSheetId="14" hidden="1">3</definedName>
    <definedName name="solver_ver" localSheetId="20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8" hidden="1">3</definedName>
    <definedName name="solver_ver" localSheetId="26" hidden="1">3</definedName>
    <definedName name="solver_ver" localSheetId="27" hidden="1">3</definedName>
    <definedName name="solver_ver" localSheetId="29" hidden="1">3</definedName>
    <definedName name="solver_ver" localSheetId="32" hidden="1">3</definedName>
    <definedName name="solver_ver" localSheetId="30" hidden="1">3</definedName>
    <definedName name="solver_ver" localSheetId="31" hidden="1">3</definedName>
    <definedName name="solver_ver" localSheetId="34" hidden="1">3</definedName>
    <definedName name="solver_ver" localSheetId="3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6" i="7" l="1"/>
  <c r="I295" i="41"/>
  <c r="H295" i="41"/>
  <c r="K292" i="41"/>
  <c r="J292" i="41"/>
  <c r="J289" i="41"/>
  <c r="I289" i="41"/>
  <c r="H286" i="41"/>
  <c r="G286" i="41"/>
  <c r="AT283" i="41"/>
  <c r="AS283" i="41"/>
  <c r="J283" i="41"/>
  <c r="I283" i="41"/>
  <c r="J280" i="41"/>
  <c r="I280" i="41"/>
  <c r="L277" i="41"/>
  <c r="K277" i="41"/>
  <c r="J274" i="41"/>
  <c r="I274" i="41"/>
  <c r="L271" i="41"/>
  <c r="K271" i="41"/>
  <c r="K268" i="41"/>
  <c r="J268" i="41"/>
  <c r="L265" i="41"/>
  <c r="K265" i="41"/>
  <c r="K262" i="41"/>
  <c r="J262" i="41"/>
  <c r="K259" i="41"/>
  <c r="J259" i="41"/>
  <c r="J256" i="41"/>
  <c r="I256" i="41"/>
  <c r="L253" i="41"/>
  <c r="K253" i="41"/>
  <c r="M250" i="41"/>
  <c r="L250" i="41"/>
  <c r="M247" i="41"/>
  <c r="L247" i="41"/>
  <c r="M244" i="41"/>
  <c r="L244" i="41"/>
  <c r="N241" i="41"/>
  <c r="M241" i="41"/>
  <c r="I238" i="41"/>
  <c r="H238" i="41"/>
  <c r="K235" i="41"/>
  <c r="J235" i="41"/>
  <c r="J232" i="41"/>
  <c r="I232" i="41"/>
  <c r="J229" i="41"/>
  <c r="I229" i="41"/>
  <c r="J226" i="41"/>
  <c r="I226" i="41"/>
  <c r="G223" i="41"/>
  <c r="F223" i="41"/>
  <c r="I220" i="41"/>
  <c r="H220" i="41"/>
  <c r="I217" i="41"/>
  <c r="H217" i="41"/>
  <c r="H214" i="41"/>
  <c r="G214" i="41"/>
  <c r="L211" i="41"/>
  <c r="K211" i="41"/>
  <c r="K208" i="41"/>
  <c r="J208" i="41"/>
  <c r="J205" i="41"/>
  <c r="I205" i="41"/>
  <c r="L202" i="41"/>
  <c r="K202" i="41"/>
  <c r="N199" i="41"/>
  <c r="M199" i="41"/>
  <c r="K196" i="41"/>
  <c r="J196" i="41"/>
  <c r="AW193" i="41"/>
  <c r="K193" i="41"/>
  <c r="J193" i="41"/>
  <c r="K190" i="41"/>
  <c r="J190" i="41"/>
  <c r="J187" i="41"/>
  <c r="I187" i="41"/>
  <c r="J184" i="41"/>
  <c r="I184" i="41"/>
  <c r="K181" i="41"/>
  <c r="J181" i="41"/>
  <c r="K178" i="41"/>
  <c r="J178" i="41"/>
  <c r="I175" i="41"/>
  <c r="H175" i="41"/>
  <c r="K172" i="41"/>
  <c r="J172" i="41"/>
  <c r="G169" i="41"/>
  <c r="X129" i="41"/>
  <c r="W129" i="41"/>
  <c r="V129" i="41"/>
  <c r="U129" i="41"/>
  <c r="X128" i="41"/>
  <c r="W128" i="41"/>
  <c r="V128" i="41"/>
  <c r="U128" i="41"/>
  <c r="X127" i="41"/>
  <c r="W127" i="41"/>
  <c r="V127" i="41"/>
  <c r="U127" i="41"/>
  <c r="X126" i="41"/>
  <c r="W126" i="41"/>
  <c r="V126" i="41"/>
  <c r="U126" i="41"/>
  <c r="X125" i="41"/>
  <c r="W125" i="41"/>
  <c r="V125" i="41"/>
  <c r="U125" i="41"/>
  <c r="X124" i="41"/>
  <c r="W124" i="41"/>
  <c r="V124" i="41"/>
  <c r="U124" i="41"/>
  <c r="X123" i="41"/>
  <c r="W123" i="41"/>
  <c r="V123" i="41"/>
  <c r="U123" i="41"/>
  <c r="X122" i="41"/>
  <c r="W122" i="41"/>
  <c r="V122" i="41"/>
  <c r="U122" i="41"/>
  <c r="X121" i="41"/>
  <c r="W121" i="41"/>
  <c r="V121" i="41"/>
  <c r="U121" i="41"/>
  <c r="X120" i="41"/>
  <c r="W120" i="41"/>
  <c r="V120" i="41"/>
  <c r="U120" i="41"/>
  <c r="X119" i="41"/>
  <c r="W119" i="41"/>
  <c r="V119" i="41"/>
  <c r="U119" i="41"/>
  <c r="X118" i="41"/>
  <c r="W118" i="41"/>
  <c r="V118" i="41"/>
  <c r="U118" i="41"/>
  <c r="X117" i="41"/>
  <c r="V117" i="41"/>
  <c r="U117" i="41"/>
  <c r="X116" i="41"/>
  <c r="V116" i="41"/>
  <c r="U116" i="41"/>
  <c r="X115" i="41"/>
  <c r="W115" i="41"/>
  <c r="V115" i="41"/>
  <c r="J97" i="41"/>
  <c r="J98" i="41" s="1"/>
  <c r="H97" i="41"/>
  <c r="H98" i="41" s="1"/>
  <c r="F96" i="41"/>
  <c r="E96" i="41"/>
  <c r="D19" i="41" s="1"/>
  <c r="F95" i="41"/>
  <c r="E95" i="41"/>
  <c r="F94" i="41"/>
  <c r="E94" i="41"/>
  <c r="F93" i="41"/>
  <c r="E93" i="41"/>
  <c r="D6" i="41" s="1"/>
  <c r="X33" i="41" s="1"/>
  <c r="F92" i="41"/>
  <c r="E92" i="41"/>
  <c r="F91" i="41"/>
  <c r="E91" i="41"/>
  <c r="D4" i="41" s="1"/>
  <c r="AA30" i="41" s="1"/>
  <c r="F90" i="41"/>
  <c r="E90" i="41"/>
  <c r="F89" i="41"/>
  <c r="E89" i="41"/>
  <c r="F88" i="41"/>
  <c r="E88" i="41"/>
  <c r="F87" i="41"/>
  <c r="E87" i="41"/>
  <c r="C86" i="41"/>
  <c r="S68" i="41"/>
  <c r="R68" i="41"/>
  <c r="Q68" i="41"/>
  <c r="P68" i="41"/>
  <c r="Y67" i="41"/>
  <c r="X67" i="41"/>
  <c r="W67" i="41"/>
  <c r="V67" i="41"/>
  <c r="S67" i="41"/>
  <c r="R67" i="41"/>
  <c r="Q67" i="41"/>
  <c r="P67" i="41"/>
  <c r="Y66" i="41"/>
  <c r="X66" i="41"/>
  <c r="W66" i="41"/>
  <c r="V66" i="41"/>
  <c r="S66" i="41"/>
  <c r="R66" i="41"/>
  <c r="Q66" i="41"/>
  <c r="P66" i="41"/>
  <c r="L63" i="41"/>
  <c r="C58" i="41"/>
  <c r="D20" i="41" s="1"/>
  <c r="L64" i="41" s="1"/>
  <c r="C57" i="41"/>
  <c r="C56" i="41"/>
  <c r="C55" i="41"/>
  <c r="C54" i="41"/>
  <c r="C53" i="41"/>
  <c r="C52" i="41"/>
  <c r="C51" i="41"/>
  <c r="C50" i="41"/>
  <c r="C49" i="41"/>
  <c r="C48" i="41"/>
  <c r="C47" i="41"/>
  <c r="C46" i="41"/>
  <c r="AD37" i="41"/>
  <c r="AC37" i="41"/>
  <c r="AB37" i="41"/>
  <c r="AA37" i="41"/>
  <c r="Z37" i="41"/>
  <c r="Y37" i="41"/>
  <c r="X37" i="41"/>
  <c r="W37" i="41"/>
  <c r="V37" i="41"/>
  <c r="U37" i="41"/>
  <c r="T37" i="41"/>
  <c r="S37" i="41"/>
  <c r="R37" i="41"/>
  <c r="Q37" i="41"/>
  <c r="P37" i="41"/>
  <c r="O37" i="41"/>
  <c r="N37" i="41"/>
  <c r="M37" i="41"/>
  <c r="L37" i="41"/>
  <c r="K37" i="41"/>
  <c r="J37" i="41"/>
  <c r="AD36" i="41"/>
  <c r="AC36" i="41"/>
  <c r="AB36" i="41"/>
  <c r="AA36" i="41"/>
  <c r="Z36" i="41"/>
  <c r="Y36" i="41"/>
  <c r="X36" i="41"/>
  <c r="W36" i="41"/>
  <c r="V36" i="41"/>
  <c r="U36" i="41"/>
  <c r="T36" i="41"/>
  <c r="S36" i="41"/>
  <c r="R36" i="41"/>
  <c r="Q36" i="41"/>
  <c r="P36" i="41"/>
  <c r="O36" i="41"/>
  <c r="N36" i="41"/>
  <c r="M36" i="41"/>
  <c r="L36" i="41"/>
  <c r="K36" i="41"/>
  <c r="J36" i="41"/>
  <c r="AD35" i="41"/>
  <c r="AC35" i="41"/>
  <c r="AB35" i="41"/>
  <c r="AA35" i="41"/>
  <c r="Z35" i="41"/>
  <c r="Y35" i="41"/>
  <c r="X35" i="41"/>
  <c r="W35" i="41"/>
  <c r="V35" i="41"/>
  <c r="U35" i="41"/>
  <c r="T35" i="41"/>
  <c r="S35" i="41"/>
  <c r="R35" i="41"/>
  <c r="Q35" i="41"/>
  <c r="P35" i="41"/>
  <c r="O35" i="41"/>
  <c r="N35" i="41"/>
  <c r="M35" i="41"/>
  <c r="L35" i="41"/>
  <c r="K35" i="41"/>
  <c r="J35" i="41"/>
  <c r="Y32" i="41"/>
  <c r="V32" i="41"/>
  <c r="D18" i="41"/>
  <c r="D17" i="41"/>
  <c r="D16" i="41"/>
  <c r="F15" i="41"/>
  <c r="X64" i="41" s="1"/>
  <c r="D15" i="41"/>
  <c r="D14" i="41"/>
  <c r="J13" i="41"/>
  <c r="D13" i="41"/>
  <c r="AD12" i="41"/>
  <c r="AC12" i="41"/>
  <c r="AB12" i="41"/>
  <c r="AA12" i="41"/>
  <c r="K12" i="41"/>
  <c r="J12" i="41"/>
  <c r="D12" i="41"/>
  <c r="AD11" i="41"/>
  <c r="AC11" i="41"/>
  <c r="AB11" i="41"/>
  <c r="AA11" i="41"/>
  <c r="K11" i="41"/>
  <c r="J11" i="41"/>
  <c r="D11" i="41"/>
  <c r="J10" i="41"/>
  <c r="D10" i="41"/>
  <c r="M32" i="41" s="1"/>
  <c r="AD9" i="41"/>
  <c r="AC9" i="41"/>
  <c r="AB9" i="41"/>
  <c r="J9" i="41"/>
  <c r="F9" i="41"/>
  <c r="F12" i="41" s="1"/>
  <c r="AA9" i="41" s="1"/>
  <c r="D9" i="41"/>
  <c r="U32" i="41" s="1"/>
  <c r="J8" i="41"/>
  <c r="C8" i="41"/>
  <c r="L7" i="41"/>
  <c r="L13" i="41" s="1"/>
  <c r="K7" i="41"/>
  <c r="K13" i="41" s="1"/>
  <c r="C7" i="41"/>
  <c r="C6" i="41"/>
  <c r="C5" i="41"/>
  <c r="D5" i="41" s="1"/>
  <c r="C4" i="41"/>
  <c r="C3" i="41"/>
  <c r="I295" i="40"/>
  <c r="H295" i="40"/>
  <c r="K292" i="40"/>
  <c r="J292" i="40"/>
  <c r="J289" i="40"/>
  <c r="I289" i="40"/>
  <c r="H286" i="40"/>
  <c r="G286" i="40"/>
  <c r="AT283" i="40"/>
  <c r="AS283" i="40"/>
  <c r="J283" i="40"/>
  <c r="I283" i="40"/>
  <c r="J280" i="40"/>
  <c r="I280" i="40"/>
  <c r="L277" i="40"/>
  <c r="K277" i="40"/>
  <c r="J274" i="40"/>
  <c r="I274" i="40"/>
  <c r="L271" i="40"/>
  <c r="K271" i="40"/>
  <c r="K268" i="40"/>
  <c r="J268" i="40"/>
  <c r="L265" i="40"/>
  <c r="K265" i="40"/>
  <c r="K262" i="40"/>
  <c r="J262" i="40"/>
  <c r="K259" i="40"/>
  <c r="J259" i="40"/>
  <c r="J256" i="40"/>
  <c r="I256" i="40"/>
  <c r="L253" i="40"/>
  <c r="K253" i="40"/>
  <c r="M250" i="40"/>
  <c r="L250" i="40"/>
  <c r="M247" i="40"/>
  <c r="L247" i="40"/>
  <c r="M244" i="40"/>
  <c r="L244" i="40"/>
  <c r="N241" i="40"/>
  <c r="M241" i="40"/>
  <c r="I238" i="40"/>
  <c r="H238" i="40"/>
  <c r="K235" i="40"/>
  <c r="J235" i="40"/>
  <c r="J232" i="40"/>
  <c r="I232" i="40"/>
  <c r="J229" i="40"/>
  <c r="I229" i="40"/>
  <c r="J226" i="40"/>
  <c r="I226" i="40"/>
  <c r="G223" i="40"/>
  <c r="F223" i="40"/>
  <c r="I220" i="40"/>
  <c r="H220" i="40"/>
  <c r="I217" i="40"/>
  <c r="H217" i="40"/>
  <c r="H214" i="40"/>
  <c r="G214" i="40"/>
  <c r="L211" i="40"/>
  <c r="K211" i="40"/>
  <c r="K208" i="40"/>
  <c r="J208" i="40"/>
  <c r="J205" i="40"/>
  <c r="I205" i="40"/>
  <c r="L202" i="40"/>
  <c r="K202" i="40"/>
  <c r="N199" i="40"/>
  <c r="M199" i="40"/>
  <c r="K196" i="40"/>
  <c r="J196" i="40"/>
  <c r="AW193" i="40"/>
  <c r="K193" i="40"/>
  <c r="J193" i="40"/>
  <c r="K190" i="40"/>
  <c r="J190" i="40"/>
  <c r="J187" i="40"/>
  <c r="I187" i="40"/>
  <c r="J184" i="40"/>
  <c r="I184" i="40"/>
  <c r="K181" i="40"/>
  <c r="J181" i="40"/>
  <c r="K178" i="40"/>
  <c r="J178" i="40"/>
  <c r="I175" i="40"/>
  <c r="H175" i="40"/>
  <c r="K172" i="40"/>
  <c r="J172" i="40"/>
  <c r="G169" i="40"/>
  <c r="X129" i="40"/>
  <c r="W129" i="40"/>
  <c r="V129" i="40"/>
  <c r="U129" i="40"/>
  <c r="X128" i="40"/>
  <c r="W128" i="40"/>
  <c r="V128" i="40"/>
  <c r="U128" i="40"/>
  <c r="X127" i="40"/>
  <c r="W127" i="40"/>
  <c r="V127" i="40"/>
  <c r="U127" i="40"/>
  <c r="X126" i="40"/>
  <c r="W126" i="40"/>
  <c r="V126" i="40"/>
  <c r="U126" i="40"/>
  <c r="X125" i="40"/>
  <c r="W125" i="40"/>
  <c r="V125" i="40"/>
  <c r="U125" i="40"/>
  <c r="X124" i="40"/>
  <c r="W124" i="40"/>
  <c r="V124" i="40"/>
  <c r="U124" i="40"/>
  <c r="X123" i="40"/>
  <c r="W123" i="40"/>
  <c r="V123" i="40"/>
  <c r="U123" i="40"/>
  <c r="X122" i="40"/>
  <c r="W122" i="40"/>
  <c r="V122" i="40"/>
  <c r="U122" i="40"/>
  <c r="X121" i="40"/>
  <c r="W121" i="40"/>
  <c r="V121" i="40"/>
  <c r="U121" i="40"/>
  <c r="X120" i="40"/>
  <c r="W120" i="40"/>
  <c r="V120" i="40"/>
  <c r="U120" i="40"/>
  <c r="X119" i="40"/>
  <c r="W119" i="40"/>
  <c r="V119" i="40"/>
  <c r="U119" i="40"/>
  <c r="X118" i="40"/>
  <c r="W118" i="40"/>
  <c r="V118" i="40"/>
  <c r="U118" i="40"/>
  <c r="X117" i="40"/>
  <c r="V117" i="40"/>
  <c r="U117" i="40"/>
  <c r="X116" i="40"/>
  <c r="V116" i="40"/>
  <c r="U116" i="40"/>
  <c r="X115" i="40"/>
  <c r="W115" i="40"/>
  <c r="V115" i="40"/>
  <c r="J97" i="40"/>
  <c r="J98" i="40" s="1"/>
  <c r="H97" i="40"/>
  <c r="H98" i="40" s="1"/>
  <c r="F96" i="40"/>
  <c r="E96" i="40"/>
  <c r="D19" i="40" s="1"/>
  <c r="F95" i="40"/>
  <c r="E95" i="40"/>
  <c r="F94" i="40"/>
  <c r="E94" i="40"/>
  <c r="F93" i="40"/>
  <c r="E93" i="40"/>
  <c r="F92" i="40"/>
  <c r="E92" i="40"/>
  <c r="F91" i="40"/>
  <c r="E91" i="40"/>
  <c r="F90" i="40"/>
  <c r="E90" i="40"/>
  <c r="F89" i="40"/>
  <c r="E89" i="40"/>
  <c r="F88" i="40"/>
  <c r="E88" i="40"/>
  <c r="F87" i="40"/>
  <c r="E87" i="40"/>
  <c r="C86" i="40"/>
  <c r="S68" i="40"/>
  <c r="R68" i="40"/>
  <c r="Q68" i="40"/>
  <c r="P68" i="40"/>
  <c r="Y67" i="40"/>
  <c r="X67" i="40"/>
  <c r="W67" i="40"/>
  <c r="V67" i="40"/>
  <c r="S67" i="40"/>
  <c r="R67" i="40"/>
  <c r="Q67" i="40"/>
  <c r="P67" i="40"/>
  <c r="Y66" i="40"/>
  <c r="X66" i="40"/>
  <c r="W66" i="40"/>
  <c r="V66" i="40"/>
  <c r="S66" i="40"/>
  <c r="R66" i="40"/>
  <c r="Q66" i="40"/>
  <c r="P66" i="40"/>
  <c r="L63" i="40"/>
  <c r="L58" i="40" s="1"/>
  <c r="L57" i="40" s="1"/>
  <c r="K63" i="40"/>
  <c r="J63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AD37" i="40"/>
  <c r="AC37" i="40"/>
  <c r="AB37" i="40"/>
  <c r="AA37" i="40"/>
  <c r="Z37" i="40"/>
  <c r="Y37" i="40"/>
  <c r="X37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AD36" i="40"/>
  <c r="AC36" i="40"/>
  <c r="AB36" i="40"/>
  <c r="AA36" i="40"/>
  <c r="Z36" i="40"/>
  <c r="Y36" i="40"/>
  <c r="X36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AD35" i="40"/>
  <c r="AC35" i="40"/>
  <c r="AB35" i="40"/>
  <c r="AA35" i="40"/>
  <c r="Z35" i="40"/>
  <c r="Y35" i="40"/>
  <c r="X35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Y32" i="40"/>
  <c r="M32" i="40"/>
  <c r="K20" i="40"/>
  <c r="J20" i="40"/>
  <c r="D20" i="40"/>
  <c r="L64" i="40" s="1"/>
  <c r="D18" i="40"/>
  <c r="D17" i="40"/>
  <c r="D16" i="40"/>
  <c r="F15" i="40"/>
  <c r="Y64" i="40" s="1"/>
  <c r="D15" i="40"/>
  <c r="D14" i="40"/>
  <c r="J13" i="40"/>
  <c r="D13" i="40"/>
  <c r="AD12" i="40"/>
  <c r="AC12" i="40"/>
  <c r="AB12" i="40"/>
  <c r="AA12" i="40"/>
  <c r="J12" i="40"/>
  <c r="D12" i="40"/>
  <c r="AD11" i="40"/>
  <c r="AC11" i="40"/>
  <c r="AB11" i="40"/>
  <c r="AA11" i="40"/>
  <c r="J11" i="40"/>
  <c r="D11" i="40"/>
  <c r="K10" i="40"/>
  <c r="J10" i="40"/>
  <c r="D10" i="40"/>
  <c r="AD9" i="40"/>
  <c r="AC9" i="40"/>
  <c r="AB9" i="40"/>
  <c r="J9" i="40"/>
  <c r="F9" i="40"/>
  <c r="F10" i="40" s="1"/>
  <c r="D9" i="40"/>
  <c r="X32" i="40" s="1"/>
  <c r="J8" i="40"/>
  <c r="C8" i="40"/>
  <c r="K7" i="40"/>
  <c r="K8" i="40" s="1"/>
  <c r="C7" i="40"/>
  <c r="C6" i="40"/>
  <c r="C5" i="40"/>
  <c r="C4" i="40"/>
  <c r="C3" i="40"/>
  <c r="I295" i="39"/>
  <c r="H295" i="39"/>
  <c r="K292" i="39"/>
  <c r="J292" i="39"/>
  <c r="J289" i="39"/>
  <c r="I289" i="39"/>
  <c r="H286" i="39"/>
  <c r="G286" i="39"/>
  <c r="AT283" i="39"/>
  <c r="AS283" i="39"/>
  <c r="J283" i="39"/>
  <c r="I283" i="39"/>
  <c r="J280" i="39"/>
  <c r="I280" i="39"/>
  <c r="L277" i="39"/>
  <c r="K277" i="39"/>
  <c r="J274" i="39"/>
  <c r="I274" i="39"/>
  <c r="L271" i="39"/>
  <c r="K271" i="39"/>
  <c r="K268" i="39"/>
  <c r="J268" i="39"/>
  <c r="L265" i="39"/>
  <c r="K265" i="39"/>
  <c r="K262" i="39"/>
  <c r="J262" i="39"/>
  <c r="K259" i="39"/>
  <c r="J259" i="39"/>
  <c r="J256" i="39"/>
  <c r="I256" i="39"/>
  <c r="L253" i="39"/>
  <c r="K253" i="39"/>
  <c r="M250" i="39"/>
  <c r="L250" i="39"/>
  <c r="M247" i="39"/>
  <c r="L247" i="39"/>
  <c r="M244" i="39"/>
  <c r="L244" i="39"/>
  <c r="N241" i="39"/>
  <c r="M241" i="39"/>
  <c r="I238" i="39"/>
  <c r="H238" i="39"/>
  <c r="K235" i="39"/>
  <c r="J235" i="39"/>
  <c r="J232" i="39"/>
  <c r="I232" i="39"/>
  <c r="J229" i="39"/>
  <c r="I229" i="39"/>
  <c r="J226" i="39"/>
  <c r="I226" i="39"/>
  <c r="G223" i="39"/>
  <c r="F223" i="39"/>
  <c r="I220" i="39"/>
  <c r="H220" i="39"/>
  <c r="I217" i="39"/>
  <c r="H217" i="39"/>
  <c r="H214" i="39"/>
  <c r="G214" i="39"/>
  <c r="L211" i="39"/>
  <c r="K211" i="39"/>
  <c r="K208" i="39"/>
  <c r="J208" i="39"/>
  <c r="J205" i="39"/>
  <c r="I205" i="39"/>
  <c r="L202" i="39"/>
  <c r="K202" i="39"/>
  <c r="N199" i="39"/>
  <c r="M199" i="39"/>
  <c r="K196" i="39"/>
  <c r="J196" i="39"/>
  <c r="AW193" i="39"/>
  <c r="K193" i="39"/>
  <c r="J193" i="39"/>
  <c r="K190" i="39"/>
  <c r="J190" i="39"/>
  <c r="J187" i="39"/>
  <c r="I187" i="39"/>
  <c r="J184" i="39"/>
  <c r="I184" i="39"/>
  <c r="K181" i="39"/>
  <c r="J181" i="39"/>
  <c r="K178" i="39"/>
  <c r="J178" i="39"/>
  <c r="I175" i="39"/>
  <c r="H175" i="39"/>
  <c r="K172" i="39"/>
  <c r="J172" i="39"/>
  <c r="G169" i="39"/>
  <c r="X129" i="39"/>
  <c r="W129" i="39"/>
  <c r="V129" i="39"/>
  <c r="U129" i="39"/>
  <c r="X128" i="39"/>
  <c r="W128" i="39"/>
  <c r="V128" i="39"/>
  <c r="U128" i="39"/>
  <c r="X127" i="39"/>
  <c r="W127" i="39"/>
  <c r="V127" i="39"/>
  <c r="U127" i="39"/>
  <c r="X126" i="39"/>
  <c r="W126" i="39"/>
  <c r="V126" i="39"/>
  <c r="U126" i="39"/>
  <c r="X125" i="39"/>
  <c r="W125" i="39"/>
  <c r="V125" i="39"/>
  <c r="U125" i="39"/>
  <c r="X124" i="39"/>
  <c r="W124" i="39"/>
  <c r="V124" i="39"/>
  <c r="U124" i="39"/>
  <c r="X123" i="39"/>
  <c r="W123" i="39"/>
  <c r="V123" i="39"/>
  <c r="U123" i="39"/>
  <c r="X122" i="39"/>
  <c r="W122" i="39"/>
  <c r="V122" i="39"/>
  <c r="U122" i="39"/>
  <c r="X121" i="39"/>
  <c r="W121" i="39"/>
  <c r="V121" i="39"/>
  <c r="U121" i="39"/>
  <c r="X120" i="39"/>
  <c r="W120" i="39"/>
  <c r="V120" i="39"/>
  <c r="U120" i="39"/>
  <c r="X119" i="39"/>
  <c r="W119" i="39"/>
  <c r="V119" i="39"/>
  <c r="U119" i="39"/>
  <c r="X118" i="39"/>
  <c r="W118" i="39"/>
  <c r="V118" i="39"/>
  <c r="U118" i="39"/>
  <c r="X117" i="39"/>
  <c r="V117" i="39"/>
  <c r="U117" i="39"/>
  <c r="X116" i="39"/>
  <c r="V116" i="39"/>
  <c r="U116" i="39"/>
  <c r="X115" i="39"/>
  <c r="W115" i="39"/>
  <c r="V115" i="39"/>
  <c r="J97" i="39"/>
  <c r="J98" i="39" s="1"/>
  <c r="H97" i="39"/>
  <c r="H98" i="39" s="1"/>
  <c r="F96" i="39"/>
  <c r="E96" i="39"/>
  <c r="D19" i="39" s="1"/>
  <c r="C76" i="39" s="1"/>
  <c r="F95" i="39"/>
  <c r="E95" i="39"/>
  <c r="F94" i="39"/>
  <c r="E94" i="39"/>
  <c r="F93" i="39"/>
  <c r="E93" i="39"/>
  <c r="F92" i="39"/>
  <c r="E92" i="39"/>
  <c r="F91" i="39"/>
  <c r="E91" i="39"/>
  <c r="F90" i="39"/>
  <c r="E90" i="39"/>
  <c r="F89" i="39"/>
  <c r="E89" i="39"/>
  <c r="F88" i="39"/>
  <c r="E88" i="39"/>
  <c r="F87" i="39"/>
  <c r="E87" i="39"/>
  <c r="C86" i="39"/>
  <c r="S68" i="39"/>
  <c r="R68" i="39"/>
  <c r="Q68" i="39"/>
  <c r="P68" i="39"/>
  <c r="Y67" i="39"/>
  <c r="X67" i="39"/>
  <c r="W67" i="39"/>
  <c r="V67" i="39"/>
  <c r="S67" i="39"/>
  <c r="R67" i="39"/>
  <c r="Q67" i="39"/>
  <c r="P67" i="39"/>
  <c r="Y66" i="39"/>
  <c r="X66" i="39"/>
  <c r="W66" i="39"/>
  <c r="V66" i="39"/>
  <c r="S66" i="39"/>
  <c r="R66" i="39"/>
  <c r="Q66" i="39"/>
  <c r="P66" i="39"/>
  <c r="L63" i="39"/>
  <c r="K63" i="39"/>
  <c r="J63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2" i="39"/>
  <c r="C41" i="39"/>
  <c r="AD37" i="39"/>
  <c r="AC37" i="39"/>
  <c r="AB37" i="39"/>
  <c r="AA37" i="39"/>
  <c r="Z37" i="39"/>
  <c r="Y37" i="39"/>
  <c r="X37" i="39"/>
  <c r="W37" i="39"/>
  <c r="V37" i="39"/>
  <c r="U37" i="39"/>
  <c r="T37" i="39"/>
  <c r="S37" i="39"/>
  <c r="R37" i="39"/>
  <c r="Q37" i="39"/>
  <c r="P37" i="39"/>
  <c r="O37" i="39"/>
  <c r="N37" i="39"/>
  <c r="M37" i="39"/>
  <c r="L37" i="39"/>
  <c r="K37" i="39"/>
  <c r="J37" i="39"/>
  <c r="AD36" i="39"/>
  <c r="AC36" i="39"/>
  <c r="AB36" i="39"/>
  <c r="AA36" i="39"/>
  <c r="Z36" i="39"/>
  <c r="Y36" i="39"/>
  <c r="X36" i="39"/>
  <c r="W36" i="39"/>
  <c r="V36" i="39"/>
  <c r="U36" i="39"/>
  <c r="T36" i="39"/>
  <c r="S36" i="39"/>
  <c r="R36" i="39"/>
  <c r="Q36" i="39"/>
  <c r="P36" i="39"/>
  <c r="O36" i="39"/>
  <c r="N36" i="39"/>
  <c r="M36" i="39"/>
  <c r="L36" i="39"/>
  <c r="K36" i="39"/>
  <c r="J36" i="39"/>
  <c r="AD35" i="39"/>
  <c r="AC35" i="39"/>
  <c r="AB35" i="39"/>
  <c r="AA35" i="39"/>
  <c r="Z35" i="39"/>
  <c r="Y35" i="39"/>
  <c r="X35" i="39"/>
  <c r="W35" i="39"/>
  <c r="V35" i="39"/>
  <c r="U35" i="39"/>
  <c r="T35" i="39"/>
  <c r="S35" i="39"/>
  <c r="R35" i="39"/>
  <c r="Q35" i="39"/>
  <c r="P35" i="39"/>
  <c r="O35" i="39"/>
  <c r="N35" i="39"/>
  <c r="M35" i="39"/>
  <c r="L35" i="39"/>
  <c r="K35" i="39"/>
  <c r="J35" i="39"/>
  <c r="AB32" i="39"/>
  <c r="P20" i="39"/>
  <c r="M20" i="39"/>
  <c r="L20" i="39"/>
  <c r="K20" i="39"/>
  <c r="D20" i="39"/>
  <c r="L64" i="39" s="1"/>
  <c r="E19" i="39"/>
  <c r="D18" i="39"/>
  <c r="D16" i="39"/>
  <c r="F15" i="39"/>
  <c r="Y64" i="39" s="1"/>
  <c r="D15" i="39"/>
  <c r="D14" i="39"/>
  <c r="J13" i="39"/>
  <c r="D13" i="39"/>
  <c r="AD12" i="39"/>
  <c r="AC12" i="39"/>
  <c r="AB12" i="39"/>
  <c r="AA12" i="39"/>
  <c r="J12" i="39"/>
  <c r="D12" i="39"/>
  <c r="AD11" i="39"/>
  <c r="AC11" i="39"/>
  <c r="AB11" i="39"/>
  <c r="AA11" i="39"/>
  <c r="J11" i="39"/>
  <c r="D11" i="39"/>
  <c r="J10" i="39"/>
  <c r="D10" i="39"/>
  <c r="AD9" i="39"/>
  <c r="AC9" i="39"/>
  <c r="AB9" i="39"/>
  <c r="J9" i="39"/>
  <c r="F9" i="39"/>
  <c r="F13" i="39" s="1"/>
  <c r="D9" i="39"/>
  <c r="AA32" i="39" s="1"/>
  <c r="J8" i="39"/>
  <c r="D8" i="39"/>
  <c r="X65" i="39" s="1"/>
  <c r="C8" i="39"/>
  <c r="K7" i="39"/>
  <c r="K13" i="39" s="1"/>
  <c r="C7" i="39"/>
  <c r="C6" i="39"/>
  <c r="C5" i="39"/>
  <c r="C4" i="39"/>
  <c r="C3" i="39"/>
  <c r="I295" i="38"/>
  <c r="H295" i="38"/>
  <c r="K292" i="38"/>
  <c r="J292" i="38"/>
  <c r="J289" i="38"/>
  <c r="I289" i="38"/>
  <c r="H286" i="38"/>
  <c r="G286" i="38"/>
  <c r="AT283" i="38"/>
  <c r="AS283" i="38"/>
  <c r="J283" i="38"/>
  <c r="I283" i="38"/>
  <c r="J280" i="38"/>
  <c r="I280" i="38"/>
  <c r="L277" i="38"/>
  <c r="K277" i="38"/>
  <c r="J274" i="38"/>
  <c r="I274" i="38"/>
  <c r="L271" i="38"/>
  <c r="K271" i="38"/>
  <c r="K268" i="38"/>
  <c r="J268" i="38"/>
  <c r="L265" i="38"/>
  <c r="K265" i="38"/>
  <c r="K262" i="38"/>
  <c r="J262" i="38"/>
  <c r="K259" i="38"/>
  <c r="J259" i="38"/>
  <c r="J256" i="38"/>
  <c r="I256" i="38"/>
  <c r="L253" i="38"/>
  <c r="K253" i="38"/>
  <c r="M250" i="38"/>
  <c r="L250" i="38"/>
  <c r="M247" i="38"/>
  <c r="L247" i="38"/>
  <c r="M244" i="38"/>
  <c r="L244" i="38"/>
  <c r="N241" i="38"/>
  <c r="M241" i="38"/>
  <c r="I238" i="38"/>
  <c r="H238" i="38"/>
  <c r="K235" i="38"/>
  <c r="J235" i="38"/>
  <c r="J232" i="38"/>
  <c r="I232" i="38"/>
  <c r="J229" i="38"/>
  <c r="I229" i="38"/>
  <c r="J226" i="38"/>
  <c r="I226" i="38"/>
  <c r="G223" i="38"/>
  <c r="F223" i="38"/>
  <c r="I220" i="38"/>
  <c r="H220" i="38"/>
  <c r="I217" i="38"/>
  <c r="H217" i="38"/>
  <c r="H214" i="38"/>
  <c r="G214" i="38"/>
  <c r="L211" i="38"/>
  <c r="K211" i="38"/>
  <c r="K208" i="38"/>
  <c r="J208" i="38"/>
  <c r="J205" i="38"/>
  <c r="I205" i="38"/>
  <c r="L202" i="38"/>
  <c r="K202" i="38"/>
  <c r="N199" i="38"/>
  <c r="M199" i="38"/>
  <c r="K196" i="38"/>
  <c r="J196" i="38"/>
  <c r="AW193" i="38"/>
  <c r="K193" i="38"/>
  <c r="J193" i="38"/>
  <c r="K190" i="38"/>
  <c r="J190" i="38"/>
  <c r="J187" i="38"/>
  <c r="I187" i="38"/>
  <c r="J184" i="38"/>
  <c r="I184" i="38"/>
  <c r="K181" i="38"/>
  <c r="J181" i="38"/>
  <c r="K178" i="38"/>
  <c r="J178" i="38"/>
  <c r="I175" i="38"/>
  <c r="H175" i="38"/>
  <c r="K172" i="38"/>
  <c r="J172" i="38"/>
  <c r="G169" i="38"/>
  <c r="X129" i="38"/>
  <c r="W129" i="38"/>
  <c r="V129" i="38"/>
  <c r="U129" i="38"/>
  <c r="X128" i="38"/>
  <c r="W128" i="38"/>
  <c r="V128" i="38"/>
  <c r="U128" i="38"/>
  <c r="X127" i="38"/>
  <c r="W127" i="38"/>
  <c r="V127" i="38"/>
  <c r="U127" i="38"/>
  <c r="X126" i="38"/>
  <c r="W126" i="38"/>
  <c r="V126" i="38"/>
  <c r="U126" i="38"/>
  <c r="X125" i="38"/>
  <c r="W125" i="38"/>
  <c r="V125" i="38"/>
  <c r="U125" i="38"/>
  <c r="X124" i="38"/>
  <c r="W124" i="38"/>
  <c r="V124" i="38"/>
  <c r="U124" i="38"/>
  <c r="X123" i="38"/>
  <c r="W123" i="38"/>
  <c r="V123" i="38"/>
  <c r="U123" i="38"/>
  <c r="X122" i="38"/>
  <c r="W122" i="38"/>
  <c r="V122" i="38"/>
  <c r="U122" i="38"/>
  <c r="X121" i="38"/>
  <c r="W121" i="38"/>
  <c r="V121" i="38"/>
  <c r="U121" i="38"/>
  <c r="X120" i="38"/>
  <c r="W120" i="38"/>
  <c r="V120" i="38"/>
  <c r="U120" i="38"/>
  <c r="X119" i="38"/>
  <c r="W119" i="38"/>
  <c r="V119" i="38"/>
  <c r="U119" i="38"/>
  <c r="X118" i="38"/>
  <c r="W118" i="38"/>
  <c r="V118" i="38"/>
  <c r="U118" i="38"/>
  <c r="X117" i="38"/>
  <c r="V117" i="38"/>
  <c r="U117" i="38"/>
  <c r="X116" i="38"/>
  <c r="V116" i="38"/>
  <c r="U116" i="38"/>
  <c r="X115" i="38"/>
  <c r="W115" i="38"/>
  <c r="V115" i="38"/>
  <c r="J98" i="38"/>
  <c r="H98" i="38"/>
  <c r="J97" i="38"/>
  <c r="H97" i="38"/>
  <c r="F96" i="38"/>
  <c r="E96" i="38"/>
  <c r="F95" i="38"/>
  <c r="E95" i="38"/>
  <c r="D8" i="38" s="1"/>
  <c r="F94" i="38"/>
  <c r="E94" i="38"/>
  <c r="F93" i="38"/>
  <c r="E93" i="38"/>
  <c r="D6" i="38" s="1"/>
  <c r="S33" i="38" s="1"/>
  <c r="F92" i="38"/>
  <c r="E92" i="38"/>
  <c r="F91" i="38"/>
  <c r="E91" i="38"/>
  <c r="F90" i="38"/>
  <c r="E90" i="38"/>
  <c r="F89" i="38"/>
  <c r="E89" i="38"/>
  <c r="F88" i="38"/>
  <c r="E88" i="38"/>
  <c r="F87" i="38"/>
  <c r="E87" i="38"/>
  <c r="C86" i="38"/>
  <c r="S68" i="38"/>
  <c r="R68" i="38"/>
  <c r="Q68" i="38"/>
  <c r="P68" i="38"/>
  <c r="Y67" i="38"/>
  <c r="X67" i="38"/>
  <c r="W67" i="38"/>
  <c r="V67" i="38"/>
  <c r="S67" i="38"/>
  <c r="R67" i="38"/>
  <c r="Q67" i="38"/>
  <c r="P67" i="38"/>
  <c r="Y66" i="38"/>
  <c r="X66" i="38"/>
  <c r="W66" i="38"/>
  <c r="V66" i="38"/>
  <c r="S66" i="38"/>
  <c r="R66" i="38"/>
  <c r="Q66" i="38"/>
  <c r="P66" i="38"/>
  <c r="X64" i="38"/>
  <c r="L63" i="38"/>
  <c r="K63" i="38"/>
  <c r="J63" i="38"/>
  <c r="C58" i="38"/>
  <c r="C57" i="38"/>
  <c r="D19" i="38" s="1"/>
  <c r="C56" i="38"/>
  <c r="C55" i="38"/>
  <c r="C54" i="38"/>
  <c r="C53" i="38"/>
  <c r="C52" i="38"/>
  <c r="C51" i="38"/>
  <c r="C50" i="38"/>
  <c r="C49" i="38"/>
  <c r="C48" i="38"/>
  <c r="C47" i="38"/>
  <c r="C46" i="38"/>
  <c r="AD37" i="38"/>
  <c r="AC37" i="38"/>
  <c r="AB37" i="38"/>
  <c r="AA37" i="38"/>
  <c r="Z37" i="38"/>
  <c r="Y37" i="38"/>
  <c r="X37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AD36" i="38"/>
  <c r="AC36" i="38"/>
  <c r="AB36" i="38"/>
  <c r="AA36" i="38"/>
  <c r="Z36" i="38"/>
  <c r="Y36" i="38"/>
  <c r="X36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AD35" i="38"/>
  <c r="AC35" i="38"/>
  <c r="AB35" i="38"/>
  <c r="AA35" i="38"/>
  <c r="Z35" i="38"/>
  <c r="Y35" i="38"/>
  <c r="X35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Y32" i="38"/>
  <c r="M32" i="38"/>
  <c r="P20" i="38"/>
  <c r="O20" i="38"/>
  <c r="N20" i="38"/>
  <c r="M20" i="38"/>
  <c r="L20" i="38"/>
  <c r="J20" i="38"/>
  <c r="D20" i="38"/>
  <c r="L64" i="38" s="1"/>
  <c r="D18" i="38"/>
  <c r="D17" i="38"/>
  <c r="D16" i="38"/>
  <c r="F15" i="38"/>
  <c r="Y64" i="38" s="1"/>
  <c r="D15" i="38"/>
  <c r="D14" i="38"/>
  <c r="K13" i="38"/>
  <c r="J13" i="38"/>
  <c r="D13" i="38"/>
  <c r="AD12" i="38"/>
  <c r="AC12" i="38"/>
  <c r="AB12" i="38"/>
  <c r="AA12" i="38"/>
  <c r="J12" i="38"/>
  <c r="D12" i="38"/>
  <c r="AD11" i="38"/>
  <c r="AC11" i="38"/>
  <c r="AB11" i="38"/>
  <c r="AA11" i="38"/>
  <c r="J11" i="38"/>
  <c r="D11" i="38"/>
  <c r="J10" i="38"/>
  <c r="D10" i="38"/>
  <c r="AD9" i="38"/>
  <c r="AC9" i="38"/>
  <c r="AB9" i="38"/>
  <c r="K9" i="38"/>
  <c r="J9" i="38"/>
  <c r="F9" i="38"/>
  <c r="F14" i="38" s="1"/>
  <c r="D9" i="38"/>
  <c r="AB32" i="38" s="1"/>
  <c r="J8" i="38"/>
  <c r="C8" i="38"/>
  <c r="K7" i="38"/>
  <c r="K12" i="38" s="1"/>
  <c r="C7" i="38"/>
  <c r="C6" i="38"/>
  <c r="C5" i="38"/>
  <c r="C4" i="38"/>
  <c r="D4" i="38" s="1"/>
  <c r="C3" i="38"/>
  <c r="D3" i="38" s="1"/>
  <c r="P20" i="30"/>
  <c r="M20" i="30"/>
  <c r="L20" i="30"/>
  <c r="K20" i="30"/>
  <c r="K20" i="10"/>
  <c r="T15" i="7"/>
  <c r="T18" i="7"/>
  <c r="C86" i="37"/>
  <c r="I295" i="37"/>
  <c r="H295" i="37"/>
  <c r="K292" i="37"/>
  <c r="J292" i="37"/>
  <c r="J289" i="37"/>
  <c r="I289" i="37"/>
  <c r="H286" i="37"/>
  <c r="G286" i="37"/>
  <c r="AT283" i="37"/>
  <c r="AS283" i="37"/>
  <c r="J283" i="37"/>
  <c r="I283" i="37"/>
  <c r="J280" i="37"/>
  <c r="I280" i="37"/>
  <c r="L277" i="37"/>
  <c r="K277" i="37"/>
  <c r="J274" i="37"/>
  <c r="I274" i="37"/>
  <c r="L271" i="37"/>
  <c r="K271" i="37"/>
  <c r="K268" i="37"/>
  <c r="J268" i="37"/>
  <c r="L265" i="37"/>
  <c r="K265" i="37"/>
  <c r="K262" i="37"/>
  <c r="J262" i="37"/>
  <c r="K259" i="37"/>
  <c r="J259" i="37"/>
  <c r="J256" i="37"/>
  <c r="I256" i="37"/>
  <c r="L253" i="37"/>
  <c r="K253" i="37"/>
  <c r="M250" i="37"/>
  <c r="L250" i="37"/>
  <c r="M247" i="37"/>
  <c r="L247" i="37"/>
  <c r="M244" i="37"/>
  <c r="L244" i="37"/>
  <c r="N241" i="37"/>
  <c r="M241" i="37"/>
  <c r="I238" i="37"/>
  <c r="H238" i="37"/>
  <c r="K235" i="37"/>
  <c r="J235" i="37"/>
  <c r="J232" i="37"/>
  <c r="I232" i="37"/>
  <c r="J229" i="37"/>
  <c r="I229" i="37"/>
  <c r="J226" i="37"/>
  <c r="I226" i="37"/>
  <c r="G223" i="37"/>
  <c r="F223" i="37"/>
  <c r="I220" i="37"/>
  <c r="H220" i="37"/>
  <c r="I217" i="37"/>
  <c r="H217" i="37"/>
  <c r="H214" i="37"/>
  <c r="G214" i="37"/>
  <c r="L211" i="37"/>
  <c r="K211" i="37"/>
  <c r="K208" i="37"/>
  <c r="J208" i="37"/>
  <c r="J205" i="37"/>
  <c r="I205" i="37"/>
  <c r="L202" i="37"/>
  <c r="K202" i="37"/>
  <c r="N199" i="37"/>
  <c r="M199" i="37"/>
  <c r="K196" i="37"/>
  <c r="J196" i="37"/>
  <c r="AW193" i="37"/>
  <c r="K193" i="37"/>
  <c r="J193" i="37"/>
  <c r="K190" i="37"/>
  <c r="J190" i="37"/>
  <c r="J187" i="37"/>
  <c r="I187" i="37"/>
  <c r="J184" i="37"/>
  <c r="I184" i="37"/>
  <c r="K181" i="37"/>
  <c r="J181" i="37"/>
  <c r="K178" i="37"/>
  <c r="J178" i="37"/>
  <c r="I175" i="37"/>
  <c r="H175" i="37"/>
  <c r="K172" i="37"/>
  <c r="J172" i="37"/>
  <c r="G169" i="37"/>
  <c r="X129" i="37"/>
  <c r="W129" i="37"/>
  <c r="V129" i="37"/>
  <c r="U129" i="37"/>
  <c r="X128" i="37"/>
  <c r="W128" i="37"/>
  <c r="V128" i="37"/>
  <c r="U128" i="37"/>
  <c r="X127" i="37"/>
  <c r="W127" i="37"/>
  <c r="V127" i="37"/>
  <c r="U127" i="37"/>
  <c r="X126" i="37"/>
  <c r="W126" i="37"/>
  <c r="V126" i="37"/>
  <c r="U126" i="37"/>
  <c r="X125" i="37"/>
  <c r="W125" i="37"/>
  <c r="V125" i="37"/>
  <c r="U125" i="37"/>
  <c r="X124" i="37"/>
  <c r="W124" i="37"/>
  <c r="V124" i="37"/>
  <c r="U124" i="37"/>
  <c r="X123" i="37"/>
  <c r="W123" i="37"/>
  <c r="V123" i="37"/>
  <c r="U123" i="37"/>
  <c r="X122" i="37"/>
  <c r="W122" i="37"/>
  <c r="V122" i="37"/>
  <c r="U122" i="37"/>
  <c r="X121" i="37"/>
  <c r="W121" i="37"/>
  <c r="V121" i="37"/>
  <c r="U121" i="37"/>
  <c r="X120" i="37"/>
  <c r="W120" i="37"/>
  <c r="V120" i="37"/>
  <c r="U120" i="37"/>
  <c r="X119" i="37"/>
  <c r="W119" i="37"/>
  <c r="V119" i="37"/>
  <c r="U119" i="37"/>
  <c r="X118" i="37"/>
  <c r="W118" i="37"/>
  <c r="V118" i="37"/>
  <c r="U118" i="37"/>
  <c r="X117" i="37"/>
  <c r="V117" i="37"/>
  <c r="U117" i="37"/>
  <c r="X116" i="37"/>
  <c r="V116" i="37"/>
  <c r="U116" i="37"/>
  <c r="X115" i="37"/>
  <c r="W115" i="37"/>
  <c r="V115" i="37"/>
  <c r="J97" i="37"/>
  <c r="J98" i="37" s="1"/>
  <c r="H97" i="37"/>
  <c r="H98" i="37" s="1"/>
  <c r="F96" i="37"/>
  <c r="E96" i="37"/>
  <c r="D19" i="37" s="1"/>
  <c r="F95" i="37"/>
  <c r="E95" i="37"/>
  <c r="F94" i="37"/>
  <c r="E94" i="37"/>
  <c r="F93" i="37"/>
  <c r="E93" i="37"/>
  <c r="F92" i="37"/>
  <c r="E92" i="37"/>
  <c r="F91" i="37"/>
  <c r="E91" i="37"/>
  <c r="F90" i="37"/>
  <c r="E90" i="37"/>
  <c r="F89" i="37"/>
  <c r="E89" i="37"/>
  <c r="F88" i="37"/>
  <c r="E88" i="37"/>
  <c r="F87" i="37"/>
  <c r="E87" i="37"/>
  <c r="S68" i="37"/>
  <c r="R68" i="37"/>
  <c r="Q68" i="37"/>
  <c r="P68" i="37"/>
  <c r="Y67" i="37"/>
  <c r="X67" i="37"/>
  <c r="W67" i="37"/>
  <c r="V67" i="37"/>
  <c r="S67" i="37"/>
  <c r="R67" i="37"/>
  <c r="Q67" i="37"/>
  <c r="P67" i="37"/>
  <c r="Y66" i="37"/>
  <c r="X66" i="37"/>
  <c r="W66" i="37"/>
  <c r="V66" i="37"/>
  <c r="S66" i="37"/>
  <c r="R66" i="37"/>
  <c r="Q66" i="37"/>
  <c r="P66" i="37"/>
  <c r="L63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AD37" i="37"/>
  <c r="AC37" i="37"/>
  <c r="AB37" i="37"/>
  <c r="AA37" i="37"/>
  <c r="Z37" i="37"/>
  <c r="Y37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L37" i="37"/>
  <c r="K37" i="37"/>
  <c r="J37" i="37"/>
  <c r="AD36" i="37"/>
  <c r="AC36" i="37"/>
  <c r="AB36" i="37"/>
  <c r="AA36" i="37"/>
  <c r="Z36" i="37"/>
  <c r="Y36" i="37"/>
  <c r="X36" i="37"/>
  <c r="W36" i="37"/>
  <c r="V36" i="37"/>
  <c r="U36" i="37"/>
  <c r="T36" i="37"/>
  <c r="S36" i="37"/>
  <c r="R36" i="37"/>
  <c r="Q36" i="37"/>
  <c r="P36" i="37"/>
  <c r="O36" i="37"/>
  <c r="N36" i="37"/>
  <c r="M36" i="37"/>
  <c r="L36" i="37"/>
  <c r="K36" i="37"/>
  <c r="J36" i="37"/>
  <c r="AD35" i="37"/>
  <c r="AC35" i="37"/>
  <c r="AB35" i="37"/>
  <c r="AA35" i="37"/>
  <c r="Z35" i="37"/>
  <c r="Y35" i="37"/>
  <c r="X35" i="37"/>
  <c r="W35" i="37"/>
  <c r="V35" i="37"/>
  <c r="U35" i="37"/>
  <c r="T35" i="37"/>
  <c r="S35" i="37"/>
  <c r="R35" i="37"/>
  <c r="Q35" i="37"/>
  <c r="P35" i="37"/>
  <c r="O35" i="37"/>
  <c r="N35" i="37"/>
  <c r="M35" i="37"/>
  <c r="L35" i="37"/>
  <c r="K35" i="37"/>
  <c r="J35" i="37"/>
  <c r="AC32" i="37"/>
  <c r="AA32" i="37"/>
  <c r="Z32" i="37"/>
  <c r="Y32" i="37"/>
  <c r="Q32" i="37"/>
  <c r="O32" i="37"/>
  <c r="N32" i="37"/>
  <c r="D20" i="37"/>
  <c r="L64" i="37" s="1"/>
  <c r="D18" i="37"/>
  <c r="D17" i="37"/>
  <c r="D16" i="37"/>
  <c r="F15" i="37"/>
  <c r="Y64" i="37" s="1"/>
  <c r="D15" i="37"/>
  <c r="D14" i="37"/>
  <c r="J13" i="37"/>
  <c r="D13" i="37"/>
  <c r="AD12" i="37"/>
  <c r="AC12" i="37"/>
  <c r="AB12" i="37"/>
  <c r="AA12" i="37"/>
  <c r="J12" i="37"/>
  <c r="D12" i="37"/>
  <c r="AD11" i="37"/>
  <c r="AC11" i="37"/>
  <c r="AB11" i="37"/>
  <c r="AA11" i="37"/>
  <c r="K11" i="37"/>
  <c r="J11" i="37"/>
  <c r="D11" i="37"/>
  <c r="J10" i="37"/>
  <c r="D10" i="37"/>
  <c r="M32" i="37" s="1"/>
  <c r="AD9" i="37"/>
  <c r="AC9" i="37"/>
  <c r="AB9" i="37"/>
  <c r="J9" i="37"/>
  <c r="F9" i="37"/>
  <c r="F11" i="37" s="1"/>
  <c r="D9" i="37"/>
  <c r="X32" i="37" s="1"/>
  <c r="K8" i="37"/>
  <c r="J8" i="37"/>
  <c r="C8" i="37"/>
  <c r="K7" i="37"/>
  <c r="K12" i="37" s="1"/>
  <c r="C7" i="37"/>
  <c r="C6" i="37"/>
  <c r="C5" i="37"/>
  <c r="C4" i="37"/>
  <c r="C3" i="37"/>
  <c r="I295" i="36"/>
  <c r="H295" i="36"/>
  <c r="K292" i="36"/>
  <c r="J292" i="36"/>
  <c r="J289" i="36"/>
  <c r="I289" i="36"/>
  <c r="H286" i="36"/>
  <c r="G286" i="36"/>
  <c r="AT283" i="36"/>
  <c r="AS283" i="36"/>
  <c r="J283" i="36"/>
  <c r="I283" i="36"/>
  <c r="J280" i="36"/>
  <c r="I280" i="36"/>
  <c r="L277" i="36"/>
  <c r="K277" i="36"/>
  <c r="J274" i="36"/>
  <c r="I274" i="36"/>
  <c r="L271" i="36"/>
  <c r="K271" i="36"/>
  <c r="K268" i="36"/>
  <c r="J268" i="36"/>
  <c r="L265" i="36"/>
  <c r="K265" i="36"/>
  <c r="K262" i="36"/>
  <c r="J262" i="36"/>
  <c r="K259" i="36"/>
  <c r="J259" i="36"/>
  <c r="J256" i="36"/>
  <c r="I256" i="36"/>
  <c r="L253" i="36"/>
  <c r="K253" i="36"/>
  <c r="M250" i="36"/>
  <c r="L250" i="36"/>
  <c r="M247" i="36"/>
  <c r="L247" i="36"/>
  <c r="M244" i="36"/>
  <c r="L244" i="36"/>
  <c r="N241" i="36"/>
  <c r="M241" i="36"/>
  <c r="I238" i="36"/>
  <c r="H238" i="36"/>
  <c r="K235" i="36"/>
  <c r="J235" i="36"/>
  <c r="J232" i="36"/>
  <c r="I232" i="36"/>
  <c r="J229" i="36"/>
  <c r="I229" i="36"/>
  <c r="J226" i="36"/>
  <c r="I226" i="36"/>
  <c r="G223" i="36"/>
  <c r="F223" i="36"/>
  <c r="I220" i="36"/>
  <c r="H220" i="36"/>
  <c r="I217" i="36"/>
  <c r="H217" i="36"/>
  <c r="H214" i="36"/>
  <c r="G214" i="36"/>
  <c r="L211" i="36"/>
  <c r="K211" i="36"/>
  <c r="K208" i="36"/>
  <c r="J208" i="36"/>
  <c r="J205" i="36"/>
  <c r="I205" i="36"/>
  <c r="L202" i="36"/>
  <c r="K202" i="36"/>
  <c r="N199" i="36"/>
  <c r="M199" i="36"/>
  <c r="K196" i="36"/>
  <c r="J196" i="36"/>
  <c r="AW193" i="36"/>
  <c r="K193" i="36"/>
  <c r="J193" i="36"/>
  <c r="K190" i="36"/>
  <c r="J190" i="36"/>
  <c r="J187" i="36"/>
  <c r="I187" i="36"/>
  <c r="J184" i="36"/>
  <c r="I184" i="36"/>
  <c r="K181" i="36"/>
  <c r="J181" i="36"/>
  <c r="K178" i="36"/>
  <c r="J178" i="36"/>
  <c r="I175" i="36"/>
  <c r="H175" i="36"/>
  <c r="K172" i="36"/>
  <c r="J172" i="36"/>
  <c r="G169" i="36"/>
  <c r="X129" i="36"/>
  <c r="W129" i="36"/>
  <c r="V129" i="36"/>
  <c r="U129" i="36"/>
  <c r="X128" i="36"/>
  <c r="W128" i="36"/>
  <c r="V128" i="36"/>
  <c r="U128" i="36"/>
  <c r="X127" i="36"/>
  <c r="W127" i="36"/>
  <c r="V127" i="36"/>
  <c r="U127" i="36"/>
  <c r="X126" i="36"/>
  <c r="W126" i="36"/>
  <c r="V126" i="36"/>
  <c r="U126" i="36"/>
  <c r="X125" i="36"/>
  <c r="W125" i="36"/>
  <c r="V125" i="36"/>
  <c r="U125" i="36"/>
  <c r="X124" i="36"/>
  <c r="W124" i="36"/>
  <c r="V124" i="36"/>
  <c r="U124" i="36"/>
  <c r="X123" i="36"/>
  <c r="W123" i="36"/>
  <c r="V123" i="36"/>
  <c r="U123" i="36"/>
  <c r="X122" i="36"/>
  <c r="W122" i="36"/>
  <c r="V122" i="36"/>
  <c r="U122" i="36"/>
  <c r="X121" i="36"/>
  <c r="W121" i="36"/>
  <c r="V121" i="36"/>
  <c r="U121" i="36"/>
  <c r="X120" i="36"/>
  <c r="W120" i="36"/>
  <c r="V120" i="36"/>
  <c r="U120" i="36"/>
  <c r="X119" i="36"/>
  <c r="W119" i="36"/>
  <c r="V119" i="36"/>
  <c r="U119" i="36"/>
  <c r="X118" i="36"/>
  <c r="W118" i="36"/>
  <c r="V118" i="36"/>
  <c r="U118" i="36"/>
  <c r="X117" i="36"/>
  <c r="V117" i="36"/>
  <c r="U117" i="36"/>
  <c r="X116" i="36"/>
  <c r="V116" i="36"/>
  <c r="U116" i="36"/>
  <c r="X115" i="36"/>
  <c r="W115" i="36"/>
  <c r="V115" i="36"/>
  <c r="J97" i="36"/>
  <c r="J98" i="36" s="1"/>
  <c r="H97" i="36"/>
  <c r="H98" i="36" s="1"/>
  <c r="F96" i="36"/>
  <c r="E96" i="36"/>
  <c r="D19" i="36" s="1"/>
  <c r="F95" i="36"/>
  <c r="E95" i="36"/>
  <c r="F94" i="36"/>
  <c r="E94" i="36"/>
  <c r="F93" i="36"/>
  <c r="E93" i="36"/>
  <c r="F92" i="36"/>
  <c r="E92" i="36"/>
  <c r="F91" i="36"/>
  <c r="E91" i="36"/>
  <c r="F90" i="36"/>
  <c r="E90" i="36"/>
  <c r="F89" i="36"/>
  <c r="E89" i="36"/>
  <c r="F88" i="36"/>
  <c r="E88" i="36"/>
  <c r="F87" i="36"/>
  <c r="E87" i="36"/>
  <c r="C86" i="36"/>
  <c r="S68" i="36"/>
  <c r="R68" i="36"/>
  <c r="Q68" i="36"/>
  <c r="P68" i="36"/>
  <c r="Y67" i="36"/>
  <c r="X67" i="36"/>
  <c r="W67" i="36"/>
  <c r="V67" i="36"/>
  <c r="S67" i="36"/>
  <c r="R67" i="36"/>
  <c r="Q67" i="36"/>
  <c r="P67" i="36"/>
  <c r="Y66" i="36"/>
  <c r="X66" i="36"/>
  <c r="W66" i="36"/>
  <c r="V66" i="36"/>
  <c r="S66" i="36"/>
  <c r="R66" i="36"/>
  <c r="Q66" i="36"/>
  <c r="P66" i="36"/>
  <c r="L63" i="36"/>
  <c r="K63" i="36"/>
  <c r="J63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AD37" i="36"/>
  <c r="AC37" i="36"/>
  <c r="AB37" i="36"/>
  <c r="AA37" i="36"/>
  <c r="Z37" i="36"/>
  <c r="Y37" i="36"/>
  <c r="X37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AD36" i="36"/>
  <c r="AC36" i="36"/>
  <c r="AB36" i="36"/>
  <c r="AA36" i="36"/>
  <c r="Z36" i="36"/>
  <c r="Y36" i="36"/>
  <c r="X36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AD35" i="36"/>
  <c r="AC35" i="36"/>
  <c r="AB35" i="36"/>
  <c r="AA35" i="36"/>
  <c r="Z35" i="36"/>
  <c r="Y35" i="36"/>
  <c r="X35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AB32" i="36"/>
  <c r="AA32" i="36"/>
  <c r="Z32" i="36"/>
  <c r="P32" i="36"/>
  <c r="O32" i="36"/>
  <c r="N32" i="36"/>
  <c r="K20" i="36"/>
  <c r="J20" i="36"/>
  <c r="D20" i="36"/>
  <c r="L64" i="36" s="1"/>
  <c r="D18" i="36"/>
  <c r="D17" i="36"/>
  <c r="D16" i="36"/>
  <c r="F15" i="36"/>
  <c r="Y64" i="36" s="1"/>
  <c r="D15" i="36"/>
  <c r="D14" i="36"/>
  <c r="K13" i="36"/>
  <c r="J13" i="36"/>
  <c r="D13" i="36"/>
  <c r="AD12" i="36"/>
  <c r="AC12" i="36"/>
  <c r="AB12" i="36"/>
  <c r="AA12" i="36"/>
  <c r="J12" i="36"/>
  <c r="D12" i="36"/>
  <c r="AD11" i="36"/>
  <c r="AC11" i="36"/>
  <c r="AB11" i="36"/>
  <c r="AA11" i="36"/>
  <c r="J11" i="36"/>
  <c r="D11" i="36"/>
  <c r="J10" i="36"/>
  <c r="D10" i="36"/>
  <c r="AD9" i="36"/>
  <c r="AC9" i="36"/>
  <c r="AB9" i="36"/>
  <c r="K9" i="36"/>
  <c r="J9" i="36"/>
  <c r="F9" i="36"/>
  <c r="F10" i="36" s="1"/>
  <c r="D9" i="36"/>
  <c r="X32" i="36" s="1"/>
  <c r="J8" i="36"/>
  <c r="C8" i="36"/>
  <c r="K7" i="36"/>
  <c r="K8" i="36" s="1"/>
  <c r="C7" i="36"/>
  <c r="C6" i="36"/>
  <c r="C5" i="36"/>
  <c r="C4" i="36"/>
  <c r="C3" i="36"/>
  <c r="I295" i="35"/>
  <c r="H295" i="35"/>
  <c r="K292" i="35"/>
  <c r="J292" i="35"/>
  <c r="J289" i="35"/>
  <c r="I289" i="35"/>
  <c r="H286" i="35"/>
  <c r="G286" i="35"/>
  <c r="AT283" i="35"/>
  <c r="AS283" i="35"/>
  <c r="J283" i="35"/>
  <c r="I283" i="35"/>
  <c r="J280" i="35"/>
  <c r="I280" i="35"/>
  <c r="L277" i="35"/>
  <c r="K277" i="35"/>
  <c r="J274" i="35"/>
  <c r="I274" i="35"/>
  <c r="L271" i="35"/>
  <c r="K271" i="35"/>
  <c r="K268" i="35"/>
  <c r="J268" i="35"/>
  <c r="L265" i="35"/>
  <c r="K265" i="35"/>
  <c r="K262" i="35"/>
  <c r="J262" i="35"/>
  <c r="K259" i="35"/>
  <c r="J259" i="35"/>
  <c r="J256" i="35"/>
  <c r="I256" i="35"/>
  <c r="L253" i="35"/>
  <c r="K253" i="35"/>
  <c r="M250" i="35"/>
  <c r="L250" i="35"/>
  <c r="M247" i="35"/>
  <c r="L247" i="35"/>
  <c r="M244" i="35"/>
  <c r="L244" i="35"/>
  <c r="N241" i="35"/>
  <c r="M241" i="35"/>
  <c r="I238" i="35"/>
  <c r="H238" i="35"/>
  <c r="K235" i="35"/>
  <c r="J235" i="35"/>
  <c r="J232" i="35"/>
  <c r="I232" i="35"/>
  <c r="J229" i="35"/>
  <c r="I229" i="35"/>
  <c r="J226" i="35"/>
  <c r="I226" i="35"/>
  <c r="G223" i="35"/>
  <c r="F223" i="35"/>
  <c r="I220" i="35"/>
  <c r="H220" i="35"/>
  <c r="I217" i="35"/>
  <c r="H217" i="35"/>
  <c r="H214" i="35"/>
  <c r="G214" i="35"/>
  <c r="L211" i="35"/>
  <c r="K211" i="35"/>
  <c r="K208" i="35"/>
  <c r="J208" i="35"/>
  <c r="J205" i="35"/>
  <c r="I205" i="35"/>
  <c r="L202" i="35"/>
  <c r="K202" i="35"/>
  <c r="N199" i="35"/>
  <c r="M199" i="35"/>
  <c r="K196" i="35"/>
  <c r="J196" i="35"/>
  <c r="AW193" i="35"/>
  <c r="K193" i="35"/>
  <c r="J193" i="35"/>
  <c r="K190" i="35"/>
  <c r="J190" i="35"/>
  <c r="J187" i="35"/>
  <c r="I187" i="35"/>
  <c r="J184" i="35"/>
  <c r="I184" i="35"/>
  <c r="K181" i="35"/>
  <c r="J181" i="35"/>
  <c r="K178" i="35"/>
  <c r="J178" i="35"/>
  <c r="I175" i="35"/>
  <c r="H175" i="35"/>
  <c r="K172" i="35"/>
  <c r="J172" i="35"/>
  <c r="G169" i="35"/>
  <c r="X129" i="35"/>
  <c r="W129" i="35"/>
  <c r="V129" i="35"/>
  <c r="U129" i="35"/>
  <c r="X128" i="35"/>
  <c r="W128" i="35"/>
  <c r="V128" i="35"/>
  <c r="U128" i="35"/>
  <c r="X127" i="35"/>
  <c r="W127" i="35"/>
  <c r="V127" i="35"/>
  <c r="U127" i="35"/>
  <c r="X126" i="35"/>
  <c r="W126" i="35"/>
  <c r="V126" i="35"/>
  <c r="U126" i="35"/>
  <c r="X125" i="35"/>
  <c r="W125" i="35"/>
  <c r="V125" i="35"/>
  <c r="U125" i="35"/>
  <c r="X124" i="35"/>
  <c r="W124" i="35"/>
  <c r="V124" i="35"/>
  <c r="U124" i="35"/>
  <c r="X123" i="35"/>
  <c r="W123" i="35"/>
  <c r="V123" i="35"/>
  <c r="U123" i="35"/>
  <c r="X122" i="35"/>
  <c r="W122" i="35"/>
  <c r="V122" i="35"/>
  <c r="U122" i="35"/>
  <c r="X121" i="35"/>
  <c r="W121" i="35"/>
  <c r="V121" i="35"/>
  <c r="U121" i="35"/>
  <c r="X120" i="35"/>
  <c r="W120" i="35"/>
  <c r="V120" i="35"/>
  <c r="U120" i="35"/>
  <c r="X119" i="35"/>
  <c r="W119" i="35"/>
  <c r="V119" i="35"/>
  <c r="U119" i="35"/>
  <c r="X118" i="35"/>
  <c r="W118" i="35"/>
  <c r="V118" i="35"/>
  <c r="U118" i="35"/>
  <c r="X117" i="35"/>
  <c r="V117" i="35"/>
  <c r="U117" i="35"/>
  <c r="X116" i="35"/>
  <c r="V116" i="35"/>
  <c r="U116" i="35"/>
  <c r="X115" i="35"/>
  <c r="W115" i="35"/>
  <c r="V115" i="35"/>
  <c r="J97" i="35"/>
  <c r="J98" i="35" s="1"/>
  <c r="H97" i="35"/>
  <c r="H98" i="35" s="1"/>
  <c r="F96" i="35"/>
  <c r="E96" i="35"/>
  <c r="F95" i="35"/>
  <c r="E95" i="35"/>
  <c r="F94" i="35"/>
  <c r="E94" i="35"/>
  <c r="F93" i="35"/>
  <c r="E93" i="35"/>
  <c r="F92" i="35"/>
  <c r="E92" i="35"/>
  <c r="F91" i="35"/>
  <c r="E91" i="35"/>
  <c r="F90" i="35"/>
  <c r="E90" i="35"/>
  <c r="F89" i="35"/>
  <c r="E89" i="35"/>
  <c r="F88" i="35"/>
  <c r="E88" i="35"/>
  <c r="F87" i="35"/>
  <c r="E87" i="35"/>
  <c r="C86" i="35"/>
  <c r="S68" i="35"/>
  <c r="R68" i="35"/>
  <c r="Q68" i="35"/>
  <c r="P68" i="35"/>
  <c r="Y67" i="35"/>
  <c r="X67" i="35"/>
  <c r="W67" i="35"/>
  <c r="V67" i="35"/>
  <c r="S67" i="35"/>
  <c r="R67" i="35"/>
  <c r="Q67" i="35"/>
  <c r="P67" i="35"/>
  <c r="Y66" i="35"/>
  <c r="X66" i="35"/>
  <c r="W66" i="35"/>
  <c r="V66" i="35"/>
  <c r="S66" i="35"/>
  <c r="R66" i="35"/>
  <c r="Q66" i="35"/>
  <c r="P66" i="35"/>
  <c r="L63" i="35"/>
  <c r="K63" i="35"/>
  <c r="J63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2" i="35"/>
  <c r="C41" i="35"/>
  <c r="AD37" i="35"/>
  <c r="AC37" i="35"/>
  <c r="AB37" i="35"/>
  <c r="AA37" i="35"/>
  <c r="Z37" i="35"/>
  <c r="Y37" i="35"/>
  <c r="X37" i="35"/>
  <c r="W37" i="35"/>
  <c r="V37" i="35"/>
  <c r="U37" i="35"/>
  <c r="T37" i="35"/>
  <c r="S37" i="35"/>
  <c r="R37" i="35"/>
  <c r="Q37" i="35"/>
  <c r="P37" i="35"/>
  <c r="O37" i="35"/>
  <c r="N37" i="35"/>
  <c r="M37" i="35"/>
  <c r="L37" i="35"/>
  <c r="K37" i="35"/>
  <c r="J37" i="35"/>
  <c r="AD36" i="35"/>
  <c r="AC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P36" i="35"/>
  <c r="O36" i="35"/>
  <c r="N36" i="35"/>
  <c r="M36" i="35"/>
  <c r="L36" i="35"/>
  <c r="K36" i="35"/>
  <c r="J36" i="35"/>
  <c r="AD35" i="35"/>
  <c r="AC35" i="35"/>
  <c r="AB35" i="35"/>
  <c r="AA35" i="35"/>
  <c r="Z35" i="35"/>
  <c r="Y35" i="35"/>
  <c r="X35" i="35"/>
  <c r="W35" i="35"/>
  <c r="V35" i="35"/>
  <c r="U35" i="35"/>
  <c r="T35" i="35"/>
  <c r="S35" i="35"/>
  <c r="R35" i="35"/>
  <c r="Q35" i="35"/>
  <c r="P35" i="35"/>
  <c r="O35" i="35"/>
  <c r="N35" i="35"/>
  <c r="M35" i="35"/>
  <c r="L35" i="35"/>
  <c r="K35" i="35"/>
  <c r="J35" i="35"/>
  <c r="AC32" i="35"/>
  <c r="AB32" i="35"/>
  <c r="Q32" i="35"/>
  <c r="P20" i="35"/>
  <c r="M20" i="35"/>
  <c r="L20" i="35"/>
  <c r="K20" i="35"/>
  <c r="D20" i="35"/>
  <c r="L64" i="35" s="1"/>
  <c r="E19" i="35"/>
  <c r="D18" i="35"/>
  <c r="D16" i="35"/>
  <c r="F15" i="35"/>
  <c r="Y64" i="35" s="1"/>
  <c r="D15" i="35"/>
  <c r="D14" i="35"/>
  <c r="J13" i="35"/>
  <c r="D13" i="35"/>
  <c r="AD12" i="35"/>
  <c r="AC12" i="35"/>
  <c r="AB12" i="35"/>
  <c r="AA12" i="35"/>
  <c r="J12" i="35"/>
  <c r="D12" i="35"/>
  <c r="AD11" i="35"/>
  <c r="AC11" i="35"/>
  <c r="AB11" i="35"/>
  <c r="AA11" i="35"/>
  <c r="J11" i="35"/>
  <c r="D11" i="35"/>
  <c r="J10" i="35"/>
  <c r="D10" i="35"/>
  <c r="AD9" i="35"/>
  <c r="AC9" i="35"/>
  <c r="AB9" i="35"/>
  <c r="J9" i="35"/>
  <c r="F9" i="35"/>
  <c r="F12" i="35" s="1"/>
  <c r="AA9" i="35" s="1"/>
  <c r="D9" i="35"/>
  <c r="AA32" i="35" s="1"/>
  <c r="J8" i="35"/>
  <c r="C8" i="35"/>
  <c r="K7" i="35"/>
  <c r="K13" i="35" s="1"/>
  <c r="C7" i="35"/>
  <c r="C6" i="35"/>
  <c r="C5" i="35"/>
  <c r="C4" i="35"/>
  <c r="C3" i="35"/>
  <c r="I295" i="34"/>
  <c r="H295" i="34"/>
  <c r="K292" i="34"/>
  <c r="J292" i="34"/>
  <c r="J289" i="34"/>
  <c r="I289" i="34"/>
  <c r="H286" i="34"/>
  <c r="G286" i="34"/>
  <c r="AT283" i="34"/>
  <c r="AS283" i="34"/>
  <c r="J283" i="34"/>
  <c r="I283" i="34"/>
  <c r="J280" i="34"/>
  <c r="I280" i="34"/>
  <c r="L277" i="34"/>
  <c r="K277" i="34"/>
  <c r="J274" i="34"/>
  <c r="I274" i="34"/>
  <c r="L271" i="34"/>
  <c r="K271" i="34"/>
  <c r="K268" i="34"/>
  <c r="J268" i="34"/>
  <c r="L265" i="34"/>
  <c r="K265" i="34"/>
  <c r="K262" i="34"/>
  <c r="J262" i="34"/>
  <c r="K259" i="34"/>
  <c r="J259" i="34"/>
  <c r="J256" i="34"/>
  <c r="I256" i="34"/>
  <c r="L253" i="34"/>
  <c r="K253" i="34"/>
  <c r="M250" i="34"/>
  <c r="L250" i="34"/>
  <c r="M247" i="34"/>
  <c r="L247" i="34"/>
  <c r="M244" i="34"/>
  <c r="L244" i="34"/>
  <c r="N241" i="34"/>
  <c r="M241" i="34"/>
  <c r="I238" i="34"/>
  <c r="H238" i="34"/>
  <c r="K235" i="34"/>
  <c r="J235" i="34"/>
  <c r="J232" i="34"/>
  <c r="I232" i="34"/>
  <c r="J229" i="34"/>
  <c r="I229" i="34"/>
  <c r="J226" i="34"/>
  <c r="I226" i="34"/>
  <c r="G223" i="34"/>
  <c r="F223" i="34"/>
  <c r="I220" i="34"/>
  <c r="H220" i="34"/>
  <c r="I217" i="34"/>
  <c r="H217" i="34"/>
  <c r="H214" i="34"/>
  <c r="G214" i="34"/>
  <c r="L211" i="34"/>
  <c r="K211" i="34"/>
  <c r="K208" i="34"/>
  <c r="J208" i="34"/>
  <c r="J205" i="34"/>
  <c r="I205" i="34"/>
  <c r="L202" i="34"/>
  <c r="K202" i="34"/>
  <c r="N199" i="34"/>
  <c r="M199" i="34"/>
  <c r="K196" i="34"/>
  <c r="J196" i="34"/>
  <c r="AW193" i="34"/>
  <c r="K193" i="34"/>
  <c r="J193" i="34"/>
  <c r="K190" i="34"/>
  <c r="J190" i="34"/>
  <c r="J187" i="34"/>
  <c r="I187" i="34"/>
  <c r="J184" i="34"/>
  <c r="I184" i="34"/>
  <c r="K181" i="34"/>
  <c r="J181" i="34"/>
  <c r="K178" i="34"/>
  <c r="J178" i="34"/>
  <c r="I175" i="34"/>
  <c r="H175" i="34"/>
  <c r="K172" i="34"/>
  <c r="J172" i="34"/>
  <c r="G169" i="34"/>
  <c r="X129" i="34"/>
  <c r="W129" i="34"/>
  <c r="V129" i="34"/>
  <c r="U129" i="34"/>
  <c r="X128" i="34"/>
  <c r="W128" i="34"/>
  <c r="V128" i="34"/>
  <c r="U128" i="34"/>
  <c r="X127" i="34"/>
  <c r="W127" i="34"/>
  <c r="V127" i="34"/>
  <c r="U127" i="34"/>
  <c r="X126" i="34"/>
  <c r="W126" i="34"/>
  <c r="V126" i="34"/>
  <c r="U126" i="34"/>
  <c r="X125" i="34"/>
  <c r="W125" i="34"/>
  <c r="V125" i="34"/>
  <c r="U125" i="34"/>
  <c r="X124" i="34"/>
  <c r="W124" i="34"/>
  <c r="V124" i="34"/>
  <c r="U124" i="34"/>
  <c r="X123" i="34"/>
  <c r="W123" i="34"/>
  <c r="V123" i="34"/>
  <c r="U123" i="34"/>
  <c r="X122" i="34"/>
  <c r="W122" i="34"/>
  <c r="V122" i="34"/>
  <c r="U122" i="34"/>
  <c r="X121" i="34"/>
  <c r="W121" i="34"/>
  <c r="V121" i="34"/>
  <c r="U121" i="34"/>
  <c r="X120" i="34"/>
  <c r="W120" i="34"/>
  <c r="V120" i="34"/>
  <c r="U120" i="34"/>
  <c r="X119" i="34"/>
  <c r="W119" i="34"/>
  <c r="V119" i="34"/>
  <c r="U119" i="34"/>
  <c r="X118" i="34"/>
  <c r="W118" i="34"/>
  <c r="V118" i="34"/>
  <c r="U118" i="34"/>
  <c r="X117" i="34"/>
  <c r="V117" i="34"/>
  <c r="U117" i="34"/>
  <c r="X116" i="34"/>
  <c r="V116" i="34"/>
  <c r="U116" i="34"/>
  <c r="X115" i="34"/>
  <c r="W115" i="34"/>
  <c r="V115" i="34"/>
  <c r="J98" i="34"/>
  <c r="H98" i="34"/>
  <c r="J97" i="34"/>
  <c r="H97" i="34"/>
  <c r="F96" i="34"/>
  <c r="E96" i="34"/>
  <c r="D19" i="34" s="1"/>
  <c r="F95" i="34"/>
  <c r="E95" i="34"/>
  <c r="D8" i="34" s="1"/>
  <c r="W65" i="34" s="1"/>
  <c r="F94" i="34"/>
  <c r="E94" i="34"/>
  <c r="F93" i="34"/>
  <c r="E93" i="34"/>
  <c r="F92" i="34"/>
  <c r="E92" i="34"/>
  <c r="F91" i="34"/>
  <c r="E91" i="34"/>
  <c r="D4" i="34" s="1"/>
  <c r="W68" i="34" s="1"/>
  <c r="F90" i="34"/>
  <c r="E90" i="34"/>
  <c r="F89" i="34"/>
  <c r="E89" i="34"/>
  <c r="F88" i="34"/>
  <c r="E88" i="34"/>
  <c r="F87" i="34"/>
  <c r="E87" i="34"/>
  <c r="C86" i="34"/>
  <c r="S68" i="34"/>
  <c r="R68" i="34"/>
  <c r="Q68" i="34"/>
  <c r="P68" i="34"/>
  <c r="Y67" i="34"/>
  <c r="X67" i="34"/>
  <c r="W67" i="34"/>
  <c r="V67" i="34"/>
  <c r="S67" i="34"/>
  <c r="R67" i="34"/>
  <c r="Q67" i="34"/>
  <c r="P67" i="34"/>
  <c r="Y66" i="34"/>
  <c r="X66" i="34"/>
  <c r="W66" i="34"/>
  <c r="V66" i="34"/>
  <c r="S66" i="34"/>
  <c r="R66" i="34"/>
  <c r="Q66" i="34"/>
  <c r="P66" i="34"/>
  <c r="L63" i="34"/>
  <c r="K63" i="34"/>
  <c r="J63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P20" i="34"/>
  <c r="O20" i="34"/>
  <c r="N20" i="34"/>
  <c r="M20" i="34"/>
  <c r="L20" i="34"/>
  <c r="D20" i="34"/>
  <c r="L64" i="34" s="1"/>
  <c r="D18" i="34"/>
  <c r="D17" i="34"/>
  <c r="D16" i="34"/>
  <c r="F15" i="34"/>
  <c r="Y64" i="34" s="1"/>
  <c r="D15" i="34"/>
  <c r="D14" i="34"/>
  <c r="J13" i="34"/>
  <c r="D13" i="34"/>
  <c r="AD12" i="34"/>
  <c r="AC12" i="34"/>
  <c r="AB12" i="34"/>
  <c r="AA12" i="34"/>
  <c r="K12" i="34"/>
  <c r="J12" i="34"/>
  <c r="D12" i="34"/>
  <c r="AD11" i="34"/>
  <c r="AC11" i="34"/>
  <c r="AB11" i="34"/>
  <c r="AA11" i="34"/>
  <c r="J11" i="34"/>
  <c r="J20" i="34" s="1"/>
  <c r="D11" i="34"/>
  <c r="J10" i="34"/>
  <c r="D10" i="34"/>
  <c r="AD9" i="34"/>
  <c r="AC9" i="34"/>
  <c r="AB9" i="34"/>
  <c r="J9" i="34"/>
  <c r="F9" i="34"/>
  <c r="F11" i="34" s="1"/>
  <c r="D9" i="34"/>
  <c r="AB32" i="34" s="1"/>
  <c r="J8" i="34"/>
  <c r="C8" i="34"/>
  <c r="L7" i="34"/>
  <c r="L12" i="34" s="1"/>
  <c r="K7" i="34"/>
  <c r="K9" i="34" s="1"/>
  <c r="C7" i="34"/>
  <c r="C6" i="34"/>
  <c r="C5" i="34"/>
  <c r="C4" i="34"/>
  <c r="C3" i="34"/>
  <c r="D3" i="41" l="1"/>
  <c r="U29" i="41" s="1"/>
  <c r="Y64" i="41"/>
  <c r="D8" i="41"/>
  <c r="AD10" i="41" s="1"/>
  <c r="AD4" i="41" s="1"/>
  <c r="AD16" i="41" s="1"/>
  <c r="F14" i="41"/>
  <c r="D8" i="40"/>
  <c r="W65" i="40" s="1"/>
  <c r="F12" i="39"/>
  <c r="AA9" i="39" s="1"/>
  <c r="D6" i="39"/>
  <c r="AD33" i="39" s="1"/>
  <c r="L58" i="39"/>
  <c r="L57" i="39" s="1"/>
  <c r="L58" i="36"/>
  <c r="L57" i="36" s="1"/>
  <c r="D8" i="36"/>
  <c r="W65" i="36" s="1"/>
  <c r="L58" i="35"/>
  <c r="L57" i="35" s="1"/>
  <c r="F14" i="35"/>
  <c r="D8" i="35"/>
  <c r="X65" i="35" s="1"/>
  <c r="D6" i="35"/>
  <c r="AD33" i="35" s="1"/>
  <c r="D5" i="35"/>
  <c r="M31" i="35" s="1"/>
  <c r="D7" i="41"/>
  <c r="W34" i="41" s="1"/>
  <c r="AB33" i="41"/>
  <c r="M33" i="41"/>
  <c r="P33" i="41"/>
  <c r="Y33" i="41"/>
  <c r="D3" i="40"/>
  <c r="P29" i="40" s="1"/>
  <c r="D5" i="40"/>
  <c r="AD31" i="40" s="1"/>
  <c r="D6" i="40"/>
  <c r="Z33" i="40" s="1"/>
  <c r="D7" i="40"/>
  <c r="AB34" i="40" s="1"/>
  <c r="D4" i="40"/>
  <c r="Y68" i="40" s="1"/>
  <c r="X65" i="40"/>
  <c r="D5" i="39"/>
  <c r="L31" i="39" s="1"/>
  <c r="D3" i="39"/>
  <c r="AC29" i="39" s="1"/>
  <c r="D4" i="39"/>
  <c r="V68" i="39" s="1"/>
  <c r="D7" i="39"/>
  <c r="O34" i="39" s="1"/>
  <c r="S33" i="39"/>
  <c r="Y65" i="39"/>
  <c r="AD10" i="39"/>
  <c r="AD4" i="39" s="1"/>
  <c r="AD16" i="39" s="1"/>
  <c r="D7" i="38"/>
  <c r="D5" i="38"/>
  <c r="U31" i="38" s="1"/>
  <c r="L58" i="38"/>
  <c r="L57" i="38" s="1"/>
  <c r="W65" i="38"/>
  <c r="AB10" i="38"/>
  <c r="AB4" i="38" s="1"/>
  <c r="AB16" i="38" s="1"/>
  <c r="P33" i="38"/>
  <c r="AB33" i="38"/>
  <c r="L58" i="41"/>
  <c r="L57" i="41" s="1"/>
  <c r="AD31" i="41"/>
  <c r="R31" i="41"/>
  <c r="AC31" i="41"/>
  <c r="Q31" i="41"/>
  <c r="J31" i="41"/>
  <c r="AB31" i="41"/>
  <c r="P31" i="41"/>
  <c r="V31" i="41"/>
  <c r="AA31" i="41"/>
  <c r="O31" i="41"/>
  <c r="Z31" i="41"/>
  <c r="N31" i="41"/>
  <c r="Y31" i="41"/>
  <c r="M31" i="41"/>
  <c r="X31" i="41"/>
  <c r="L31" i="41"/>
  <c r="W31" i="41"/>
  <c r="K31" i="41"/>
  <c r="U31" i="41"/>
  <c r="T31" i="41"/>
  <c r="S31" i="41"/>
  <c r="P30" i="41"/>
  <c r="AB30" i="41"/>
  <c r="J32" i="41"/>
  <c r="M7" i="41"/>
  <c r="F11" i="41"/>
  <c r="L12" i="41"/>
  <c r="Q30" i="41"/>
  <c r="AC30" i="41"/>
  <c r="K32" i="41"/>
  <c r="W32" i="41"/>
  <c r="N33" i="41"/>
  <c r="Z33" i="41"/>
  <c r="V68" i="41"/>
  <c r="R30" i="41"/>
  <c r="AD30" i="41"/>
  <c r="L32" i="41"/>
  <c r="X32" i="41"/>
  <c r="O33" i="41"/>
  <c r="AA33" i="41"/>
  <c r="W68" i="41"/>
  <c r="X68" i="41"/>
  <c r="K8" i="41"/>
  <c r="F10" i="41"/>
  <c r="L11" i="41"/>
  <c r="T30" i="41"/>
  <c r="N32" i="41"/>
  <c r="Z32" i="41"/>
  <c r="Q33" i="41"/>
  <c r="AC33" i="41"/>
  <c r="Y68" i="41"/>
  <c r="S30" i="41"/>
  <c r="L8" i="41"/>
  <c r="U30" i="41"/>
  <c r="O32" i="41"/>
  <c r="AA32" i="41"/>
  <c r="R33" i="41"/>
  <c r="AD33" i="41"/>
  <c r="P69" i="41"/>
  <c r="P57" i="41" s="1"/>
  <c r="K10" i="41"/>
  <c r="J30" i="41"/>
  <c r="V30" i="41"/>
  <c r="P32" i="41"/>
  <c r="AB32" i="41"/>
  <c r="S33" i="41"/>
  <c r="J64" i="41"/>
  <c r="Q69" i="41"/>
  <c r="Q57" i="41" s="1"/>
  <c r="L10" i="41"/>
  <c r="F13" i="41"/>
  <c r="K30" i="41"/>
  <c r="W30" i="41"/>
  <c r="Q32" i="41"/>
  <c r="AC32" i="41"/>
  <c r="T33" i="41"/>
  <c r="K64" i="41"/>
  <c r="R69" i="41"/>
  <c r="R57" i="41" s="1"/>
  <c r="L30" i="41"/>
  <c r="X30" i="41"/>
  <c r="R32" i="41"/>
  <c r="AD32" i="41"/>
  <c r="U33" i="41"/>
  <c r="S69" i="41"/>
  <c r="S57" i="41" s="1"/>
  <c r="K9" i="41"/>
  <c r="AB10" i="41"/>
  <c r="AB4" i="41" s="1"/>
  <c r="AB16" i="41" s="1"/>
  <c r="M30" i="41"/>
  <c r="Y30" i="41"/>
  <c r="S32" i="41"/>
  <c r="J33" i="41"/>
  <c r="V33" i="41"/>
  <c r="V64" i="41"/>
  <c r="L9" i="41"/>
  <c r="N30" i="41"/>
  <c r="Z30" i="41"/>
  <c r="T32" i="41"/>
  <c r="K33" i="41"/>
  <c r="W33" i="41"/>
  <c r="W64" i="41"/>
  <c r="O30" i="41"/>
  <c r="L33" i="41"/>
  <c r="N32" i="40"/>
  <c r="P32" i="40"/>
  <c r="AB32" i="40"/>
  <c r="J64" i="40"/>
  <c r="J58" i="40" s="1"/>
  <c r="J57" i="40" s="1"/>
  <c r="K9" i="40"/>
  <c r="K13" i="40"/>
  <c r="Q32" i="40"/>
  <c r="AC32" i="40"/>
  <c r="K64" i="40"/>
  <c r="K58" i="40" s="1"/>
  <c r="K57" i="40" s="1"/>
  <c r="F12" i="40"/>
  <c r="AA9" i="40" s="1"/>
  <c r="R32" i="40"/>
  <c r="AD32" i="40"/>
  <c r="S32" i="40"/>
  <c r="V64" i="40"/>
  <c r="L7" i="40"/>
  <c r="K12" i="40"/>
  <c r="F14" i="40"/>
  <c r="T32" i="40"/>
  <c r="W64" i="40"/>
  <c r="F13" i="40"/>
  <c r="AA32" i="40"/>
  <c r="F11" i="40"/>
  <c r="U32" i="40"/>
  <c r="X64" i="40"/>
  <c r="O32" i="40"/>
  <c r="J32" i="40"/>
  <c r="V32" i="40"/>
  <c r="Z32" i="40"/>
  <c r="K11" i="40"/>
  <c r="K32" i="40"/>
  <c r="W32" i="40"/>
  <c r="L32" i="40"/>
  <c r="D17" i="39"/>
  <c r="P32" i="39" s="1"/>
  <c r="T34" i="39"/>
  <c r="AD34" i="39"/>
  <c r="L7" i="39"/>
  <c r="K12" i="39"/>
  <c r="F14" i="39"/>
  <c r="Q32" i="39"/>
  <c r="AC32" i="39"/>
  <c r="T33" i="39"/>
  <c r="F11" i="39"/>
  <c r="R32" i="39"/>
  <c r="AD32" i="39"/>
  <c r="U33" i="39"/>
  <c r="J64" i="39"/>
  <c r="J58" i="39" s="1"/>
  <c r="J57" i="39" s="1"/>
  <c r="S32" i="39"/>
  <c r="V33" i="39"/>
  <c r="K64" i="39"/>
  <c r="K58" i="39" s="1"/>
  <c r="K57" i="39" s="1"/>
  <c r="K11" i="39"/>
  <c r="T32" i="39"/>
  <c r="K33" i="39"/>
  <c r="W33" i="39"/>
  <c r="K8" i="39"/>
  <c r="F10" i="39"/>
  <c r="U32" i="39"/>
  <c r="L33" i="39"/>
  <c r="X33" i="39"/>
  <c r="V64" i="39"/>
  <c r="J32" i="39"/>
  <c r="V32" i="39"/>
  <c r="M33" i="39"/>
  <c r="Y33" i="39"/>
  <c r="W64" i="39"/>
  <c r="K10" i="39"/>
  <c r="W32" i="39"/>
  <c r="N33" i="39"/>
  <c r="Z33" i="39"/>
  <c r="X64" i="39"/>
  <c r="X32" i="39"/>
  <c r="O33" i="39"/>
  <c r="AA33" i="39"/>
  <c r="AA10" i="39"/>
  <c r="AA4" i="39" s="1"/>
  <c r="AA16" i="39" s="1"/>
  <c r="Y32" i="39"/>
  <c r="P33" i="39"/>
  <c r="AB33" i="39"/>
  <c r="V65" i="39"/>
  <c r="K9" i="39"/>
  <c r="AB10" i="39"/>
  <c r="AB4" i="39" s="1"/>
  <c r="AB16" i="39" s="1"/>
  <c r="N32" i="39"/>
  <c r="Z32" i="39"/>
  <c r="Q33" i="39"/>
  <c r="AC33" i="39"/>
  <c r="W65" i="39"/>
  <c r="AC10" i="39"/>
  <c r="AC4" i="39" s="1"/>
  <c r="AC16" i="39" s="1"/>
  <c r="O32" i="39"/>
  <c r="R33" i="39"/>
  <c r="V34" i="38"/>
  <c r="J34" i="38"/>
  <c r="U34" i="38"/>
  <c r="T34" i="38"/>
  <c r="AD34" i="38"/>
  <c r="R34" i="38"/>
  <c r="AC34" i="38"/>
  <c r="Q34" i="38"/>
  <c r="AB34" i="38"/>
  <c r="P34" i="38"/>
  <c r="AA34" i="38"/>
  <c r="O34" i="38"/>
  <c r="S34" i="38"/>
  <c r="S19" i="38" s="1"/>
  <c r="Z34" i="38"/>
  <c r="N34" i="38"/>
  <c r="Y34" i="38"/>
  <c r="M34" i="38"/>
  <c r="X34" i="38"/>
  <c r="L34" i="38"/>
  <c r="W34" i="38"/>
  <c r="K34" i="38"/>
  <c r="S29" i="38"/>
  <c r="AD29" i="38"/>
  <c r="R29" i="38"/>
  <c r="AC29" i="38"/>
  <c r="Q29" i="38"/>
  <c r="AA29" i="38"/>
  <c r="O29" i="38"/>
  <c r="Z29" i="38"/>
  <c r="N29" i="38"/>
  <c r="Y29" i="38"/>
  <c r="M29" i="38"/>
  <c r="X29" i="38"/>
  <c r="L29" i="38"/>
  <c r="P29" i="38"/>
  <c r="W29" i="38"/>
  <c r="K29" i="38"/>
  <c r="V29" i="38"/>
  <c r="J29" i="38"/>
  <c r="AB29" i="38"/>
  <c r="U29" i="38"/>
  <c r="T29" i="38"/>
  <c r="W68" i="38"/>
  <c r="V30" i="38"/>
  <c r="J30" i="38"/>
  <c r="V68" i="38"/>
  <c r="U30" i="38"/>
  <c r="T30" i="38"/>
  <c r="AD30" i="38"/>
  <c r="R30" i="38"/>
  <c r="AC30" i="38"/>
  <c r="Q30" i="38"/>
  <c r="S69" i="38"/>
  <c r="S57" i="38" s="1"/>
  <c r="AB30" i="38"/>
  <c r="P30" i="38"/>
  <c r="R69" i="38"/>
  <c r="R57" i="38" s="1"/>
  <c r="AA30" i="38"/>
  <c r="O30" i="38"/>
  <c r="Q69" i="38"/>
  <c r="Q57" i="38" s="1"/>
  <c r="Z30" i="38"/>
  <c r="N30" i="38"/>
  <c r="P69" i="38"/>
  <c r="P57" i="38" s="1"/>
  <c r="Y30" i="38"/>
  <c r="M30" i="38"/>
  <c r="Y68" i="38"/>
  <c r="X30" i="38"/>
  <c r="L30" i="38"/>
  <c r="X68" i="38"/>
  <c r="W30" i="38"/>
  <c r="K30" i="38"/>
  <c r="S30" i="38"/>
  <c r="F11" i="38"/>
  <c r="Q32" i="38"/>
  <c r="AC32" i="38"/>
  <c r="T33" i="38"/>
  <c r="X65" i="38"/>
  <c r="R32" i="38"/>
  <c r="AD32" i="38"/>
  <c r="U33" i="38"/>
  <c r="Y65" i="38"/>
  <c r="K11" i="38"/>
  <c r="S32" i="38"/>
  <c r="V33" i="38"/>
  <c r="K8" i="38"/>
  <c r="F10" i="38"/>
  <c r="T32" i="38"/>
  <c r="W33" i="38"/>
  <c r="J64" i="38"/>
  <c r="J58" i="38" s="1"/>
  <c r="J57" i="38" s="1"/>
  <c r="U32" i="38"/>
  <c r="X33" i="38"/>
  <c r="K64" i="38"/>
  <c r="K58" i="38" s="1"/>
  <c r="K57" i="38" s="1"/>
  <c r="K10" i="38"/>
  <c r="J32" i="38"/>
  <c r="V32" i="38"/>
  <c r="Y33" i="38"/>
  <c r="F13" i="38"/>
  <c r="K32" i="38"/>
  <c r="W32" i="38"/>
  <c r="N33" i="38"/>
  <c r="Z33" i="38"/>
  <c r="V64" i="38"/>
  <c r="AA10" i="38"/>
  <c r="L32" i="38"/>
  <c r="X32" i="38"/>
  <c r="O33" i="38"/>
  <c r="AA33" i="38"/>
  <c r="W64" i="38"/>
  <c r="AC10" i="38"/>
  <c r="AC4" i="38" s="1"/>
  <c r="AC16" i="38" s="1"/>
  <c r="F12" i="38"/>
  <c r="AA9" i="38" s="1"/>
  <c r="N32" i="38"/>
  <c r="Z32" i="38"/>
  <c r="Q33" i="38"/>
  <c r="AC33" i="38"/>
  <c r="AD10" i="38"/>
  <c r="AD4" i="38" s="1"/>
  <c r="AD16" i="38" s="1"/>
  <c r="O32" i="38"/>
  <c r="AA32" i="38"/>
  <c r="R33" i="38"/>
  <c r="AD33" i="38"/>
  <c r="V65" i="38"/>
  <c r="L7" i="38"/>
  <c r="P32" i="38"/>
  <c r="D7" i="34"/>
  <c r="J34" i="34" s="1"/>
  <c r="D6" i="34"/>
  <c r="AB33" i="34" s="1"/>
  <c r="D3" i="35"/>
  <c r="O29" i="35" s="1"/>
  <c r="D19" i="35"/>
  <c r="C76" i="35" s="1"/>
  <c r="D17" i="35" s="1"/>
  <c r="P32" i="35" s="1"/>
  <c r="D8" i="37"/>
  <c r="V65" i="37" s="1"/>
  <c r="D4" i="37"/>
  <c r="AC30" i="37" s="1"/>
  <c r="D3" i="37"/>
  <c r="K63" i="37" s="1"/>
  <c r="D7" i="37"/>
  <c r="W34" i="37" s="1"/>
  <c r="D5" i="37"/>
  <c r="L31" i="37" s="1"/>
  <c r="O32" i="34"/>
  <c r="AA32" i="34"/>
  <c r="D7" i="35"/>
  <c r="S34" i="35" s="1"/>
  <c r="D4" i="35"/>
  <c r="W68" i="35" s="1"/>
  <c r="S33" i="35"/>
  <c r="T33" i="35"/>
  <c r="D5" i="34"/>
  <c r="M31" i="34" s="1"/>
  <c r="D3" i="34"/>
  <c r="AC29" i="34" s="1"/>
  <c r="L58" i="34"/>
  <c r="L57" i="34" s="1"/>
  <c r="V65" i="34"/>
  <c r="D7" i="36"/>
  <c r="N34" i="36" s="1"/>
  <c r="D5" i="36"/>
  <c r="AB31" i="36" s="1"/>
  <c r="D6" i="36"/>
  <c r="D4" i="36"/>
  <c r="Z30" i="36" s="1"/>
  <c r="D3" i="36"/>
  <c r="AC29" i="36" s="1"/>
  <c r="AA10" i="36"/>
  <c r="D6" i="37"/>
  <c r="V33" i="37" s="1"/>
  <c r="F10" i="37"/>
  <c r="L58" i="37"/>
  <c r="L57" i="37" s="1"/>
  <c r="K10" i="37"/>
  <c r="P32" i="37"/>
  <c r="AB32" i="37"/>
  <c r="J64" i="37"/>
  <c r="K64" i="37"/>
  <c r="R32" i="37"/>
  <c r="AD32" i="37"/>
  <c r="K9" i="37"/>
  <c r="K13" i="37"/>
  <c r="S32" i="37"/>
  <c r="V64" i="37"/>
  <c r="F13" i="37"/>
  <c r="F12" i="37"/>
  <c r="AA9" i="37" s="1"/>
  <c r="T32" i="37"/>
  <c r="W64" i="37"/>
  <c r="U32" i="37"/>
  <c r="X64" i="37"/>
  <c r="L7" i="37"/>
  <c r="F14" i="37"/>
  <c r="J32" i="37"/>
  <c r="V32" i="37"/>
  <c r="K32" i="37"/>
  <c r="W32" i="37"/>
  <c r="L32" i="37"/>
  <c r="K10" i="36"/>
  <c r="M32" i="36"/>
  <c r="Y32" i="36"/>
  <c r="X65" i="36"/>
  <c r="J64" i="36"/>
  <c r="J58" i="36" s="1"/>
  <c r="J57" i="36" s="1"/>
  <c r="AC10" i="36"/>
  <c r="AC4" i="36" s="1"/>
  <c r="AC16" i="36" s="1"/>
  <c r="F12" i="36"/>
  <c r="AA9" i="36" s="1"/>
  <c r="Q32" i="36"/>
  <c r="AC32" i="36"/>
  <c r="K64" i="36"/>
  <c r="K58" i="36" s="1"/>
  <c r="K57" i="36" s="1"/>
  <c r="R32" i="36"/>
  <c r="AD32" i="36"/>
  <c r="L7" i="36"/>
  <c r="K12" i="36"/>
  <c r="F14" i="36"/>
  <c r="S32" i="36"/>
  <c r="V64" i="36"/>
  <c r="F13" i="36"/>
  <c r="F11" i="36"/>
  <c r="T32" i="36"/>
  <c r="W64" i="36"/>
  <c r="U32" i="36"/>
  <c r="X64" i="36"/>
  <c r="K11" i="36"/>
  <c r="J32" i="36"/>
  <c r="V32" i="36"/>
  <c r="K32" i="36"/>
  <c r="W32" i="36"/>
  <c r="V65" i="36"/>
  <c r="L32" i="36"/>
  <c r="F11" i="35"/>
  <c r="R32" i="35"/>
  <c r="AD32" i="35"/>
  <c r="J64" i="35"/>
  <c r="J58" i="35" s="1"/>
  <c r="J57" i="35" s="1"/>
  <c r="S32" i="35"/>
  <c r="V33" i="35"/>
  <c r="K64" i="35"/>
  <c r="K58" i="35" s="1"/>
  <c r="K57" i="35" s="1"/>
  <c r="K11" i="35"/>
  <c r="T32" i="35"/>
  <c r="K33" i="35"/>
  <c r="K8" i="35"/>
  <c r="F10" i="35"/>
  <c r="U32" i="35"/>
  <c r="V64" i="35"/>
  <c r="K12" i="35"/>
  <c r="J32" i="35"/>
  <c r="V32" i="35"/>
  <c r="M33" i="35"/>
  <c r="Y33" i="35"/>
  <c r="W64" i="35"/>
  <c r="K10" i="35"/>
  <c r="W32" i="35"/>
  <c r="X64" i="35"/>
  <c r="L7" i="35"/>
  <c r="F13" i="35"/>
  <c r="X32" i="35"/>
  <c r="AA33" i="35"/>
  <c r="Y32" i="35"/>
  <c r="AB33" i="35"/>
  <c r="V65" i="35"/>
  <c r="K9" i="35"/>
  <c r="N32" i="35"/>
  <c r="Z32" i="35"/>
  <c r="Q33" i="35"/>
  <c r="AC33" i="35"/>
  <c r="AA10" i="35"/>
  <c r="AA4" i="35" s="1"/>
  <c r="AA16" i="35" s="1"/>
  <c r="AC10" i="35"/>
  <c r="AC4" i="35" s="1"/>
  <c r="AC16" i="35" s="1"/>
  <c r="O32" i="35"/>
  <c r="R33" i="35"/>
  <c r="F14" i="34"/>
  <c r="K30" i="34"/>
  <c r="W30" i="34"/>
  <c r="Q32" i="34"/>
  <c r="AC32" i="34"/>
  <c r="X65" i="34"/>
  <c r="X68" i="34"/>
  <c r="K11" i="34"/>
  <c r="L30" i="34"/>
  <c r="X30" i="34"/>
  <c r="R32" i="34"/>
  <c r="AD32" i="34"/>
  <c r="Y65" i="34"/>
  <c r="Y68" i="34"/>
  <c r="K8" i="34"/>
  <c r="F10" i="34"/>
  <c r="L11" i="34"/>
  <c r="M30" i="34"/>
  <c r="Y30" i="34"/>
  <c r="S32" i="34"/>
  <c r="P69" i="34"/>
  <c r="P57" i="34" s="1"/>
  <c r="L8" i="34"/>
  <c r="N30" i="34"/>
  <c r="Z30" i="34"/>
  <c r="T32" i="34"/>
  <c r="J64" i="34"/>
  <c r="J58" i="34" s="1"/>
  <c r="J57" i="34" s="1"/>
  <c r="Q69" i="34"/>
  <c r="Q57" i="34" s="1"/>
  <c r="K10" i="34"/>
  <c r="O30" i="34"/>
  <c r="AA30" i="34"/>
  <c r="U32" i="34"/>
  <c r="K64" i="34"/>
  <c r="K58" i="34" s="1"/>
  <c r="K57" i="34" s="1"/>
  <c r="R69" i="34"/>
  <c r="R57" i="34" s="1"/>
  <c r="L10" i="34"/>
  <c r="F13" i="34"/>
  <c r="P30" i="34"/>
  <c r="AB30" i="34"/>
  <c r="J32" i="34"/>
  <c r="V32" i="34"/>
  <c r="S69" i="34"/>
  <c r="S57" i="34" s="1"/>
  <c r="Q30" i="34"/>
  <c r="AC30" i="34"/>
  <c r="K32" i="34"/>
  <c r="W32" i="34"/>
  <c r="V64" i="34"/>
  <c r="AB10" i="34"/>
  <c r="AB4" i="34" s="1"/>
  <c r="AB16" i="34" s="1"/>
  <c r="K13" i="34"/>
  <c r="R30" i="34"/>
  <c r="AD30" i="34"/>
  <c r="L32" i="34"/>
  <c r="X32" i="34"/>
  <c r="W64" i="34"/>
  <c r="W58" i="34" s="1"/>
  <c r="AA10" i="34"/>
  <c r="L9" i="34"/>
  <c r="AC10" i="34"/>
  <c r="AC4" i="34" s="1"/>
  <c r="AC16" i="34" s="1"/>
  <c r="F12" i="34"/>
  <c r="AA9" i="34" s="1"/>
  <c r="L13" i="34"/>
  <c r="S30" i="34"/>
  <c r="M32" i="34"/>
  <c r="Y32" i="34"/>
  <c r="X64" i="34"/>
  <c r="AD10" i="34"/>
  <c r="AD4" i="34" s="1"/>
  <c r="AD16" i="34" s="1"/>
  <c r="T30" i="34"/>
  <c r="N32" i="34"/>
  <c r="Z32" i="34"/>
  <c r="U30" i="34"/>
  <c r="V68" i="34"/>
  <c r="M7" i="34"/>
  <c r="J30" i="34"/>
  <c r="V30" i="34"/>
  <c r="P32" i="34"/>
  <c r="J63" i="41" l="1"/>
  <c r="J58" i="41" s="1"/>
  <c r="J57" i="41" s="1"/>
  <c r="AC10" i="41"/>
  <c r="AC4" i="41" s="1"/>
  <c r="AC16" i="41" s="1"/>
  <c r="M29" i="41"/>
  <c r="T29" i="41"/>
  <c r="AA10" i="41"/>
  <c r="AA4" i="41" s="1"/>
  <c r="AA16" i="41" s="1"/>
  <c r="X65" i="41"/>
  <c r="Y65" i="41"/>
  <c r="Y58" i="41" s="1"/>
  <c r="W65" i="41"/>
  <c r="W58" i="41" s="1"/>
  <c r="AB29" i="41"/>
  <c r="J29" i="41"/>
  <c r="V29" i="41"/>
  <c r="Y29" i="41"/>
  <c r="P29" i="41"/>
  <c r="Z29" i="41"/>
  <c r="K29" i="41"/>
  <c r="O29" i="41"/>
  <c r="W29" i="41"/>
  <c r="AA29" i="41"/>
  <c r="L29" i="41"/>
  <c r="Q29" i="41"/>
  <c r="AC29" i="41"/>
  <c r="K63" i="41"/>
  <c r="K58" i="41" s="1"/>
  <c r="K71" i="41" s="1"/>
  <c r="K75" i="41" s="1"/>
  <c r="K77" i="41" s="1"/>
  <c r="R29" i="41"/>
  <c r="X29" i="41"/>
  <c r="AD29" i="41"/>
  <c r="S29" i="41"/>
  <c r="N29" i="41"/>
  <c r="V65" i="41"/>
  <c r="V58" i="41" s="1"/>
  <c r="AC34" i="41"/>
  <c r="AC19" i="41" s="1"/>
  <c r="U34" i="41"/>
  <c r="U19" i="41" s="1"/>
  <c r="U50" i="41" s="1"/>
  <c r="Y34" i="41"/>
  <c r="Y19" i="41" s="1"/>
  <c r="Y52" i="41" s="1"/>
  <c r="X34" i="41"/>
  <c r="X19" i="41" s="1"/>
  <c r="X52" i="41" s="1"/>
  <c r="Q34" i="41"/>
  <c r="Q19" i="41" s="1"/>
  <c r="M34" i="41"/>
  <c r="M19" i="41" s="1"/>
  <c r="M50" i="41" s="1"/>
  <c r="AB34" i="41"/>
  <c r="AB19" i="41" s="1"/>
  <c r="Z34" i="41"/>
  <c r="Z19" i="41" s="1"/>
  <c r="P34" i="41"/>
  <c r="P19" i="41" s="1"/>
  <c r="P50" i="41" s="1"/>
  <c r="P52" i="41" s="1"/>
  <c r="R34" i="41"/>
  <c r="R19" i="41" s="1"/>
  <c r="R52" i="41" s="1"/>
  <c r="S34" i="41"/>
  <c r="S19" i="41" s="1"/>
  <c r="N34" i="41"/>
  <c r="N19" i="41" s="1"/>
  <c r="N50" i="41" s="1"/>
  <c r="N52" i="41" s="1"/>
  <c r="AD34" i="41"/>
  <c r="AD19" i="41" s="1"/>
  <c r="O34" i="41"/>
  <c r="O19" i="41" s="1"/>
  <c r="T34" i="41"/>
  <c r="T19" i="41" s="1"/>
  <c r="AA34" i="41"/>
  <c r="AA19" i="41" s="1"/>
  <c r="V34" i="41"/>
  <c r="V19" i="41" s="1"/>
  <c r="J34" i="41"/>
  <c r="L34" i="41"/>
  <c r="AB10" i="40"/>
  <c r="AB4" i="40" s="1"/>
  <c r="AB16" i="40" s="1"/>
  <c r="Y65" i="40"/>
  <c r="Y58" i="40" s="1"/>
  <c r="AA10" i="40"/>
  <c r="V65" i="40"/>
  <c r="AD10" i="40"/>
  <c r="AD4" i="40" s="1"/>
  <c r="AD16" i="40" s="1"/>
  <c r="AC10" i="40"/>
  <c r="AC4" i="40" s="1"/>
  <c r="AC16" i="40" s="1"/>
  <c r="J33" i="40"/>
  <c r="V33" i="40"/>
  <c r="R33" i="40"/>
  <c r="J33" i="39"/>
  <c r="W34" i="39"/>
  <c r="AA34" i="39"/>
  <c r="P34" i="39"/>
  <c r="AB34" i="39"/>
  <c r="Q34" i="39"/>
  <c r="R34" i="39"/>
  <c r="X31" i="39"/>
  <c r="AD10" i="36"/>
  <c r="AD4" i="36" s="1"/>
  <c r="AD16" i="36" s="1"/>
  <c r="Y65" i="36"/>
  <c r="AB10" i="36"/>
  <c r="AB4" i="36" s="1"/>
  <c r="AB16" i="36" s="1"/>
  <c r="X31" i="35"/>
  <c r="W65" i="35"/>
  <c r="O33" i="35"/>
  <c r="AD10" i="35"/>
  <c r="AD4" i="35" s="1"/>
  <c r="AD16" i="35" s="1"/>
  <c r="J33" i="35"/>
  <c r="X33" i="35"/>
  <c r="AB10" i="35"/>
  <c r="AB4" i="35" s="1"/>
  <c r="AB16" i="35" s="1"/>
  <c r="Z33" i="35"/>
  <c r="L33" i="35"/>
  <c r="N33" i="35"/>
  <c r="U33" i="35"/>
  <c r="P33" i="35"/>
  <c r="W33" i="35"/>
  <c r="Y65" i="35"/>
  <c r="K44" i="34"/>
  <c r="K33" i="34" s="1"/>
  <c r="M44" i="38"/>
  <c r="M33" i="38" s="1"/>
  <c r="M19" i="38" s="1"/>
  <c r="M50" i="38" s="1"/>
  <c r="M52" i="38" s="1"/>
  <c r="L44" i="38"/>
  <c r="L33" i="38" s="1"/>
  <c r="L19" i="38" s="1"/>
  <c r="L50" i="38" s="1"/>
  <c r="K44" i="38"/>
  <c r="K33" i="38" s="1"/>
  <c r="K19" i="38" s="1"/>
  <c r="K50" i="38" s="1"/>
  <c r="K52" i="38" s="1"/>
  <c r="J44" i="38"/>
  <c r="J33" i="38" s="1"/>
  <c r="J19" i="38" s="1"/>
  <c r="J52" i="38" s="1"/>
  <c r="AC31" i="35"/>
  <c r="R31" i="35"/>
  <c r="AD31" i="35"/>
  <c r="S31" i="35"/>
  <c r="Z31" i="35"/>
  <c r="T31" i="35"/>
  <c r="Y31" i="35"/>
  <c r="O31" i="35"/>
  <c r="N31" i="35"/>
  <c r="AA31" i="35"/>
  <c r="U31" i="35"/>
  <c r="P31" i="35"/>
  <c r="J31" i="35"/>
  <c r="AB31" i="35"/>
  <c r="V31" i="35"/>
  <c r="Q31" i="35"/>
  <c r="W31" i="35"/>
  <c r="L31" i="35"/>
  <c r="K31" i="35"/>
  <c r="K34" i="41"/>
  <c r="K19" i="41" s="1"/>
  <c r="K50" i="41" s="1"/>
  <c r="K52" i="41" s="1"/>
  <c r="X58" i="41"/>
  <c r="K34" i="40"/>
  <c r="L34" i="40"/>
  <c r="X34" i="40"/>
  <c r="Z34" i="40"/>
  <c r="Z19" i="40" s="1"/>
  <c r="Q34" i="40"/>
  <c r="AC33" i="40"/>
  <c r="S33" i="40"/>
  <c r="AB33" i="40"/>
  <c r="AB19" i="40" s="1"/>
  <c r="U33" i="40"/>
  <c r="Z29" i="40"/>
  <c r="N29" i="40"/>
  <c r="O29" i="40"/>
  <c r="J34" i="40"/>
  <c r="V34" i="40"/>
  <c r="W34" i="40"/>
  <c r="X33" i="40"/>
  <c r="Y33" i="40"/>
  <c r="M34" i="40"/>
  <c r="N33" i="40"/>
  <c r="K33" i="40"/>
  <c r="P33" i="40"/>
  <c r="AD33" i="40"/>
  <c r="T33" i="40"/>
  <c r="O33" i="40"/>
  <c r="Q33" i="40"/>
  <c r="AA33" i="40"/>
  <c r="AA29" i="40"/>
  <c r="R29" i="40"/>
  <c r="S29" i="40"/>
  <c r="V29" i="40"/>
  <c r="U29" i="40"/>
  <c r="J29" i="40"/>
  <c r="K29" i="40"/>
  <c r="W29" i="40"/>
  <c r="AD29" i="40"/>
  <c r="L29" i="40"/>
  <c r="X29" i="40"/>
  <c r="AC29" i="40"/>
  <c r="Q29" i="40"/>
  <c r="T29" i="40"/>
  <c r="M29" i="40"/>
  <c r="AB29" i="40"/>
  <c r="Y29" i="40"/>
  <c r="U34" i="40"/>
  <c r="W33" i="40"/>
  <c r="O34" i="40"/>
  <c r="S34" i="40"/>
  <c r="T34" i="40"/>
  <c r="AC34" i="40"/>
  <c r="L33" i="40"/>
  <c r="R34" i="40"/>
  <c r="AD34" i="40"/>
  <c r="W31" i="40"/>
  <c r="S31" i="40"/>
  <c r="X31" i="40"/>
  <c r="Y34" i="40"/>
  <c r="N34" i="40"/>
  <c r="M33" i="40"/>
  <c r="T31" i="40"/>
  <c r="U31" i="40"/>
  <c r="AA34" i="40"/>
  <c r="P34" i="40"/>
  <c r="J31" i="40"/>
  <c r="O31" i="40"/>
  <c r="L31" i="40"/>
  <c r="Z31" i="40"/>
  <c r="K31" i="40"/>
  <c r="P31" i="40"/>
  <c r="AB31" i="40"/>
  <c r="AA31" i="40"/>
  <c r="V31" i="40"/>
  <c r="Q31" i="40"/>
  <c r="M31" i="40"/>
  <c r="AC31" i="40"/>
  <c r="Y31" i="40"/>
  <c r="R31" i="40"/>
  <c r="N31" i="40"/>
  <c r="X68" i="40"/>
  <c r="X58" i="40" s="1"/>
  <c r="Q69" i="40"/>
  <c r="Q57" i="40" s="1"/>
  <c r="K30" i="40"/>
  <c r="O30" i="40"/>
  <c r="P69" i="40"/>
  <c r="P57" i="40" s="1"/>
  <c r="Q30" i="40"/>
  <c r="AC30" i="40"/>
  <c r="V30" i="40"/>
  <c r="W30" i="40"/>
  <c r="V68" i="40"/>
  <c r="X30" i="40"/>
  <c r="S30" i="40"/>
  <c r="S69" i="40"/>
  <c r="S57" i="40" s="1"/>
  <c r="AD30" i="40"/>
  <c r="M30" i="40"/>
  <c r="Y30" i="40"/>
  <c r="N30" i="40"/>
  <c r="Z30" i="40"/>
  <c r="J30" i="40"/>
  <c r="AA30" i="40"/>
  <c r="R30" i="40"/>
  <c r="W68" i="40"/>
  <c r="W58" i="40" s="1"/>
  <c r="P30" i="40"/>
  <c r="R69" i="40"/>
  <c r="R57" i="40" s="1"/>
  <c r="AB30" i="40"/>
  <c r="U30" i="40"/>
  <c r="T30" i="40"/>
  <c r="L30" i="40"/>
  <c r="AC34" i="39"/>
  <c r="AC19" i="39" s="1"/>
  <c r="K34" i="39"/>
  <c r="S34" i="39"/>
  <c r="V34" i="39"/>
  <c r="V19" i="39" s="1"/>
  <c r="U34" i="39"/>
  <c r="U19" i="39" s="1"/>
  <c r="L34" i="39"/>
  <c r="X34" i="39"/>
  <c r="X19" i="39" s="1"/>
  <c r="J34" i="39"/>
  <c r="M34" i="39"/>
  <c r="Y34" i="39"/>
  <c r="Y19" i="39" s="1"/>
  <c r="Y50" i="39" s="1"/>
  <c r="N34" i="39"/>
  <c r="Z34" i="39"/>
  <c r="Z19" i="39" s="1"/>
  <c r="Z31" i="39"/>
  <c r="M31" i="39"/>
  <c r="O31" i="39"/>
  <c r="AB31" i="39"/>
  <c r="Q31" i="39"/>
  <c r="AC31" i="39"/>
  <c r="R31" i="39"/>
  <c r="AD31" i="39"/>
  <c r="U31" i="39"/>
  <c r="S31" i="39"/>
  <c r="T31" i="39"/>
  <c r="N31" i="39"/>
  <c r="W31" i="39"/>
  <c r="J31" i="39"/>
  <c r="AA31" i="39"/>
  <c r="V31" i="39"/>
  <c r="P31" i="39"/>
  <c r="K31" i="39"/>
  <c r="Y31" i="39"/>
  <c r="X68" i="39"/>
  <c r="X58" i="39" s="1"/>
  <c r="R29" i="39"/>
  <c r="AD29" i="39"/>
  <c r="J30" i="39"/>
  <c r="Y68" i="39"/>
  <c r="Y58" i="39" s="1"/>
  <c r="T30" i="39"/>
  <c r="W68" i="39"/>
  <c r="W58" i="39" s="1"/>
  <c r="U30" i="39"/>
  <c r="T29" i="39"/>
  <c r="U29" i="39"/>
  <c r="Y29" i="39"/>
  <c r="AD19" i="39"/>
  <c r="AD52" i="39" s="1"/>
  <c r="J29" i="39"/>
  <c r="J19" i="39" s="1"/>
  <c r="L29" i="39"/>
  <c r="X29" i="39"/>
  <c r="M29" i="39"/>
  <c r="N29" i="39"/>
  <c r="Z29" i="39"/>
  <c r="O29" i="39"/>
  <c r="S29" i="39"/>
  <c r="AA29" i="39"/>
  <c r="P29" i="39"/>
  <c r="P19" i="39" s="1"/>
  <c r="P52" i="39" s="1"/>
  <c r="V29" i="39"/>
  <c r="AB29" i="39"/>
  <c r="K29" i="39"/>
  <c r="Q29" i="39"/>
  <c r="W29" i="39"/>
  <c r="Q19" i="39"/>
  <c r="Q52" i="39" s="1"/>
  <c r="AA19" i="39"/>
  <c r="AA52" i="39" s="1"/>
  <c r="K30" i="39"/>
  <c r="K32" i="39"/>
  <c r="R19" i="39"/>
  <c r="R50" i="39" s="1"/>
  <c r="W30" i="39"/>
  <c r="L30" i="39"/>
  <c r="X30" i="39"/>
  <c r="R69" i="39"/>
  <c r="R57" i="39" s="1"/>
  <c r="N30" i="39"/>
  <c r="Z30" i="39"/>
  <c r="S69" i="39"/>
  <c r="S57" i="39" s="1"/>
  <c r="O30" i="39"/>
  <c r="AA30" i="39"/>
  <c r="AB19" i="39"/>
  <c r="AB50" i="39" s="1"/>
  <c r="P69" i="39"/>
  <c r="P57" i="39" s="1"/>
  <c r="P30" i="39"/>
  <c r="AB30" i="39"/>
  <c r="Q30" i="39"/>
  <c r="Q69" i="39"/>
  <c r="Q57" i="39" s="1"/>
  <c r="AC30" i="39"/>
  <c r="M30" i="39"/>
  <c r="R30" i="39"/>
  <c r="Y30" i="39"/>
  <c r="AD30" i="39"/>
  <c r="V30" i="39"/>
  <c r="S30" i="39"/>
  <c r="O19" i="39"/>
  <c r="O52" i="39" s="1"/>
  <c r="S19" i="39"/>
  <c r="S50" i="39" s="1"/>
  <c r="AB19" i="38"/>
  <c r="AB50" i="38" s="1"/>
  <c r="L31" i="38"/>
  <c r="X31" i="38"/>
  <c r="M31" i="38"/>
  <c r="Y31" i="38"/>
  <c r="R19" i="38"/>
  <c r="R50" i="38" s="1"/>
  <c r="AA19" i="38"/>
  <c r="AA50" i="38" s="1"/>
  <c r="Z31" i="38"/>
  <c r="P31" i="38"/>
  <c r="J31" i="38"/>
  <c r="Y19" i="38"/>
  <c r="Y52" i="38" s="1"/>
  <c r="AA31" i="38"/>
  <c r="AC31" i="38"/>
  <c r="AB31" i="38"/>
  <c r="R31" i="38"/>
  <c r="Q31" i="38"/>
  <c r="K31" i="38"/>
  <c r="AD31" i="38"/>
  <c r="S31" i="38"/>
  <c r="N31" i="38"/>
  <c r="T31" i="38"/>
  <c r="O31" i="38"/>
  <c r="W31" i="38"/>
  <c r="AC19" i="38"/>
  <c r="AC52" i="38" s="1"/>
  <c r="V31" i="38"/>
  <c r="X19" i="38"/>
  <c r="X50" i="38" s="1"/>
  <c r="W58" i="38"/>
  <c r="Y58" i="38"/>
  <c r="X58" i="38"/>
  <c r="P19" i="38"/>
  <c r="P50" i="38" s="1"/>
  <c r="P52" i="38" s="1"/>
  <c r="M13" i="41"/>
  <c r="M9" i="41"/>
  <c r="M10" i="41"/>
  <c r="M8" i="41"/>
  <c r="M11" i="41"/>
  <c r="M12" i="41"/>
  <c r="N7" i="41"/>
  <c r="W19" i="41"/>
  <c r="L11" i="40"/>
  <c r="L8" i="40"/>
  <c r="L12" i="40"/>
  <c r="M7" i="40"/>
  <c r="L13" i="40"/>
  <c r="L9" i="40"/>
  <c r="L10" i="40"/>
  <c r="AA4" i="40"/>
  <c r="AA16" i="40" s="1"/>
  <c r="L32" i="39"/>
  <c r="V58" i="39"/>
  <c r="L13" i="39"/>
  <c r="L9" i="39"/>
  <c r="L10" i="39"/>
  <c r="L8" i="39"/>
  <c r="L11" i="39"/>
  <c r="L12" i="39"/>
  <c r="M7" i="39"/>
  <c r="W19" i="39"/>
  <c r="M32" i="39"/>
  <c r="T19" i="39"/>
  <c r="S50" i="38"/>
  <c r="S52" i="38"/>
  <c r="AD19" i="38"/>
  <c r="V19" i="38"/>
  <c r="T19" i="38"/>
  <c r="O19" i="38"/>
  <c r="Q19" i="38"/>
  <c r="Z19" i="38"/>
  <c r="V58" i="38"/>
  <c r="N19" i="38"/>
  <c r="N50" i="38" s="1"/>
  <c r="N52" i="38" s="1"/>
  <c r="U19" i="38"/>
  <c r="AA4" i="38"/>
  <c r="AA16" i="38" s="1"/>
  <c r="W19" i="38"/>
  <c r="L13" i="38"/>
  <c r="L9" i="38"/>
  <c r="L10" i="38"/>
  <c r="L8" i="38"/>
  <c r="L11" i="38"/>
  <c r="L12" i="38"/>
  <c r="M7" i="38"/>
  <c r="AD33" i="34"/>
  <c r="Q33" i="34"/>
  <c r="AC33" i="34"/>
  <c r="S33" i="34"/>
  <c r="Y65" i="37"/>
  <c r="AB10" i="37"/>
  <c r="AB4" i="37" s="1"/>
  <c r="AB16" i="37" s="1"/>
  <c r="X65" i="37"/>
  <c r="W65" i="37"/>
  <c r="AD10" i="37"/>
  <c r="AD4" i="37" s="1"/>
  <c r="AD16" i="37" s="1"/>
  <c r="AC10" i="37"/>
  <c r="AC4" i="37" s="1"/>
  <c r="AC16" i="37" s="1"/>
  <c r="AA34" i="34"/>
  <c r="P34" i="34"/>
  <c r="AB34" i="34"/>
  <c r="AB19" i="34" s="1"/>
  <c r="K34" i="34"/>
  <c r="Q34" i="34"/>
  <c r="V34" i="34"/>
  <c r="W34" i="34"/>
  <c r="AC34" i="34"/>
  <c r="L34" i="34"/>
  <c r="R34" i="34"/>
  <c r="X34" i="34"/>
  <c r="AD34" i="34"/>
  <c r="M34" i="34"/>
  <c r="S34" i="34"/>
  <c r="O34" i="34"/>
  <c r="Y34" i="34"/>
  <c r="T34" i="34"/>
  <c r="N34" i="34"/>
  <c r="U34" i="34"/>
  <c r="Z34" i="34"/>
  <c r="R33" i="34"/>
  <c r="T33" i="34"/>
  <c r="U33" i="34"/>
  <c r="V33" i="34"/>
  <c r="W33" i="34"/>
  <c r="X33" i="34"/>
  <c r="Y33" i="34"/>
  <c r="N33" i="34"/>
  <c r="Z33" i="34"/>
  <c r="O33" i="34"/>
  <c r="AA33" i="34"/>
  <c r="P33" i="34"/>
  <c r="Y31" i="34"/>
  <c r="J34" i="35"/>
  <c r="U34" i="35"/>
  <c r="AB29" i="35"/>
  <c r="AC29" i="35"/>
  <c r="R29" i="35"/>
  <c r="AD29" i="35"/>
  <c r="Q29" i="35"/>
  <c r="AB34" i="35"/>
  <c r="AB19" i="35" s="1"/>
  <c r="AB52" i="35" s="1"/>
  <c r="K34" i="35"/>
  <c r="X34" i="35"/>
  <c r="X19" i="35" s="1"/>
  <c r="Z34" i="35"/>
  <c r="Z19" i="35" s="1"/>
  <c r="W34" i="35"/>
  <c r="W19" i="35" s="1"/>
  <c r="O34" i="35"/>
  <c r="O19" i="35" s="1"/>
  <c r="AA34" i="35"/>
  <c r="AA19" i="35" s="1"/>
  <c r="AA50" i="35" s="1"/>
  <c r="P34" i="35"/>
  <c r="V29" i="35"/>
  <c r="K29" i="35"/>
  <c r="W29" i="35"/>
  <c r="L29" i="35"/>
  <c r="X29" i="35"/>
  <c r="T29" i="35"/>
  <c r="M29" i="35"/>
  <c r="AA29" i="35"/>
  <c r="P29" i="35"/>
  <c r="M32" i="35"/>
  <c r="L34" i="35"/>
  <c r="Q34" i="35"/>
  <c r="Q19" i="35" s="1"/>
  <c r="Q52" i="35" s="1"/>
  <c r="Y29" i="35"/>
  <c r="AC34" i="35"/>
  <c r="AC19" i="35" s="1"/>
  <c r="N29" i="35"/>
  <c r="L32" i="35"/>
  <c r="M34" i="35"/>
  <c r="R34" i="35"/>
  <c r="R19" i="35" s="1"/>
  <c r="R52" i="35" s="1"/>
  <c r="Z29" i="35"/>
  <c r="Y34" i="35"/>
  <c r="Y19" i="35" s="1"/>
  <c r="AD34" i="35"/>
  <c r="AD19" i="35" s="1"/>
  <c r="AD52" i="35" s="1"/>
  <c r="U29" i="35"/>
  <c r="S29" i="35"/>
  <c r="N34" i="35"/>
  <c r="T34" i="35"/>
  <c r="T19" i="35" s="1"/>
  <c r="T50" i="35" s="1"/>
  <c r="J29" i="35"/>
  <c r="V34" i="35"/>
  <c r="V19" i="35" s="1"/>
  <c r="S34" i="36"/>
  <c r="U34" i="36"/>
  <c r="O34" i="36"/>
  <c r="AA34" i="36"/>
  <c r="X34" i="36"/>
  <c r="Y34" i="36"/>
  <c r="Z34" i="36"/>
  <c r="J34" i="36"/>
  <c r="V34" i="36"/>
  <c r="K34" i="36"/>
  <c r="P34" i="36"/>
  <c r="W34" i="36"/>
  <c r="AB34" i="36"/>
  <c r="L34" i="36"/>
  <c r="Q34" i="36"/>
  <c r="AC34" i="36"/>
  <c r="T34" i="36"/>
  <c r="AD34" i="36"/>
  <c r="M34" i="36"/>
  <c r="AA10" i="37"/>
  <c r="AA4" i="37" s="1"/>
  <c r="AA16" i="37" s="1"/>
  <c r="S30" i="37"/>
  <c r="W30" i="37"/>
  <c r="R30" i="37"/>
  <c r="S34" i="37"/>
  <c r="M34" i="37"/>
  <c r="Y34" i="37"/>
  <c r="U34" i="37"/>
  <c r="K34" i="37"/>
  <c r="N34" i="37"/>
  <c r="Z34" i="37"/>
  <c r="O34" i="37"/>
  <c r="R34" i="37"/>
  <c r="AD34" i="37"/>
  <c r="AD30" i="37"/>
  <c r="Q34" i="37"/>
  <c r="AC34" i="37"/>
  <c r="V34" i="37"/>
  <c r="V19" i="37" s="1"/>
  <c r="L34" i="37"/>
  <c r="X34" i="37"/>
  <c r="W68" i="37"/>
  <c r="X68" i="37"/>
  <c r="Q69" i="37"/>
  <c r="Q57" i="37" s="1"/>
  <c r="J30" i="37"/>
  <c r="R69" i="37"/>
  <c r="R57" i="37" s="1"/>
  <c r="T30" i="37"/>
  <c r="Y68" i="37"/>
  <c r="T34" i="37"/>
  <c r="J34" i="37"/>
  <c r="P34" i="37"/>
  <c r="AB34" i="37"/>
  <c r="AA34" i="37"/>
  <c r="M30" i="37"/>
  <c r="Y30" i="37"/>
  <c r="K30" i="37"/>
  <c r="O30" i="37"/>
  <c r="U30" i="37"/>
  <c r="N30" i="37"/>
  <c r="P69" i="37"/>
  <c r="P57" i="37" s="1"/>
  <c r="Z30" i="37"/>
  <c r="V30" i="37"/>
  <c r="AA30" i="37"/>
  <c r="V68" i="37"/>
  <c r="V58" i="37" s="1"/>
  <c r="P30" i="37"/>
  <c r="L30" i="37"/>
  <c r="AB30" i="37"/>
  <c r="X30" i="37"/>
  <c r="Q30" i="37"/>
  <c r="S69" i="37"/>
  <c r="S57" i="37" s="1"/>
  <c r="U29" i="37"/>
  <c r="W29" i="37"/>
  <c r="P29" i="37"/>
  <c r="K58" i="37"/>
  <c r="R29" i="37"/>
  <c r="Z29" i="37"/>
  <c r="T31" i="37"/>
  <c r="S29" i="37"/>
  <c r="AB29" i="37"/>
  <c r="Q29" i="37"/>
  <c r="O29" i="37"/>
  <c r="AD29" i="37"/>
  <c r="AA29" i="37"/>
  <c r="J29" i="37"/>
  <c r="V29" i="37"/>
  <c r="AC29" i="37"/>
  <c r="K29" i="37"/>
  <c r="Y29" i="37"/>
  <c r="L29" i="37"/>
  <c r="X29" i="37"/>
  <c r="T29" i="37"/>
  <c r="M29" i="37"/>
  <c r="J63" i="37"/>
  <c r="J58" i="37" s="1"/>
  <c r="J57" i="37" s="1"/>
  <c r="N29" i="37"/>
  <c r="AC33" i="37"/>
  <c r="U31" i="37"/>
  <c r="Q33" i="37"/>
  <c r="K33" i="37"/>
  <c r="U33" i="37"/>
  <c r="L33" i="37"/>
  <c r="Y31" i="37"/>
  <c r="V31" i="37"/>
  <c r="S31" i="37"/>
  <c r="W31" i="37"/>
  <c r="X33" i="37"/>
  <c r="M33" i="37"/>
  <c r="R33" i="37"/>
  <c r="Y33" i="37"/>
  <c r="AD33" i="37"/>
  <c r="N33" i="37"/>
  <c r="S33" i="37"/>
  <c r="Z33" i="37"/>
  <c r="AB33" i="37"/>
  <c r="T33" i="37"/>
  <c r="AA31" i="37"/>
  <c r="K31" i="37"/>
  <c r="P31" i="37"/>
  <c r="W33" i="37"/>
  <c r="W19" i="37" s="1"/>
  <c r="AB31" i="37"/>
  <c r="Z31" i="37"/>
  <c r="X31" i="37"/>
  <c r="Q31" i="37"/>
  <c r="P33" i="37"/>
  <c r="O33" i="37"/>
  <c r="AC31" i="37"/>
  <c r="J33" i="37"/>
  <c r="AA33" i="37"/>
  <c r="R31" i="37"/>
  <c r="M31" i="37"/>
  <c r="AD31" i="37"/>
  <c r="N31" i="37"/>
  <c r="J31" i="37"/>
  <c r="O31" i="37"/>
  <c r="U30" i="35"/>
  <c r="X68" i="35"/>
  <c r="X58" i="35" s="1"/>
  <c r="X30" i="35"/>
  <c r="Q69" i="35"/>
  <c r="Q57" i="35" s="1"/>
  <c r="Y30" i="35"/>
  <c r="K32" i="35"/>
  <c r="M30" i="35"/>
  <c r="S69" i="35"/>
  <c r="S57" i="35" s="1"/>
  <c r="O30" i="35"/>
  <c r="AA30" i="35"/>
  <c r="V30" i="35"/>
  <c r="Y68" i="35"/>
  <c r="Y58" i="35" s="1"/>
  <c r="J30" i="35"/>
  <c r="P30" i="35"/>
  <c r="P69" i="35"/>
  <c r="P57" i="35" s="1"/>
  <c r="AB30" i="35"/>
  <c r="L30" i="35"/>
  <c r="AC30" i="35"/>
  <c r="Q30" i="35"/>
  <c r="R69" i="35"/>
  <c r="R57" i="35" s="1"/>
  <c r="R30" i="35"/>
  <c r="N30" i="35"/>
  <c r="AD30" i="35"/>
  <c r="Z30" i="35"/>
  <c r="W30" i="35"/>
  <c r="S30" i="35"/>
  <c r="V68" i="35"/>
  <c r="V58" i="35" s="1"/>
  <c r="K30" i="35"/>
  <c r="T30" i="35"/>
  <c r="S19" i="35"/>
  <c r="S52" i="35" s="1"/>
  <c r="O31" i="34"/>
  <c r="AA31" i="34"/>
  <c r="P31" i="34"/>
  <c r="N31" i="34"/>
  <c r="AB31" i="34"/>
  <c r="AC31" i="34"/>
  <c r="L31" i="34"/>
  <c r="R31" i="34"/>
  <c r="T31" i="34"/>
  <c r="Q31" i="34"/>
  <c r="AD31" i="34"/>
  <c r="S31" i="34"/>
  <c r="Z31" i="34"/>
  <c r="U31" i="34"/>
  <c r="K31" i="34"/>
  <c r="J31" i="34"/>
  <c r="W31" i="34"/>
  <c r="V31" i="34"/>
  <c r="X31" i="34"/>
  <c r="M29" i="34"/>
  <c r="R29" i="34"/>
  <c r="AD29" i="34"/>
  <c r="T29" i="34"/>
  <c r="U29" i="34"/>
  <c r="L29" i="34"/>
  <c r="J29" i="34"/>
  <c r="V29" i="34"/>
  <c r="K29" i="34"/>
  <c r="W29" i="34"/>
  <c r="S29" i="34"/>
  <c r="X29" i="34"/>
  <c r="Y29" i="34"/>
  <c r="N29" i="34"/>
  <c r="Z29" i="34"/>
  <c r="O29" i="34"/>
  <c r="AA29" i="34"/>
  <c r="P29" i="34"/>
  <c r="AB29" i="34"/>
  <c r="Q29" i="34"/>
  <c r="X58" i="34"/>
  <c r="Y58" i="34"/>
  <c r="AA4" i="34"/>
  <c r="AA16" i="34" s="1"/>
  <c r="R34" i="36"/>
  <c r="X33" i="36"/>
  <c r="Q33" i="36"/>
  <c r="K33" i="36"/>
  <c r="AB33" i="36"/>
  <c r="L33" i="36"/>
  <c r="L44" i="34"/>
  <c r="L33" i="34" s="1"/>
  <c r="R33" i="36"/>
  <c r="M33" i="36"/>
  <c r="M44" i="34"/>
  <c r="M33" i="34" s="1"/>
  <c r="J44" i="34"/>
  <c r="J33" i="34" s="1"/>
  <c r="S33" i="36"/>
  <c r="N33" i="36"/>
  <c r="N19" i="36" s="1"/>
  <c r="N52" i="36" s="1"/>
  <c r="T33" i="36"/>
  <c r="Z33" i="36"/>
  <c r="Y33" i="36"/>
  <c r="U33" i="36"/>
  <c r="O33" i="36"/>
  <c r="J33" i="36"/>
  <c r="AA33" i="36"/>
  <c r="AD33" i="36"/>
  <c r="V33" i="36"/>
  <c r="AC33" i="36"/>
  <c r="P33" i="36"/>
  <c r="W33" i="36"/>
  <c r="Z31" i="36"/>
  <c r="P31" i="36"/>
  <c r="W31" i="36"/>
  <c r="Q31" i="36"/>
  <c r="AC31" i="36"/>
  <c r="M31" i="36"/>
  <c r="R31" i="36"/>
  <c r="AD31" i="36"/>
  <c r="S31" i="36"/>
  <c r="J31" i="36"/>
  <c r="V31" i="36"/>
  <c r="K31" i="36"/>
  <c r="L31" i="36"/>
  <c r="X31" i="36"/>
  <c r="Y31" i="36"/>
  <c r="T31" i="36"/>
  <c r="N31" i="36"/>
  <c r="O31" i="36"/>
  <c r="U31" i="36"/>
  <c r="AA31" i="36"/>
  <c r="AA4" i="36"/>
  <c r="AA16" i="36" s="1"/>
  <c r="S30" i="36"/>
  <c r="P69" i="36"/>
  <c r="P57" i="36" s="1"/>
  <c r="J30" i="36"/>
  <c r="R69" i="36"/>
  <c r="R57" i="36" s="1"/>
  <c r="X30" i="36"/>
  <c r="L30" i="36"/>
  <c r="S69" i="36"/>
  <c r="S57" i="36" s="1"/>
  <c r="N30" i="36"/>
  <c r="O30" i="36"/>
  <c r="AA30" i="36"/>
  <c r="P30" i="36"/>
  <c r="AB30" i="36"/>
  <c r="V30" i="36"/>
  <c r="Q69" i="36"/>
  <c r="Q57" i="36" s="1"/>
  <c r="K30" i="36"/>
  <c r="W30" i="36"/>
  <c r="Q30" i="36"/>
  <c r="AC30" i="36"/>
  <c r="V68" i="36"/>
  <c r="V58" i="36" s="1"/>
  <c r="X68" i="36"/>
  <c r="X58" i="36" s="1"/>
  <c r="T30" i="36"/>
  <c r="R30" i="36"/>
  <c r="Y68" i="36"/>
  <c r="Y58" i="36" s="1"/>
  <c r="M30" i="36"/>
  <c r="U30" i="36"/>
  <c r="Y30" i="36"/>
  <c r="AD30" i="36"/>
  <c r="W68" i="36"/>
  <c r="W58" i="36" s="1"/>
  <c r="AB29" i="36"/>
  <c r="P29" i="36"/>
  <c r="Q29" i="36"/>
  <c r="S29" i="36"/>
  <c r="K29" i="36"/>
  <c r="W29" i="36"/>
  <c r="L29" i="36"/>
  <c r="X29" i="36"/>
  <c r="R29" i="36"/>
  <c r="M29" i="36"/>
  <c r="AD29" i="36"/>
  <c r="Y29" i="36"/>
  <c r="T29" i="36"/>
  <c r="N29" i="36"/>
  <c r="U29" i="36"/>
  <c r="Z29" i="36"/>
  <c r="J29" i="36"/>
  <c r="O29" i="36"/>
  <c r="V29" i="36"/>
  <c r="AA29" i="36"/>
  <c r="L10" i="37"/>
  <c r="L12" i="37"/>
  <c r="M7" i="37"/>
  <c r="L13" i="37"/>
  <c r="L9" i="37"/>
  <c r="L8" i="37"/>
  <c r="L11" i="37"/>
  <c r="L8" i="36"/>
  <c r="L11" i="36"/>
  <c r="L12" i="36"/>
  <c r="M7" i="36"/>
  <c r="L10" i="36"/>
  <c r="L13" i="36"/>
  <c r="L9" i="36"/>
  <c r="W58" i="35"/>
  <c r="L13" i="35"/>
  <c r="L9" i="35"/>
  <c r="L10" i="35"/>
  <c r="L8" i="35"/>
  <c r="L11" i="35"/>
  <c r="L12" i="35"/>
  <c r="M7" i="35"/>
  <c r="V58" i="34"/>
  <c r="M13" i="34"/>
  <c r="M9" i="34"/>
  <c r="M10" i="34"/>
  <c r="M8" i="34"/>
  <c r="M11" i="34"/>
  <c r="M12" i="34"/>
  <c r="N7" i="34"/>
  <c r="L19" i="41" l="1"/>
  <c r="J19" i="41"/>
  <c r="J50" i="41" s="1"/>
  <c r="Y50" i="41"/>
  <c r="X50" i="41"/>
  <c r="O52" i="41"/>
  <c r="O50" i="41"/>
  <c r="V52" i="41"/>
  <c r="V50" i="41"/>
  <c r="AB50" i="41"/>
  <c r="AB52" i="41"/>
  <c r="L71" i="41"/>
  <c r="L75" i="41" s="1"/>
  <c r="L77" i="41" s="1"/>
  <c r="U52" i="41"/>
  <c r="K57" i="41"/>
  <c r="J71" i="41"/>
  <c r="J75" i="41" s="1"/>
  <c r="J77" i="41" s="1"/>
  <c r="V19" i="40"/>
  <c r="V50" i="40" s="1"/>
  <c r="V58" i="40"/>
  <c r="R19" i="40"/>
  <c r="R50" i="40" s="1"/>
  <c r="K19" i="39"/>
  <c r="K50" i="39" s="1"/>
  <c r="K52" i="39" s="1"/>
  <c r="Q19" i="37"/>
  <c r="Q50" i="37" s="1"/>
  <c r="U19" i="35"/>
  <c r="J19" i="35"/>
  <c r="Y58" i="37"/>
  <c r="T19" i="36"/>
  <c r="T52" i="36" s="1"/>
  <c r="AD19" i="36"/>
  <c r="AD50" i="36" s="1"/>
  <c r="L19" i="35"/>
  <c r="L50" i="35" s="1"/>
  <c r="N19" i="35"/>
  <c r="N50" i="35" s="1"/>
  <c r="Q19" i="34"/>
  <c r="Q52" i="34" s="1"/>
  <c r="AC19" i="34"/>
  <c r="AC50" i="34" s="1"/>
  <c r="S19" i="34"/>
  <c r="S50" i="34" s="1"/>
  <c r="AD19" i="34"/>
  <c r="AD50" i="34" s="1"/>
  <c r="R50" i="41"/>
  <c r="M52" i="41"/>
  <c r="L19" i="40"/>
  <c r="L50" i="40" s="1"/>
  <c r="L52" i="40" s="1"/>
  <c r="S19" i="40"/>
  <c r="S50" i="40" s="1"/>
  <c r="X19" i="40"/>
  <c r="X52" i="40" s="1"/>
  <c r="Y19" i="40"/>
  <c r="Y50" i="40" s="1"/>
  <c r="O19" i="40"/>
  <c r="O52" i="40" s="1"/>
  <c r="U19" i="40"/>
  <c r="U52" i="40" s="1"/>
  <c r="T19" i="40"/>
  <c r="T50" i="40" s="1"/>
  <c r="AA19" i="40"/>
  <c r="AA50" i="40" s="1"/>
  <c r="AC19" i="40"/>
  <c r="AC52" i="40" s="1"/>
  <c r="Q19" i="40"/>
  <c r="Q52" i="40" s="1"/>
  <c r="M19" i="40"/>
  <c r="M50" i="40" s="1"/>
  <c r="AD19" i="40"/>
  <c r="AD50" i="40" s="1"/>
  <c r="W19" i="40"/>
  <c r="W50" i="40" s="1"/>
  <c r="J19" i="40"/>
  <c r="J52" i="40" s="1"/>
  <c r="N19" i="40"/>
  <c r="N52" i="40" s="1"/>
  <c r="K19" i="40"/>
  <c r="K50" i="40" s="1"/>
  <c r="K52" i="40" s="1"/>
  <c r="P19" i="40"/>
  <c r="P50" i="40" s="1"/>
  <c r="P52" i="40" s="1"/>
  <c r="N19" i="39"/>
  <c r="N50" i="39" s="1"/>
  <c r="M19" i="39"/>
  <c r="M50" i="39" s="1"/>
  <c r="AD50" i="39"/>
  <c r="L19" i="39"/>
  <c r="L50" i="39" s="1"/>
  <c r="AA50" i="39"/>
  <c r="R52" i="39"/>
  <c r="Q50" i="39"/>
  <c r="AB52" i="39"/>
  <c r="P50" i="39"/>
  <c r="O50" i="39"/>
  <c r="Y52" i="39"/>
  <c r="S52" i="39"/>
  <c r="AB52" i="38"/>
  <c r="R52" i="38"/>
  <c r="AA52" i="38"/>
  <c r="Y50" i="38"/>
  <c r="AC50" i="38"/>
  <c r="X52" i="38"/>
  <c r="L52" i="38"/>
  <c r="J50" i="38"/>
  <c r="AD50" i="41"/>
  <c r="AD52" i="41"/>
  <c r="W52" i="41"/>
  <c r="W50" i="41"/>
  <c r="T50" i="41"/>
  <c r="T52" i="41"/>
  <c r="N12" i="41"/>
  <c r="N10" i="41"/>
  <c r="N9" i="41"/>
  <c r="N8" i="41"/>
  <c r="N11" i="41"/>
  <c r="O7" i="41"/>
  <c r="N13" i="41"/>
  <c r="Q50" i="41"/>
  <c r="Q52" i="41"/>
  <c r="AA52" i="41"/>
  <c r="AA50" i="41"/>
  <c r="Z50" i="41"/>
  <c r="Z52" i="41"/>
  <c r="AC50" i="41"/>
  <c r="AC52" i="41"/>
  <c r="S50" i="41"/>
  <c r="S52" i="41"/>
  <c r="L50" i="41"/>
  <c r="L52" i="41"/>
  <c r="M11" i="40"/>
  <c r="M12" i="40"/>
  <c r="N7" i="40"/>
  <c r="M8" i="40"/>
  <c r="M13" i="40"/>
  <c r="M9" i="40"/>
  <c r="M10" i="40"/>
  <c r="AB50" i="40"/>
  <c r="AB52" i="40"/>
  <c r="Z52" i="40"/>
  <c r="Z50" i="40"/>
  <c r="V50" i="39"/>
  <c r="V52" i="39"/>
  <c r="W50" i="39"/>
  <c r="W52" i="39"/>
  <c r="AC50" i="39"/>
  <c r="AC52" i="39"/>
  <c r="M10" i="39"/>
  <c r="M13" i="39"/>
  <c r="M8" i="39"/>
  <c r="M11" i="39"/>
  <c r="M12" i="39"/>
  <c r="N7" i="39"/>
  <c r="M9" i="39"/>
  <c r="U50" i="39"/>
  <c r="U52" i="39"/>
  <c r="T50" i="39"/>
  <c r="T52" i="39"/>
  <c r="Z50" i="39"/>
  <c r="Z52" i="39"/>
  <c r="J50" i="39"/>
  <c r="J52" i="39"/>
  <c r="X50" i="39"/>
  <c r="X52" i="39"/>
  <c r="Z52" i="38"/>
  <c r="Z50" i="38"/>
  <c r="Q50" i="38"/>
  <c r="Q52" i="38"/>
  <c r="AD50" i="38"/>
  <c r="AD52" i="38"/>
  <c r="V50" i="38"/>
  <c r="V52" i="38"/>
  <c r="W50" i="38"/>
  <c r="W52" i="38"/>
  <c r="U50" i="38"/>
  <c r="U52" i="38"/>
  <c r="F97" i="38"/>
  <c r="O50" i="38"/>
  <c r="O52" i="38"/>
  <c r="M13" i="38"/>
  <c r="M9" i="38"/>
  <c r="M10" i="38"/>
  <c r="M8" i="38"/>
  <c r="M11" i="38"/>
  <c r="M12" i="38"/>
  <c r="N7" i="38"/>
  <c r="T50" i="38"/>
  <c r="T52" i="38"/>
  <c r="V19" i="34"/>
  <c r="V50" i="34" s="1"/>
  <c r="AA19" i="34"/>
  <c r="AA50" i="34" s="1"/>
  <c r="W19" i="34"/>
  <c r="W50" i="34" s="1"/>
  <c r="P19" i="35"/>
  <c r="P52" i="35" s="1"/>
  <c r="S19" i="36"/>
  <c r="S52" i="36" s="1"/>
  <c r="O19" i="36"/>
  <c r="O50" i="36" s="1"/>
  <c r="U19" i="36"/>
  <c r="U50" i="36" s="1"/>
  <c r="J71" i="37"/>
  <c r="J75" i="37" s="1"/>
  <c r="J77" i="37" s="1"/>
  <c r="K71" i="37"/>
  <c r="K75" i="37" s="1"/>
  <c r="K77" i="37" s="1"/>
  <c r="L71" i="37"/>
  <c r="L75" i="37" s="1"/>
  <c r="L77" i="37" s="1"/>
  <c r="X58" i="37"/>
  <c r="W58" i="37"/>
  <c r="S19" i="37"/>
  <c r="S52" i="37" s="1"/>
  <c r="K57" i="37"/>
  <c r="T19" i="34"/>
  <c r="T50" i="34" s="1"/>
  <c r="Z19" i="34"/>
  <c r="Z50" i="34" s="1"/>
  <c r="K19" i="34"/>
  <c r="K50" i="34" s="1"/>
  <c r="K52" i="34" s="1"/>
  <c r="Y19" i="34"/>
  <c r="Y50" i="34" s="1"/>
  <c r="R19" i="34"/>
  <c r="R50" i="34" s="1"/>
  <c r="U19" i="34"/>
  <c r="U52" i="34" s="1"/>
  <c r="X19" i="34"/>
  <c r="X52" i="34" s="1"/>
  <c r="N19" i="34"/>
  <c r="N50" i="34" s="1"/>
  <c r="N52" i="34" s="1"/>
  <c r="O19" i="34"/>
  <c r="O50" i="34" s="1"/>
  <c r="P19" i="34"/>
  <c r="P50" i="34" s="1"/>
  <c r="P52" i="34" s="1"/>
  <c r="K19" i="35"/>
  <c r="K50" i="35" s="1"/>
  <c r="K52" i="35" s="1"/>
  <c r="M19" i="35"/>
  <c r="M52" i="35" s="1"/>
  <c r="AC52" i="35"/>
  <c r="AC50" i="35"/>
  <c r="Q50" i="35"/>
  <c r="AA19" i="36"/>
  <c r="AA50" i="36" s="1"/>
  <c r="X19" i="36"/>
  <c r="X50" i="36" s="1"/>
  <c r="Z19" i="36"/>
  <c r="Z52" i="36" s="1"/>
  <c r="P19" i="36"/>
  <c r="P50" i="36" s="1"/>
  <c r="P52" i="36" s="1"/>
  <c r="V19" i="36"/>
  <c r="V52" i="36" s="1"/>
  <c r="Y19" i="36"/>
  <c r="Y50" i="36" s="1"/>
  <c r="W19" i="36"/>
  <c r="W52" i="36" s="1"/>
  <c r="R19" i="36"/>
  <c r="R52" i="36" s="1"/>
  <c r="AB19" i="36"/>
  <c r="AB52" i="36" s="1"/>
  <c r="Q19" i="36"/>
  <c r="Q50" i="36" s="1"/>
  <c r="AC19" i="36"/>
  <c r="AC50" i="36" s="1"/>
  <c r="L19" i="36"/>
  <c r="L50" i="36" s="1"/>
  <c r="L52" i="36" s="1"/>
  <c r="M19" i="36"/>
  <c r="M52" i="36" s="1"/>
  <c r="AD19" i="37"/>
  <c r="AD50" i="37" s="1"/>
  <c r="U19" i="37"/>
  <c r="U52" i="37" s="1"/>
  <c r="Y19" i="37"/>
  <c r="Y50" i="37" s="1"/>
  <c r="R19" i="37"/>
  <c r="R52" i="37" s="1"/>
  <c r="N19" i="37"/>
  <c r="N50" i="37" s="1"/>
  <c r="N52" i="37" s="1"/>
  <c r="O19" i="37"/>
  <c r="O50" i="37" s="1"/>
  <c r="Z19" i="37"/>
  <c r="Z52" i="37" s="1"/>
  <c r="P19" i="37"/>
  <c r="P50" i="37" s="1"/>
  <c r="P52" i="37" s="1"/>
  <c r="X19" i="37"/>
  <c r="X52" i="37" s="1"/>
  <c r="AC19" i="37"/>
  <c r="AC50" i="37" s="1"/>
  <c r="T19" i="37"/>
  <c r="T52" i="37" s="1"/>
  <c r="AB19" i="37"/>
  <c r="AB52" i="37" s="1"/>
  <c r="AA19" i="37"/>
  <c r="AA52" i="37" s="1"/>
  <c r="M19" i="37"/>
  <c r="M52" i="37" s="1"/>
  <c r="K19" i="37"/>
  <c r="K50" i="37" s="1"/>
  <c r="K52" i="37" s="1"/>
  <c r="L19" i="37"/>
  <c r="L50" i="37" s="1"/>
  <c r="J19" i="37"/>
  <c r="J50" i="37" s="1"/>
  <c r="AD50" i="35"/>
  <c r="AA52" i="35"/>
  <c r="R50" i="35"/>
  <c r="AB50" i="35"/>
  <c r="S50" i="35"/>
  <c r="T52" i="35"/>
  <c r="L19" i="34"/>
  <c r="L50" i="34" s="1"/>
  <c r="M19" i="34"/>
  <c r="M50" i="34" s="1"/>
  <c r="M52" i="34" s="1"/>
  <c r="J19" i="34"/>
  <c r="J52" i="34" s="1"/>
  <c r="K19" i="36"/>
  <c r="K50" i="36" s="1"/>
  <c r="K52" i="36" s="1"/>
  <c r="J19" i="36"/>
  <c r="J50" i="36" s="1"/>
  <c r="N50" i="36"/>
  <c r="W50" i="37"/>
  <c r="W52" i="37"/>
  <c r="M12" i="37"/>
  <c r="N7" i="37"/>
  <c r="M13" i="37"/>
  <c r="M9" i="37"/>
  <c r="M11" i="37"/>
  <c r="M10" i="37"/>
  <c r="M8" i="37"/>
  <c r="V50" i="37"/>
  <c r="V52" i="37"/>
  <c r="M11" i="36"/>
  <c r="M9" i="36"/>
  <c r="M12" i="36"/>
  <c r="N7" i="36"/>
  <c r="M13" i="36"/>
  <c r="M10" i="36"/>
  <c r="M8" i="36"/>
  <c r="J50" i="35"/>
  <c r="J52" i="35"/>
  <c r="X50" i="35"/>
  <c r="X52" i="35"/>
  <c r="V50" i="35"/>
  <c r="V52" i="35"/>
  <c r="M10" i="35"/>
  <c r="M9" i="35"/>
  <c r="M8" i="35"/>
  <c r="M11" i="35"/>
  <c r="M13" i="35"/>
  <c r="N7" i="35"/>
  <c r="M12" i="35"/>
  <c r="Y50" i="35"/>
  <c r="Y52" i="35"/>
  <c r="Z50" i="35"/>
  <c r="Z52" i="35"/>
  <c r="O52" i="35"/>
  <c r="O50" i="35"/>
  <c r="U50" i="35"/>
  <c r="U52" i="35"/>
  <c r="W50" i="35"/>
  <c r="W52" i="35"/>
  <c r="N13" i="34"/>
  <c r="N10" i="34"/>
  <c r="N8" i="34"/>
  <c r="N11" i="34"/>
  <c r="O7" i="34"/>
  <c r="N12" i="34"/>
  <c r="N9" i="34"/>
  <c r="AB50" i="34"/>
  <c r="AB52" i="34"/>
  <c r="Q50" i="34"/>
  <c r="J20" i="31"/>
  <c r="E19" i="24"/>
  <c r="E19" i="30"/>
  <c r="E19" i="29"/>
  <c r="J52" i="41" l="1"/>
  <c r="F97" i="41"/>
  <c r="F99" i="41" s="1"/>
  <c r="V52" i="40"/>
  <c r="R52" i="40"/>
  <c r="Q52" i="37"/>
  <c r="M52" i="39"/>
  <c r="F97" i="39"/>
  <c r="N52" i="39"/>
  <c r="L52" i="39"/>
  <c r="N52" i="35"/>
  <c r="L52" i="35"/>
  <c r="T50" i="36"/>
  <c r="AC52" i="34"/>
  <c r="S52" i="34"/>
  <c r="AD52" i="36"/>
  <c r="AD52" i="34"/>
  <c r="AA52" i="34"/>
  <c r="X50" i="40"/>
  <c r="S52" i="40"/>
  <c r="U50" i="40"/>
  <c r="Y52" i="40"/>
  <c r="O50" i="40"/>
  <c r="T52" i="40"/>
  <c r="AC50" i="40"/>
  <c r="AA52" i="40"/>
  <c r="AD52" i="40"/>
  <c r="M52" i="40"/>
  <c r="Q50" i="40"/>
  <c r="N50" i="40"/>
  <c r="F97" i="40"/>
  <c r="F99" i="40" s="1"/>
  <c r="W52" i="40"/>
  <c r="J50" i="40"/>
  <c r="F100" i="39"/>
  <c r="C134" i="7" s="1"/>
  <c r="F99" i="39"/>
  <c r="C135" i="7"/>
  <c r="F99" i="38"/>
  <c r="B135" i="7"/>
  <c r="F100" i="38"/>
  <c r="B134" i="7" s="1"/>
  <c r="F101" i="38"/>
  <c r="B136" i="7" s="1"/>
  <c r="O10" i="41"/>
  <c r="O8" i="41"/>
  <c r="O11" i="41"/>
  <c r="O12" i="41"/>
  <c r="P7" i="41"/>
  <c r="O13" i="41"/>
  <c r="O9" i="41"/>
  <c r="F100" i="41"/>
  <c r="E134" i="7" s="1"/>
  <c r="F101" i="41"/>
  <c r="E136" i="7" s="1"/>
  <c r="N12" i="40"/>
  <c r="O7" i="40"/>
  <c r="N13" i="40"/>
  <c r="N9" i="40"/>
  <c r="N8" i="40"/>
  <c r="N10" i="40"/>
  <c r="N11" i="40"/>
  <c r="N10" i="39"/>
  <c r="N8" i="39"/>
  <c r="N11" i="39"/>
  <c r="N12" i="39"/>
  <c r="O7" i="39"/>
  <c r="N13" i="39"/>
  <c r="N9" i="39"/>
  <c r="N13" i="38"/>
  <c r="N9" i="38"/>
  <c r="N8" i="38"/>
  <c r="N11" i="38"/>
  <c r="N10" i="38"/>
  <c r="N12" i="38"/>
  <c r="O7" i="38"/>
  <c r="V52" i="34"/>
  <c r="Z52" i="34"/>
  <c r="Y52" i="34"/>
  <c r="T52" i="34"/>
  <c r="U50" i="34"/>
  <c r="W52" i="34"/>
  <c r="P50" i="35"/>
  <c r="M50" i="35"/>
  <c r="F97" i="35"/>
  <c r="F99" i="35" s="1"/>
  <c r="S50" i="36"/>
  <c r="O52" i="36"/>
  <c r="U52" i="36"/>
  <c r="S50" i="37"/>
  <c r="AD52" i="37"/>
  <c r="U50" i="37"/>
  <c r="Y52" i="37"/>
  <c r="R52" i="34"/>
  <c r="X50" i="34"/>
  <c r="O52" i="34"/>
  <c r="AA52" i="36"/>
  <c r="X52" i="36"/>
  <c r="Z50" i="36"/>
  <c r="V50" i="36"/>
  <c r="W50" i="36"/>
  <c r="Y52" i="36"/>
  <c r="Q52" i="36"/>
  <c r="AB50" i="36"/>
  <c r="R50" i="36"/>
  <c r="M50" i="36"/>
  <c r="AC52" i="36"/>
  <c r="Z50" i="37"/>
  <c r="O52" i="37"/>
  <c r="R50" i="37"/>
  <c r="X50" i="37"/>
  <c r="AC52" i="37"/>
  <c r="T50" i="37"/>
  <c r="AA50" i="37"/>
  <c r="M50" i="37"/>
  <c r="AB50" i="37"/>
  <c r="L52" i="37"/>
  <c r="F97" i="37"/>
  <c r="E116" i="7" s="1"/>
  <c r="J52" i="37"/>
  <c r="L52" i="34"/>
  <c r="F97" i="34"/>
  <c r="J50" i="34"/>
  <c r="F97" i="36"/>
  <c r="J52" i="36"/>
  <c r="N12" i="37"/>
  <c r="N13" i="37"/>
  <c r="N9" i="37"/>
  <c r="N8" i="37"/>
  <c r="N10" i="37"/>
  <c r="O7" i="37"/>
  <c r="N11" i="37"/>
  <c r="N10" i="36"/>
  <c r="N12" i="36"/>
  <c r="O7" i="36"/>
  <c r="N13" i="36"/>
  <c r="N9" i="36"/>
  <c r="N8" i="36"/>
  <c r="N11" i="36"/>
  <c r="F101" i="35"/>
  <c r="C117" i="7" s="1"/>
  <c r="N10" i="35"/>
  <c r="N8" i="35"/>
  <c r="N9" i="35"/>
  <c r="N11" i="35"/>
  <c r="O7" i="35"/>
  <c r="N13" i="35"/>
  <c r="N12" i="35"/>
  <c r="O13" i="34"/>
  <c r="O9" i="34"/>
  <c r="O10" i="34"/>
  <c r="O8" i="34"/>
  <c r="O11" i="34"/>
  <c r="O12" i="34"/>
  <c r="P7" i="34"/>
  <c r="F98" i="33"/>
  <c r="C41" i="33"/>
  <c r="E19" i="33"/>
  <c r="I295" i="33"/>
  <c r="H295" i="33"/>
  <c r="K292" i="33"/>
  <c r="J292" i="33"/>
  <c r="J289" i="33"/>
  <c r="I289" i="33"/>
  <c r="H286" i="33"/>
  <c r="G286" i="33"/>
  <c r="AT283" i="33"/>
  <c r="AS283" i="33"/>
  <c r="J283" i="33"/>
  <c r="I283" i="33"/>
  <c r="J280" i="33"/>
  <c r="I280" i="33"/>
  <c r="L277" i="33"/>
  <c r="K277" i="33"/>
  <c r="J274" i="33"/>
  <c r="I274" i="33"/>
  <c r="L271" i="33"/>
  <c r="K271" i="33"/>
  <c r="K268" i="33"/>
  <c r="J268" i="33"/>
  <c r="L265" i="33"/>
  <c r="K265" i="33"/>
  <c r="K262" i="33"/>
  <c r="J262" i="33"/>
  <c r="K259" i="33"/>
  <c r="J259" i="33"/>
  <c r="J256" i="33"/>
  <c r="I256" i="33"/>
  <c r="L253" i="33"/>
  <c r="K253" i="33"/>
  <c r="M250" i="33"/>
  <c r="L250" i="33"/>
  <c r="M247" i="33"/>
  <c r="L247" i="33"/>
  <c r="M244" i="33"/>
  <c r="L244" i="33"/>
  <c r="N241" i="33"/>
  <c r="M241" i="33"/>
  <c r="I238" i="33"/>
  <c r="H238" i="33"/>
  <c r="K235" i="33"/>
  <c r="J235" i="33"/>
  <c r="J232" i="33"/>
  <c r="I232" i="33"/>
  <c r="J229" i="33"/>
  <c r="I229" i="33"/>
  <c r="J226" i="33"/>
  <c r="I226" i="33"/>
  <c r="G223" i="33"/>
  <c r="F223" i="33"/>
  <c r="I220" i="33"/>
  <c r="H220" i="33"/>
  <c r="I217" i="33"/>
  <c r="H217" i="33"/>
  <c r="H214" i="33"/>
  <c r="G214" i="33"/>
  <c r="L211" i="33"/>
  <c r="K211" i="33"/>
  <c r="K208" i="33"/>
  <c r="J208" i="33"/>
  <c r="J205" i="33"/>
  <c r="I205" i="33"/>
  <c r="L202" i="33"/>
  <c r="K202" i="33"/>
  <c r="N199" i="33"/>
  <c r="M199" i="33"/>
  <c r="K196" i="33"/>
  <c r="J196" i="33"/>
  <c r="AW193" i="33"/>
  <c r="K193" i="33"/>
  <c r="J193" i="33"/>
  <c r="K190" i="33"/>
  <c r="J190" i="33"/>
  <c r="J187" i="33"/>
  <c r="I187" i="33"/>
  <c r="J184" i="33"/>
  <c r="I184" i="33"/>
  <c r="K181" i="33"/>
  <c r="J181" i="33"/>
  <c r="K178" i="33"/>
  <c r="J178" i="33"/>
  <c r="I175" i="33"/>
  <c r="H175" i="33"/>
  <c r="K172" i="33"/>
  <c r="J172" i="33"/>
  <c r="G169" i="33"/>
  <c r="X129" i="33"/>
  <c r="W129" i="33"/>
  <c r="V129" i="33"/>
  <c r="U129" i="33"/>
  <c r="X128" i="33"/>
  <c r="W128" i="33"/>
  <c r="V128" i="33"/>
  <c r="U128" i="33"/>
  <c r="X127" i="33"/>
  <c r="W127" i="33"/>
  <c r="V127" i="33"/>
  <c r="U127" i="33"/>
  <c r="X126" i="33"/>
  <c r="W126" i="33"/>
  <c r="V126" i="33"/>
  <c r="U126" i="33"/>
  <c r="X125" i="33"/>
  <c r="W125" i="33"/>
  <c r="V125" i="33"/>
  <c r="U125" i="33"/>
  <c r="X124" i="33"/>
  <c r="W124" i="33"/>
  <c r="V124" i="33"/>
  <c r="U124" i="33"/>
  <c r="X123" i="33"/>
  <c r="W123" i="33"/>
  <c r="V123" i="33"/>
  <c r="U123" i="33"/>
  <c r="X122" i="33"/>
  <c r="W122" i="33"/>
  <c r="V122" i="33"/>
  <c r="U122" i="33"/>
  <c r="X121" i="33"/>
  <c r="W121" i="33"/>
  <c r="V121" i="33"/>
  <c r="U121" i="33"/>
  <c r="X120" i="33"/>
  <c r="W120" i="33"/>
  <c r="V120" i="33"/>
  <c r="U120" i="33"/>
  <c r="X119" i="33"/>
  <c r="W119" i="33"/>
  <c r="V119" i="33"/>
  <c r="U119" i="33"/>
  <c r="X118" i="33"/>
  <c r="W118" i="33"/>
  <c r="V118" i="33"/>
  <c r="U118" i="33"/>
  <c r="X117" i="33"/>
  <c r="V117" i="33"/>
  <c r="U117" i="33"/>
  <c r="X116" i="33"/>
  <c r="V116" i="33"/>
  <c r="U116" i="33"/>
  <c r="X115" i="33"/>
  <c r="W115" i="33"/>
  <c r="V115" i="33"/>
  <c r="H98" i="33"/>
  <c r="J97" i="33"/>
  <c r="H97" i="33"/>
  <c r="F96" i="33"/>
  <c r="E96" i="33"/>
  <c r="D19" i="33" s="1"/>
  <c r="F95" i="33"/>
  <c r="E95" i="33"/>
  <c r="F94" i="33"/>
  <c r="E94" i="33"/>
  <c r="F93" i="33"/>
  <c r="E93" i="33"/>
  <c r="F92" i="33"/>
  <c r="E92" i="33"/>
  <c r="F91" i="33"/>
  <c r="E91" i="33"/>
  <c r="F90" i="33"/>
  <c r="E90" i="33"/>
  <c r="F89" i="33"/>
  <c r="E89" i="33"/>
  <c r="F88" i="33"/>
  <c r="E88" i="33"/>
  <c r="F87" i="33"/>
  <c r="E87" i="33"/>
  <c r="C86" i="33"/>
  <c r="S68" i="33"/>
  <c r="R68" i="33"/>
  <c r="Q68" i="33"/>
  <c r="P68" i="33"/>
  <c r="Y67" i="33"/>
  <c r="X67" i="33"/>
  <c r="W67" i="33"/>
  <c r="V67" i="33"/>
  <c r="S67" i="33"/>
  <c r="R67" i="33"/>
  <c r="Q67" i="33"/>
  <c r="P67" i="33"/>
  <c r="Y66" i="33"/>
  <c r="X66" i="33"/>
  <c r="W66" i="33"/>
  <c r="V66" i="33"/>
  <c r="S66" i="33"/>
  <c r="R66" i="33"/>
  <c r="Q66" i="33"/>
  <c r="P66" i="33"/>
  <c r="L63" i="33"/>
  <c r="K63" i="33"/>
  <c r="J63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AD37" i="33"/>
  <c r="AC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P37" i="33"/>
  <c r="O37" i="33"/>
  <c r="N37" i="33"/>
  <c r="M37" i="33"/>
  <c r="L37" i="33"/>
  <c r="K37" i="33"/>
  <c r="J37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AD35" i="33"/>
  <c r="AC35" i="33"/>
  <c r="AB35" i="33"/>
  <c r="AA35" i="33"/>
  <c r="Z35" i="33"/>
  <c r="Y35" i="33"/>
  <c r="X35" i="33"/>
  <c r="W35" i="33"/>
  <c r="V35" i="33"/>
  <c r="U35" i="33"/>
  <c r="T35" i="33"/>
  <c r="S35" i="33"/>
  <c r="R35" i="33"/>
  <c r="Q35" i="33"/>
  <c r="P35" i="33"/>
  <c r="O35" i="33"/>
  <c r="N35" i="33"/>
  <c r="M35" i="33"/>
  <c r="L35" i="33"/>
  <c r="K35" i="33"/>
  <c r="J35" i="33"/>
  <c r="AD32" i="33"/>
  <c r="AA32" i="33"/>
  <c r="R32" i="33"/>
  <c r="O32" i="33"/>
  <c r="L20" i="33"/>
  <c r="K20" i="33"/>
  <c r="J20" i="33"/>
  <c r="D20" i="33"/>
  <c r="L64" i="33" s="1"/>
  <c r="D18" i="33"/>
  <c r="D17" i="33"/>
  <c r="D16" i="33"/>
  <c r="F15" i="33"/>
  <c r="Y64" i="33" s="1"/>
  <c r="D15" i="33"/>
  <c r="D14" i="33"/>
  <c r="K13" i="33"/>
  <c r="J13" i="33"/>
  <c r="D13" i="33"/>
  <c r="AD12" i="33"/>
  <c r="AC12" i="33"/>
  <c r="AB12" i="33"/>
  <c r="AA12" i="33"/>
  <c r="K12" i="33"/>
  <c r="J12" i="33"/>
  <c r="D12" i="33"/>
  <c r="AD11" i="33"/>
  <c r="AC11" i="33"/>
  <c r="AB11" i="33"/>
  <c r="AA11" i="33"/>
  <c r="J11" i="33"/>
  <c r="D11" i="33"/>
  <c r="J10" i="33"/>
  <c r="D10" i="33"/>
  <c r="AD9" i="33"/>
  <c r="K9" i="33"/>
  <c r="J9" i="33"/>
  <c r="F9" i="33"/>
  <c r="F13" i="33" s="1"/>
  <c r="D9" i="33"/>
  <c r="Y32" i="33" s="1"/>
  <c r="J8" i="33"/>
  <c r="C8" i="33"/>
  <c r="L7" i="33"/>
  <c r="L10" i="33" s="1"/>
  <c r="K7" i="33"/>
  <c r="K10" i="33" s="1"/>
  <c r="C7" i="33"/>
  <c r="D7" i="33" s="1"/>
  <c r="C6" i="33"/>
  <c r="C5" i="33"/>
  <c r="C4" i="33"/>
  <c r="C3" i="33"/>
  <c r="I295" i="32"/>
  <c r="H295" i="32"/>
  <c r="K292" i="32"/>
  <c r="J292" i="32"/>
  <c r="J289" i="32"/>
  <c r="I289" i="32"/>
  <c r="H286" i="32"/>
  <c r="G286" i="32"/>
  <c r="AT283" i="32"/>
  <c r="AS283" i="32"/>
  <c r="J283" i="32"/>
  <c r="I283" i="32"/>
  <c r="J280" i="32"/>
  <c r="I280" i="32"/>
  <c r="L277" i="32"/>
  <c r="K277" i="32"/>
  <c r="J274" i="32"/>
  <c r="I274" i="32"/>
  <c r="L271" i="32"/>
  <c r="K271" i="32"/>
  <c r="K268" i="32"/>
  <c r="J268" i="32"/>
  <c r="L265" i="32"/>
  <c r="K265" i="32"/>
  <c r="K262" i="32"/>
  <c r="J262" i="32"/>
  <c r="K259" i="32"/>
  <c r="J259" i="32"/>
  <c r="J256" i="32"/>
  <c r="I256" i="32"/>
  <c r="L253" i="32"/>
  <c r="K253" i="32"/>
  <c r="M250" i="32"/>
  <c r="L250" i="32"/>
  <c r="M247" i="32"/>
  <c r="L247" i="32"/>
  <c r="M244" i="32"/>
  <c r="L244" i="32"/>
  <c r="N241" i="32"/>
  <c r="M241" i="32"/>
  <c r="I238" i="32"/>
  <c r="H238" i="32"/>
  <c r="K235" i="32"/>
  <c r="J235" i="32"/>
  <c r="J232" i="32"/>
  <c r="I232" i="32"/>
  <c r="J229" i="32"/>
  <c r="I229" i="32"/>
  <c r="J226" i="32"/>
  <c r="I226" i="32"/>
  <c r="G223" i="32"/>
  <c r="F223" i="32"/>
  <c r="I220" i="32"/>
  <c r="H220" i="32"/>
  <c r="I217" i="32"/>
  <c r="H217" i="32"/>
  <c r="H214" i="32"/>
  <c r="G214" i="32"/>
  <c r="L211" i="32"/>
  <c r="K211" i="32"/>
  <c r="K208" i="32"/>
  <c r="J208" i="32"/>
  <c r="J205" i="32"/>
  <c r="I205" i="32"/>
  <c r="L202" i="32"/>
  <c r="K202" i="32"/>
  <c r="N199" i="32"/>
  <c r="M199" i="32"/>
  <c r="K196" i="32"/>
  <c r="J196" i="32"/>
  <c r="AW193" i="32"/>
  <c r="K193" i="32"/>
  <c r="J193" i="32"/>
  <c r="K190" i="32"/>
  <c r="J190" i="32"/>
  <c r="J187" i="32"/>
  <c r="I187" i="32"/>
  <c r="J184" i="32"/>
  <c r="I184" i="32"/>
  <c r="K181" i="32"/>
  <c r="J181" i="32"/>
  <c r="K178" i="32"/>
  <c r="J178" i="32"/>
  <c r="I175" i="32"/>
  <c r="H175" i="32"/>
  <c r="K172" i="32"/>
  <c r="J172" i="32"/>
  <c r="G169" i="32"/>
  <c r="X129" i="32"/>
  <c r="W129" i="32"/>
  <c r="V129" i="32"/>
  <c r="U129" i="32"/>
  <c r="X128" i="32"/>
  <c r="W128" i="32"/>
  <c r="V128" i="32"/>
  <c r="U128" i="32"/>
  <c r="X127" i="32"/>
  <c r="W127" i="32"/>
  <c r="V127" i="32"/>
  <c r="U127" i="32"/>
  <c r="X126" i="32"/>
  <c r="W126" i="32"/>
  <c r="V126" i="32"/>
  <c r="U126" i="32"/>
  <c r="X125" i="32"/>
  <c r="W125" i="32"/>
  <c r="V125" i="32"/>
  <c r="U125" i="32"/>
  <c r="X124" i="32"/>
  <c r="W124" i="32"/>
  <c r="V124" i="32"/>
  <c r="U124" i="32"/>
  <c r="X123" i="32"/>
  <c r="W123" i="32"/>
  <c r="V123" i="32"/>
  <c r="U123" i="32"/>
  <c r="X122" i="32"/>
  <c r="W122" i="32"/>
  <c r="V122" i="32"/>
  <c r="U122" i="32"/>
  <c r="X121" i="32"/>
  <c r="W121" i="32"/>
  <c r="V121" i="32"/>
  <c r="U121" i="32"/>
  <c r="X120" i="32"/>
  <c r="W120" i="32"/>
  <c r="V120" i="32"/>
  <c r="U120" i="32"/>
  <c r="X119" i="32"/>
  <c r="W119" i="32"/>
  <c r="V119" i="32"/>
  <c r="U119" i="32"/>
  <c r="X118" i="32"/>
  <c r="W118" i="32"/>
  <c r="V118" i="32"/>
  <c r="U118" i="32"/>
  <c r="X117" i="32"/>
  <c r="V117" i="32"/>
  <c r="U117" i="32"/>
  <c r="X116" i="32"/>
  <c r="V116" i="32"/>
  <c r="U116" i="32"/>
  <c r="X115" i="32"/>
  <c r="W115" i="32"/>
  <c r="V115" i="32"/>
  <c r="F98" i="32"/>
  <c r="J97" i="32"/>
  <c r="H97" i="32"/>
  <c r="H98" i="32" s="1"/>
  <c r="F96" i="32"/>
  <c r="E96" i="32"/>
  <c r="F95" i="32"/>
  <c r="E95" i="32"/>
  <c r="F94" i="32"/>
  <c r="E94" i="32"/>
  <c r="F93" i="32"/>
  <c r="E93" i="32"/>
  <c r="D6" i="32" s="1"/>
  <c r="F92" i="32"/>
  <c r="E92" i="32"/>
  <c r="F91" i="32"/>
  <c r="E91" i="32"/>
  <c r="F90" i="32"/>
  <c r="E90" i="32"/>
  <c r="F89" i="32"/>
  <c r="E89" i="32"/>
  <c r="F88" i="32"/>
  <c r="E88" i="32"/>
  <c r="F87" i="32"/>
  <c r="E87" i="32"/>
  <c r="C86" i="32"/>
  <c r="S68" i="32"/>
  <c r="R68" i="32"/>
  <c r="Q68" i="32"/>
  <c r="P68" i="32"/>
  <c r="Y67" i="32"/>
  <c r="X67" i="32"/>
  <c r="W67" i="32"/>
  <c r="V67" i="32"/>
  <c r="S67" i="32"/>
  <c r="R67" i="32"/>
  <c r="Q67" i="32"/>
  <c r="P67" i="32"/>
  <c r="Y66" i="32"/>
  <c r="X66" i="32"/>
  <c r="W66" i="32"/>
  <c r="V66" i="32"/>
  <c r="S66" i="32"/>
  <c r="R66" i="32"/>
  <c r="Q66" i="32"/>
  <c r="P66" i="32"/>
  <c r="L63" i="32"/>
  <c r="K63" i="32"/>
  <c r="J63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AC32" i="32"/>
  <c r="AB32" i="32"/>
  <c r="AA32" i="32"/>
  <c r="Q32" i="32"/>
  <c r="P32" i="32"/>
  <c r="O32" i="32"/>
  <c r="K20" i="32"/>
  <c r="J20" i="32"/>
  <c r="D20" i="32"/>
  <c r="J64" i="32" s="1"/>
  <c r="E19" i="32"/>
  <c r="D19" i="32"/>
  <c r="D18" i="32"/>
  <c r="D17" i="32"/>
  <c r="D16" i="32"/>
  <c r="F15" i="32"/>
  <c r="Y64" i="32" s="1"/>
  <c r="D15" i="32"/>
  <c r="D14" i="32"/>
  <c r="K13" i="32"/>
  <c r="J13" i="32"/>
  <c r="D13" i="32"/>
  <c r="AD12" i="32"/>
  <c r="AC12" i="32"/>
  <c r="AB12" i="32"/>
  <c r="AA12" i="32"/>
  <c r="J12" i="32"/>
  <c r="D12" i="32"/>
  <c r="AD11" i="32"/>
  <c r="AC11" i="32"/>
  <c r="AB11" i="32"/>
  <c r="AA11" i="32"/>
  <c r="J11" i="32"/>
  <c r="D11" i="32"/>
  <c r="J10" i="32"/>
  <c r="D10" i="32"/>
  <c r="AD9" i="32"/>
  <c r="AC9" i="32"/>
  <c r="AB9" i="32"/>
  <c r="K9" i="32"/>
  <c r="J9" i="32"/>
  <c r="F9" i="32"/>
  <c r="F10" i="32" s="1"/>
  <c r="D9" i="32"/>
  <c r="Y32" i="32" s="1"/>
  <c r="J8" i="32"/>
  <c r="C8" i="32"/>
  <c r="K7" i="32"/>
  <c r="K10" i="32" s="1"/>
  <c r="C7" i="32"/>
  <c r="C6" i="32"/>
  <c r="C5" i="32"/>
  <c r="C4" i="32"/>
  <c r="D4" i="32" s="1"/>
  <c r="C3" i="32"/>
  <c r="D3" i="32" s="1"/>
  <c r="I295" i="31"/>
  <c r="H295" i="31"/>
  <c r="K292" i="31"/>
  <c r="J292" i="31"/>
  <c r="J289" i="31"/>
  <c r="I289" i="31"/>
  <c r="H286" i="31"/>
  <c r="G286" i="31"/>
  <c r="AT283" i="31"/>
  <c r="AS283" i="31"/>
  <c r="J283" i="31"/>
  <c r="I283" i="31"/>
  <c r="J280" i="31"/>
  <c r="I280" i="31"/>
  <c r="L277" i="31"/>
  <c r="K277" i="31"/>
  <c r="J274" i="31"/>
  <c r="I274" i="31"/>
  <c r="L271" i="31"/>
  <c r="K271" i="31"/>
  <c r="K268" i="31"/>
  <c r="J268" i="31"/>
  <c r="L265" i="31"/>
  <c r="K265" i="31"/>
  <c r="K262" i="31"/>
  <c r="J262" i="31"/>
  <c r="K259" i="31"/>
  <c r="J259" i="31"/>
  <c r="J256" i="31"/>
  <c r="I256" i="31"/>
  <c r="L253" i="31"/>
  <c r="K253" i="31"/>
  <c r="M250" i="31"/>
  <c r="L250" i="31"/>
  <c r="M247" i="31"/>
  <c r="L247" i="31"/>
  <c r="M244" i="31"/>
  <c r="L244" i="31"/>
  <c r="N241" i="31"/>
  <c r="M241" i="31"/>
  <c r="I238" i="31"/>
  <c r="H238" i="31"/>
  <c r="K235" i="31"/>
  <c r="J235" i="31"/>
  <c r="J232" i="31"/>
  <c r="I232" i="31"/>
  <c r="J229" i="31"/>
  <c r="I229" i="31"/>
  <c r="J226" i="31"/>
  <c r="I226" i="31"/>
  <c r="G223" i="31"/>
  <c r="F223" i="31"/>
  <c r="I220" i="31"/>
  <c r="H220" i="31"/>
  <c r="I217" i="31"/>
  <c r="H217" i="31"/>
  <c r="H214" i="31"/>
  <c r="G214" i="31"/>
  <c r="L211" i="31"/>
  <c r="K211" i="31"/>
  <c r="K208" i="31"/>
  <c r="J208" i="31"/>
  <c r="J205" i="31"/>
  <c r="I205" i="31"/>
  <c r="L202" i="31"/>
  <c r="K202" i="31"/>
  <c r="N199" i="31"/>
  <c r="M199" i="31"/>
  <c r="K196" i="31"/>
  <c r="J196" i="31"/>
  <c r="AW193" i="31"/>
  <c r="K193" i="31"/>
  <c r="J193" i="31"/>
  <c r="K190" i="31"/>
  <c r="J190" i="31"/>
  <c r="J187" i="31"/>
  <c r="I187" i="31"/>
  <c r="J184" i="31"/>
  <c r="I184" i="31"/>
  <c r="K181" i="31"/>
  <c r="J181" i="31"/>
  <c r="K178" i="31"/>
  <c r="J178" i="31"/>
  <c r="I175" i="31"/>
  <c r="H175" i="31"/>
  <c r="K172" i="31"/>
  <c r="J172" i="31"/>
  <c r="G169" i="31"/>
  <c r="X129" i="31"/>
  <c r="W129" i="31"/>
  <c r="V129" i="31"/>
  <c r="U129" i="31"/>
  <c r="X128" i="31"/>
  <c r="W128" i="31"/>
  <c r="V128" i="31"/>
  <c r="U128" i="31"/>
  <c r="X127" i="31"/>
  <c r="W127" i="31"/>
  <c r="V127" i="31"/>
  <c r="U127" i="31"/>
  <c r="X126" i="31"/>
  <c r="W126" i="31"/>
  <c r="V126" i="31"/>
  <c r="U126" i="31"/>
  <c r="X125" i="31"/>
  <c r="W125" i="31"/>
  <c r="V125" i="31"/>
  <c r="U125" i="31"/>
  <c r="X124" i="31"/>
  <c r="W124" i="31"/>
  <c r="V124" i="31"/>
  <c r="U124" i="31"/>
  <c r="X123" i="31"/>
  <c r="W123" i="31"/>
  <c r="V123" i="31"/>
  <c r="U123" i="31"/>
  <c r="X122" i="31"/>
  <c r="W122" i="31"/>
  <c r="V122" i="31"/>
  <c r="U122" i="31"/>
  <c r="X121" i="31"/>
  <c r="W121" i="31"/>
  <c r="V121" i="31"/>
  <c r="U121" i="31"/>
  <c r="X120" i="31"/>
  <c r="W120" i="31"/>
  <c r="V120" i="31"/>
  <c r="U120" i="31"/>
  <c r="X119" i="31"/>
  <c r="W119" i="31"/>
  <c r="V119" i="31"/>
  <c r="U119" i="31"/>
  <c r="X118" i="31"/>
  <c r="W118" i="31"/>
  <c r="V118" i="31"/>
  <c r="U118" i="31"/>
  <c r="X117" i="31"/>
  <c r="V117" i="31"/>
  <c r="U117" i="31"/>
  <c r="X116" i="31"/>
  <c r="V116" i="31"/>
  <c r="U116" i="31"/>
  <c r="X115" i="31"/>
  <c r="W115" i="31"/>
  <c r="V115" i="31"/>
  <c r="J97" i="31"/>
  <c r="J98" i="31" s="1"/>
  <c r="H97" i="31"/>
  <c r="H98" i="31" s="1"/>
  <c r="F96" i="31"/>
  <c r="E96" i="31"/>
  <c r="F95" i="31"/>
  <c r="E95" i="31"/>
  <c r="F94" i="31"/>
  <c r="E94" i="31"/>
  <c r="D7" i="31" s="1"/>
  <c r="AD34" i="31" s="1"/>
  <c r="F93" i="31"/>
  <c r="E93" i="31"/>
  <c r="F92" i="31"/>
  <c r="E92" i="31"/>
  <c r="F91" i="31"/>
  <c r="E91" i="31"/>
  <c r="F90" i="31"/>
  <c r="E90" i="31"/>
  <c r="F89" i="31"/>
  <c r="E89" i="31"/>
  <c r="F88" i="31"/>
  <c r="E88" i="31"/>
  <c r="F87" i="31"/>
  <c r="E87" i="31"/>
  <c r="C86" i="31"/>
  <c r="S68" i="31"/>
  <c r="R68" i="31"/>
  <c r="Q68" i="31"/>
  <c r="P68" i="31"/>
  <c r="Y67" i="31"/>
  <c r="X67" i="31"/>
  <c r="W67" i="31"/>
  <c r="V67" i="31"/>
  <c r="S67" i="31"/>
  <c r="R67" i="31"/>
  <c r="Q67" i="31"/>
  <c r="P67" i="31"/>
  <c r="Y66" i="31"/>
  <c r="X66" i="31"/>
  <c r="W66" i="31"/>
  <c r="V66" i="31"/>
  <c r="S66" i="31"/>
  <c r="R66" i="31"/>
  <c r="Q66" i="31"/>
  <c r="P66" i="31"/>
  <c r="L63" i="31"/>
  <c r="K63" i="31"/>
  <c r="J63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AD35" i="31"/>
  <c r="AC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Y32" i="31"/>
  <c r="M32" i="31"/>
  <c r="D20" i="31"/>
  <c r="L64" i="31" s="1"/>
  <c r="D19" i="31"/>
  <c r="D18" i="31"/>
  <c r="D17" i="31"/>
  <c r="D16" i="31"/>
  <c r="F15" i="31"/>
  <c r="Y64" i="31" s="1"/>
  <c r="D15" i="31"/>
  <c r="D14" i="31"/>
  <c r="J13" i="31"/>
  <c r="D13" i="31"/>
  <c r="AD12" i="31"/>
  <c r="AC12" i="31"/>
  <c r="AB12" i="31"/>
  <c r="AA12" i="31"/>
  <c r="J12" i="31"/>
  <c r="D12" i="31"/>
  <c r="AD11" i="31"/>
  <c r="AC11" i="31"/>
  <c r="AB11" i="31"/>
  <c r="AA11" i="31"/>
  <c r="K11" i="31"/>
  <c r="J11" i="31"/>
  <c r="D11" i="31"/>
  <c r="J10" i="31"/>
  <c r="D10" i="31"/>
  <c r="AD9" i="31"/>
  <c r="AC9" i="31"/>
  <c r="AB9" i="31"/>
  <c r="AA9" i="31"/>
  <c r="J9" i="31"/>
  <c r="F9" i="31"/>
  <c r="F11" i="31" s="1"/>
  <c r="D9" i="31"/>
  <c r="X32" i="31" s="1"/>
  <c r="J8" i="31"/>
  <c r="C8" i="31"/>
  <c r="K7" i="31"/>
  <c r="K12" i="31" s="1"/>
  <c r="C7" i="31"/>
  <c r="C6" i="31"/>
  <c r="D6" i="31" s="1"/>
  <c r="C5" i="31"/>
  <c r="D5" i="31" s="1"/>
  <c r="C4" i="31"/>
  <c r="D4" i="31" s="1"/>
  <c r="C3" i="31"/>
  <c r="D3" i="31" s="1"/>
  <c r="I295" i="30"/>
  <c r="H295" i="30"/>
  <c r="K292" i="30"/>
  <c r="J292" i="30"/>
  <c r="J289" i="30"/>
  <c r="I289" i="30"/>
  <c r="H286" i="30"/>
  <c r="G286" i="30"/>
  <c r="AT283" i="30"/>
  <c r="AS283" i="30"/>
  <c r="J283" i="30"/>
  <c r="I283" i="30"/>
  <c r="J280" i="30"/>
  <c r="I280" i="30"/>
  <c r="L277" i="30"/>
  <c r="K277" i="30"/>
  <c r="J274" i="30"/>
  <c r="I274" i="30"/>
  <c r="L271" i="30"/>
  <c r="K271" i="30"/>
  <c r="K268" i="30"/>
  <c r="J268" i="30"/>
  <c r="L265" i="30"/>
  <c r="K265" i="30"/>
  <c r="K262" i="30"/>
  <c r="J262" i="30"/>
  <c r="K259" i="30"/>
  <c r="J259" i="30"/>
  <c r="J256" i="30"/>
  <c r="I256" i="30"/>
  <c r="L253" i="30"/>
  <c r="K253" i="30"/>
  <c r="M250" i="30"/>
  <c r="L250" i="30"/>
  <c r="M247" i="30"/>
  <c r="L247" i="30"/>
  <c r="M244" i="30"/>
  <c r="L244" i="30"/>
  <c r="N241" i="30"/>
  <c r="M241" i="30"/>
  <c r="I238" i="30"/>
  <c r="H238" i="30"/>
  <c r="K235" i="30"/>
  <c r="J235" i="30"/>
  <c r="J232" i="30"/>
  <c r="I232" i="30"/>
  <c r="J229" i="30"/>
  <c r="I229" i="30"/>
  <c r="J226" i="30"/>
  <c r="I226" i="30"/>
  <c r="G223" i="30"/>
  <c r="F223" i="30"/>
  <c r="I220" i="30"/>
  <c r="H220" i="30"/>
  <c r="I217" i="30"/>
  <c r="H217" i="30"/>
  <c r="H214" i="30"/>
  <c r="G214" i="30"/>
  <c r="L211" i="30"/>
  <c r="K211" i="30"/>
  <c r="K208" i="30"/>
  <c r="J208" i="30"/>
  <c r="J205" i="30"/>
  <c r="I205" i="30"/>
  <c r="L202" i="30"/>
  <c r="K202" i="30"/>
  <c r="N199" i="30"/>
  <c r="M199" i="30"/>
  <c r="K196" i="30"/>
  <c r="J196" i="30"/>
  <c r="AW193" i="30"/>
  <c r="K193" i="30"/>
  <c r="J193" i="30"/>
  <c r="K190" i="30"/>
  <c r="J190" i="30"/>
  <c r="J187" i="30"/>
  <c r="I187" i="30"/>
  <c r="J184" i="30"/>
  <c r="I184" i="30"/>
  <c r="K181" i="30"/>
  <c r="J181" i="30"/>
  <c r="K178" i="30"/>
  <c r="J178" i="30"/>
  <c r="I175" i="30"/>
  <c r="H175" i="30"/>
  <c r="K172" i="30"/>
  <c r="J172" i="30"/>
  <c r="G169" i="30"/>
  <c r="X129" i="30"/>
  <c r="W129" i="30"/>
  <c r="V129" i="30"/>
  <c r="U129" i="30"/>
  <c r="X128" i="30"/>
  <c r="W128" i="30"/>
  <c r="V128" i="30"/>
  <c r="U128" i="30"/>
  <c r="X127" i="30"/>
  <c r="W127" i="30"/>
  <c r="V127" i="30"/>
  <c r="U127" i="30"/>
  <c r="X126" i="30"/>
  <c r="W126" i="30"/>
  <c r="V126" i="30"/>
  <c r="U126" i="30"/>
  <c r="X125" i="30"/>
  <c r="W125" i="30"/>
  <c r="V125" i="30"/>
  <c r="U125" i="30"/>
  <c r="X124" i="30"/>
  <c r="W124" i="30"/>
  <c r="V124" i="30"/>
  <c r="U124" i="30"/>
  <c r="X123" i="30"/>
  <c r="W123" i="30"/>
  <c r="V123" i="30"/>
  <c r="U123" i="30"/>
  <c r="X122" i="30"/>
  <c r="W122" i="30"/>
  <c r="V122" i="30"/>
  <c r="U122" i="30"/>
  <c r="X121" i="30"/>
  <c r="W121" i="30"/>
  <c r="V121" i="30"/>
  <c r="U121" i="30"/>
  <c r="X120" i="30"/>
  <c r="W120" i="30"/>
  <c r="V120" i="30"/>
  <c r="U120" i="30"/>
  <c r="X119" i="30"/>
  <c r="W119" i="30"/>
  <c r="V119" i="30"/>
  <c r="U119" i="30"/>
  <c r="X118" i="30"/>
  <c r="W118" i="30"/>
  <c r="V118" i="30"/>
  <c r="U118" i="30"/>
  <c r="X117" i="30"/>
  <c r="V117" i="30"/>
  <c r="U117" i="30"/>
  <c r="X116" i="30"/>
  <c r="V116" i="30"/>
  <c r="U116" i="30"/>
  <c r="X115" i="30"/>
  <c r="W115" i="30"/>
  <c r="V115" i="30"/>
  <c r="J97" i="30"/>
  <c r="H97" i="30"/>
  <c r="H98" i="30" s="1"/>
  <c r="F96" i="30"/>
  <c r="E96" i="30"/>
  <c r="F95" i="30"/>
  <c r="E95" i="30"/>
  <c r="F94" i="30"/>
  <c r="E94" i="30"/>
  <c r="F93" i="30"/>
  <c r="E93" i="30"/>
  <c r="F92" i="30"/>
  <c r="E92" i="30"/>
  <c r="F91" i="30"/>
  <c r="E91" i="30"/>
  <c r="F90" i="30"/>
  <c r="E90" i="30"/>
  <c r="F89" i="30"/>
  <c r="E89" i="30"/>
  <c r="F88" i="30"/>
  <c r="E88" i="30"/>
  <c r="F87" i="30"/>
  <c r="E87" i="30"/>
  <c r="C86" i="30"/>
  <c r="S68" i="30"/>
  <c r="R68" i="30"/>
  <c r="Q68" i="30"/>
  <c r="P68" i="30"/>
  <c r="Y67" i="30"/>
  <c r="X67" i="30"/>
  <c r="W67" i="30"/>
  <c r="V67" i="30"/>
  <c r="S67" i="30"/>
  <c r="R67" i="30"/>
  <c r="Q67" i="30"/>
  <c r="P67" i="30"/>
  <c r="Y66" i="30"/>
  <c r="X66" i="30"/>
  <c r="W66" i="30"/>
  <c r="V66" i="30"/>
  <c r="S66" i="30"/>
  <c r="R66" i="30"/>
  <c r="Q66" i="30"/>
  <c r="P66" i="30"/>
  <c r="L63" i="30"/>
  <c r="K63" i="30"/>
  <c r="J63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2" i="30"/>
  <c r="C41" i="30"/>
  <c r="AD37" i="30"/>
  <c r="AC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P37" i="30"/>
  <c r="O37" i="30"/>
  <c r="N37" i="30"/>
  <c r="M37" i="30"/>
  <c r="L37" i="30"/>
  <c r="K37" i="30"/>
  <c r="J37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AD35" i="30"/>
  <c r="AC35" i="30"/>
  <c r="AB35" i="30"/>
  <c r="AA35" i="30"/>
  <c r="Z35" i="30"/>
  <c r="Y35" i="30"/>
  <c r="X35" i="30"/>
  <c r="W35" i="30"/>
  <c r="V35" i="30"/>
  <c r="U35" i="30"/>
  <c r="T35" i="30"/>
  <c r="S35" i="30"/>
  <c r="R35" i="30"/>
  <c r="Q35" i="30"/>
  <c r="P35" i="30"/>
  <c r="O35" i="30"/>
  <c r="N35" i="30"/>
  <c r="M35" i="30"/>
  <c r="L35" i="30"/>
  <c r="K35" i="30"/>
  <c r="J35" i="30"/>
  <c r="AC32" i="30"/>
  <c r="Z32" i="30"/>
  <c r="S32" i="30"/>
  <c r="Q32" i="30"/>
  <c r="D20" i="30"/>
  <c r="L64" i="30" s="1"/>
  <c r="D18" i="30"/>
  <c r="D16" i="30"/>
  <c r="F15" i="30"/>
  <c r="Y64" i="30" s="1"/>
  <c r="D15" i="30"/>
  <c r="F14" i="30"/>
  <c r="D14" i="30"/>
  <c r="K13" i="30"/>
  <c r="J13" i="30"/>
  <c r="D13" i="30"/>
  <c r="AD12" i="30"/>
  <c r="AC12" i="30"/>
  <c r="AB12" i="30"/>
  <c r="AA12" i="30"/>
  <c r="K12" i="30"/>
  <c r="J12" i="30"/>
  <c r="D12" i="30"/>
  <c r="AD11" i="30"/>
  <c r="AC11" i="30"/>
  <c r="AB11" i="30"/>
  <c r="AA11" i="30"/>
  <c r="J11" i="30"/>
  <c r="D11" i="30"/>
  <c r="J10" i="30"/>
  <c r="D10" i="30"/>
  <c r="N32" i="30" s="1"/>
  <c r="AD9" i="30"/>
  <c r="AC9" i="30"/>
  <c r="AB9" i="30"/>
  <c r="K9" i="30"/>
  <c r="J9" i="30"/>
  <c r="F9" i="30"/>
  <c r="F12" i="30" s="1"/>
  <c r="AA9" i="30" s="1"/>
  <c r="D9" i="30"/>
  <c r="AB32" i="30" s="1"/>
  <c r="K8" i="30"/>
  <c r="J8" i="30"/>
  <c r="C8" i="30"/>
  <c r="L7" i="30"/>
  <c r="L13" i="30" s="1"/>
  <c r="K7" i="30"/>
  <c r="K10" i="30" s="1"/>
  <c r="C7" i="30"/>
  <c r="C6" i="30"/>
  <c r="C5" i="30"/>
  <c r="C4" i="30"/>
  <c r="C3" i="30"/>
  <c r="I295" i="29"/>
  <c r="H295" i="29"/>
  <c r="K292" i="29"/>
  <c r="J292" i="29"/>
  <c r="J289" i="29"/>
  <c r="I289" i="29"/>
  <c r="H286" i="29"/>
  <c r="G286" i="29"/>
  <c r="AT283" i="29"/>
  <c r="AS283" i="29"/>
  <c r="J283" i="29"/>
  <c r="I283" i="29"/>
  <c r="J280" i="29"/>
  <c r="I280" i="29"/>
  <c r="L277" i="29"/>
  <c r="K277" i="29"/>
  <c r="J274" i="29"/>
  <c r="I274" i="29"/>
  <c r="L271" i="29"/>
  <c r="K271" i="29"/>
  <c r="K268" i="29"/>
  <c r="J268" i="29"/>
  <c r="L265" i="29"/>
  <c r="K265" i="29"/>
  <c r="K262" i="29"/>
  <c r="J262" i="29"/>
  <c r="K259" i="29"/>
  <c r="J259" i="29"/>
  <c r="J256" i="29"/>
  <c r="I256" i="29"/>
  <c r="L253" i="29"/>
  <c r="K253" i="29"/>
  <c r="M250" i="29"/>
  <c r="L250" i="29"/>
  <c r="M247" i="29"/>
  <c r="L247" i="29"/>
  <c r="M244" i="29"/>
  <c r="L244" i="29"/>
  <c r="N241" i="29"/>
  <c r="M241" i="29"/>
  <c r="I238" i="29"/>
  <c r="H238" i="29"/>
  <c r="K235" i="29"/>
  <c r="J235" i="29"/>
  <c r="J232" i="29"/>
  <c r="I232" i="29"/>
  <c r="J229" i="29"/>
  <c r="I229" i="29"/>
  <c r="J226" i="29"/>
  <c r="I226" i="29"/>
  <c r="G223" i="29"/>
  <c r="F223" i="29"/>
  <c r="I220" i="29"/>
  <c r="H220" i="29"/>
  <c r="I217" i="29"/>
  <c r="H217" i="29"/>
  <c r="H214" i="29"/>
  <c r="G214" i="29"/>
  <c r="L211" i="29"/>
  <c r="K211" i="29"/>
  <c r="K208" i="29"/>
  <c r="J208" i="29"/>
  <c r="J205" i="29"/>
  <c r="I205" i="29"/>
  <c r="L202" i="29"/>
  <c r="K202" i="29"/>
  <c r="N199" i="29"/>
  <c r="M199" i="29"/>
  <c r="K196" i="29"/>
  <c r="J196" i="29"/>
  <c r="AW193" i="29"/>
  <c r="K193" i="29"/>
  <c r="J193" i="29"/>
  <c r="K190" i="29"/>
  <c r="J190" i="29"/>
  <c r="J187" i="29"/>
  <c r="I187" i="29"/>
  <c r="J184" i="29"/>
  <c r="I184" i="29"/>
  <c r="K181" i="29"/>
  <c r="J181" i="29"/>
  <c r="K178" i="29"/>
  <c r="J178" i="29"/>
  <c r="I175" i="29"/>
  <c r="H175" i="29"/>
  <c r="K172" i="29"/>
  <c r="J172" i="29"/>
  <c r="G169" i="29"/>
  <c r="X129" i="29"/>
  <c r="W129" i="29"/>
  <c r="V129" i="29"/>
  <c r="U129" i="29"/>
  <c r="X128" i="29"/>
  <c r="W128" i="29"/>
  <c r="V128" i="29"/>
  <c r="U128" i="29"/>
  <c r="X127" i="29"/>
  <c r="W127" i="29"/>
  <c r="V127" i="29"/>
  <c r="U127" i="29"/>
  <c r="X126" i="29"/>
  <c r="W126" i="29"/>
  <c r="V126" i="29"/>
  <c r="U126" i="29"/>
  <c r="X125" i="29"/>
  <c r="W125" i="29"/>
  <c r="V125" i="29"/>
  <c r="U125" i="29"/>
  <c r="X124" i="29"/>
  <c r="W124" i="29"/>
  <c r="V124" i="29"/>
  <c r="U124" i="29"/>
  <c r="X123" i="29"/>
  <c r="W123" i="29"/>
  <c r="V123" i="29"/>
  <c r="U123" i="29"/>
  <c r="X122" i="29"/>
  <c r="W122" i="29"/>
  <c r="V122" i="29"/>
  <c r="U122" i="29"/>
  <c r="X121" i="29"/>
  <c r="W121" i="29"/>
  <c r="V121" i="29"/>
  <c r="U121" i="29"/>
  <c r="X120" i="29"/>
  <c r="W120" i="29"/>
  <c r="V120" i="29"/>
  <c r="U120" i="29"/>
  <c r="X119" i="29"/>
  <c r="W119" i="29"/>
  <c r="V119" i="29"/>
  <c r="U119" i="29"/>
  <c r="X118" i="29"/>
  <c r="W118" i="29"/>
  <c r="V118" i="29"/>
  <c r="U118" i="29"/>
  <c r="X117" i="29"/>
  <c r="V117" i="29"/>
  <c r="U117" i="29"/>
  <c r="X116" i="29"/>
  <c r="V116" i="29"/>
  <c r="U116" i="29"/>
  <c r="X115" i="29"/>
  <c r="W115" i="29"/>
  <c r="V115" i="29"/>
  <c r="H98" i="29"/>
  <c r="J97" i="29"/>
  <c r="H97" i="29"/>
  <c r="F96" i="29"/>
  <c r="E96" i="29"/>
  <c r="D19" i="29" s="1"/>
  <c r="F95" i="29"/>
  <c r="E95" i="29"/>
  <c r="D8" i="29" s="1"/>
  <c r="X65" i="29" s="1"/>
  <c r="F94" i="29"/>
  <c r="E94" i="29"/>
  <c r="F93" i="29"/>
  <c r="E93" i="29"/>
  <c r="F92" i="29"/>
  <c r="E92" i="29"/>
  <c r="F91" i="29"/>
  <c r="E91" i="29"/>
  <c r="F90" i="29"/>
  <c r="E90" i="29"/>
  <c r="F89" i="29"/>
  <c r="E89" i="29"/>
  <c r="F88" i="29"/>
  <c r="E88" i="29"/>
  <c r="F87" i="29"/>
  <c r="E87" i="29"/>
  <c r="C86" i="29"/>
  <c r="S68" i="29"/>
  <c r="R68" i="29"/>
  <c r="Q68" i="29"/>
  <c r="P68" i="29"/>
  <c r="Y67" i="29"/>
  <c r="X67" i="29"/>
  <c r="W67" i="29"/>
  <c r="V67" i="29"/>
  <c r="S67" i="29"/>
  <c r="R67" i="29"/>
  <c r="Q67" i="29"/>
  <c r="P67" i="29"/>
  <c r="Y66" i="29"/>
  <c r="X66" i="29"/>
  <c r="W66" i="29"/>
  <c r="V66" i="29"/>
  <c r="S66" i="29"/>
  <c r="R66" i="29"/>
  <c r="Q66" i="29"/>
  <c r="P66" i="29"/>
  <c r="W64" i="29"/>
  <c r="L64" i="29"/>
  <c r="L63" i="29"/>
  <c r="K63" i="29"/>
  <c r="J63" i="29"/>
  <c r="C58" i="29"/>
  <c r="C57" i="29"/>
  <c r="C56" i="29"/>
  <c r="C55" i="29"/>
  <c r="C54" i="29"/>
  <c r="D10" i="29" s="1"/>
  <c r="J32" i="29" s="1"/>
  <c r="C53" i="29"/>
  <c r="C52" i="29"/>
  <c r="C51" i="29"/>
  <c r="C50" i="29"/>
  <c r="C49" i="29"/>
  <c r="C48" i="29"/>
  <c r="C47" i="29"/>
  <c r="C46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X32" i="29"/>
  <c r="V32" i="29"/>
  <c r="P20" i="29"/>
  <c r="O20" i="29"/>
  <c r="N20" i="29"/>
  <c r="M20" i="29"/>
  <c r="L20" i="29"/>
  <c r="D20" i="29"/>
  <c r="K64" i="29" s="1"/>
  <c r="D18" i="29"/>
  <c r="D17" i="29"/>
  <c r="D16" i="29"/>
  <c r="F15" i="29"/>
  <c r="Y64" i="29" s="1"/>
  <c r="D15" i="29"/>
  <c r="D14" i="29"/>
  <c r="K13" i="29"/>
  <c r="J13" i="29"/>
  <c r="D13" i="29"/>
  <c r="AD12" i="29"/>
  <c r="AC12" i="29"/>
  <c r="AB12" i="29"/>
  <c r="AA12" i="29"/>
  <c r="J12" i="29"/>
  <c r="D12" i="29"/>
  <c r="L32" i="29" s="1"/>
  <c r="AD11" i="29"/>
  <c r="AC11" i="29"/>
  <c r="AB11" i="29"/>
  <c r="AA11" i="29"/>
  <c r="J11" i="29"/>
  <c r="J20" i="29" s="1"/>
  <c r="D11" i="29"/>
  <c r="K10" i="29"/>
  <c r="J10" i="29"/>
  <c r="AD9" i="29"/>
  <c r="AC9" i="29"/>
  <c r="AB9" i="29"/>
  <c r="K9" i="29"/>
  <c r="J9" i="29"/>
  <c r="F9" i="29"/>
  <c r="F11" i="29" s="1"/>
  <c r="D9" i="29"/>
  <c r="AC32" i="29" s="1"/>
  <c r="J8" i="29"/>
  <c r="C8" i="29"/>
  <c r="K7" i="29"/>
  <c r="K12" i="29" s="1"/>
  <c r="C7" i="29"/>
  <c r="C6" i="29"/>
  <c r="C5" i="29"/>
  <c r="C4" i="29"/>
  <c r="C3" i="29"/>
  <c r="B40" i="7"/>
  <c r="B38" i="7"/>
  <c r="AD16" i="6"/>
  <c r="AC16" i="6"/>
  <c r="AB16" i="6"/>
  <c r="AA16" i="6"/>
  <c r="F100" i="6" s="1"/>
  <c r="AD16" i="17"/>
  <c r="AC16" i="17"/>
  <c r="AB16" i="17"/>
  <c r="AA16" i="17"/>
  <c r="F101" i="6"/>
  <c r="F100" i="17"/>
  <c r="F98" i="11"/>
  <c r="S69" i="6"/>
  <c r="R69" i="6"/>
  <c r="Q69" i="6"/>
  <c r="P69" i="6"/>
  <c r="Y68" i="6"/>
  <c r="X68" i="6"/>
  <c r="W68" i="6"/>
  <c r="V68" i="6"/>
  <c r="S68" i="6"/>
  <c r="R68" i="6"/>
  <c r="Q68" i="6"/>
  <c r="Q57" i="6" s="1"/>
  <c r="P68" i="6"/>
  <c r="P57" i="6" s="1"/>
  <c r="Y67" i="6"/>
  <c r="X67" i="6"/>
  <c r="W67" i="6"/>
  <c r="V67" i="6"/>
  <c r="S67" i="6"/>
  <c r="R67" i="6"/>
  <c r="Q67" i="6"/>
  <c r="P67" i="6"/>
  <c r="Y66" i="6"/>
  <c r="X66" i="6"/>
  <c r="W66" i="6"/>
  <c r="V66" i="6"/>
  <c r="S66" i="6"/>
  <c r="R66" i="6"/>
  <c r="Q66" i="6"/>
  <c r="P66" i="6"/>
  <c r="Y65" i="6"/>
  <c r="X65" i="6"/>
  <c r="W65" i="6"/>
  <c r="V65" i="6"/>
  <c r="Y64" i="6"/>
  <c r="Y58" i="6" s="1"/>
  <c r="X64" i="6"/>
  <c r="X58" i="6" s="1"/>
  <c r="W64" i="6"/>
  <c r="W58" i="6" s="1"/>
  <c r="V64" i="6"/>
  <c r="V58" i="6" s="1"/>
  <c r="L64" i="6"/>
  <c r="K64" i="6"/>
  <c r="J64" i="6"/>
  <c r="L63" i="6"/>
  <c r="K63" i="6"/>
  <c r="J63" i="6"/>
  <c r="L58" i="6"/>
  <c r="L57" i="6" s="1"/>
  <c r="K58" i="6"/>
  <c r="K57" i="6" s="1"/>
  <c r="J58" i="6"/>
  <c r="J57" i="6" s="1"/>
  <c r="S57" i="6"/>
  <c r="R57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J52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K52" i="6" s="1"/>
  <c r="J50" i="6"/>
  <c r="S68" i="24"/>
  <c r="R68" i="24"/>
  <c r="Q68" i="24"/>
  <c r="P68" i="24"/>
  <c r="Y67" i="24"/>
  <c r="X67" i="24"/>
  <c r="W67" i="24"/>
  <c r="V67" i="24"/>
  <c r="S67" i="24"/>
  <c r="R67" i="24"/>
  <c r="Q67" i="24"/>
  <c r="P67" i="24"/>
  <c r="Y66" i="24"/>
  <c r="X66" i="24"/>
  <c r="W66" i="24"/>
  <c r="V66" i="24"/>
  <c r="S66" i="24"/>
  <c r="R66" i="24"/>
  <c r="Q66" i="24"/>
  <c r="P66" i="24"/>
  <c r="L63" i="24"/>
  <c r="K63" i="24"/>
  <c r="J63" i="24"/>
  <c r="S68" i="22"/>
  <c r="R68" i="22"/>
  <c r="Q68" i="22"/>
  <c r="P68" i="22"/>
  <c r="Y67" i="22"/>
  <c r="X67" i="22"/>
  <c r="W67" i="22"/>
  <c r="V67" i="22"/>
  <c r="S67" i="22"/>
  <c r="R67" i="22"/>
  <c r="Q67" i="22"/>
  <c r="P67" i="22"/>
  <c r="Y66" i="22"/>
  <c r="X66" i="22"/>
  <c r="W66" i="22"/>
  <c r="V66" i="22"/>
  <c r="S66" i="22"/>
  <c r="R66" i="22"/>
  <c r="Q66" i="22"/>
  <c r="P66" i="22"/>
  <c r="L63" i="22"/>
  <c r="K63" i="22"/>
  <c r="J63" i="22"/>
  <c r="S68" i="21"/>
  <c r="R68" i="21"/>
  <c r="Q68" i="21"/>
  <c r="P68" i="21"/>
  <c r="Y67" i="21"/>
  <c r="X67" i="21"/>
  <c r="W67" i="21"/>
  <c r="V67" i="21"/>
  <c r="S67" i="21"/>
  <c r="R67" i="21"/>
  <c r="Q67" i="21"/>
  <c r="P67" i="21"/>
  <c r="Y66" i="21"/>
  <c r="X66" i="21"/>
  <c r="W66" i="21"/>
  <c r="V66" i="21"/>
  <c r="S66" i="21"/>
  <c r="R66" i="21"/>
  <c r="Q66" i="21"/>
  <c r="P66" i="21"/>
  <c r="Y64" i="21"/>
  <c r="X64" i="21"/>
  <c r="W64" i="21"/>
  <c r="V64" i="21"/>
  <c r="L64" i="21"/>
  <c r="K64" i="21"/>
  <c r="J64" i="21"/>
  <c r="L63" i="21"/>
  <c r="L58" i="21" s="1"/>
  <c r="L57" i="21" s="1"/>
  <c r="K63" i="21"/>
  <c r="K58" i="21" s="1"/>
  <c r="K57" i="21" s="1"/>
  <c r="J63" i="21"/>
  <c r="J58" i="21" s="1"/>
  <c r="J57" i="21" s="1"/>
  <c r="S68" i="28"/>
  <c r="R68" i="28"/>
  <c r="Q68" i="28"/>
  <c r="P68" i="28"/>
  <c r="Y67" i="28"/>
  <c r="X67" i="28"/>
  <c r="W67" i="28"/>
  <c r="V67" i="28"/>
  <c r="S67" i="28"/>
  <c r="R67" i="28"/>
  <c r="Q67" i="28"/>
  <c r="P67" i="28"/>
  <c r="Y66" i="28"/>
  <c r="X66" i="28"/>
  <c r="W66" i="28"/>
  <c r="V66" i="28"/>
  <c r="S66" i="28"/>
  <c r="R66" i="28"/>
  <c r="Q66" i="28"/>
  <c r="P66" i="28"/>
  <c r="L63" i="28"/>
  <c r="K63" i="28"/>
  <c r="J63" i="28"/>
  <c r="S68" i="26"/>
  <c r="R68" i="26"/>
  <c r="Q68" i="26"/>
  <c r="P68" i="26"/>
  <c r="Y67" i="26"/>
  <c r="X67" i="26"/>
  <c r="W67" i="26"/>
  <c r="V67" i="26"/>
  <c r="S67" i="26"/>
  <c r="R67" i="26"/>
  <c r="Q67" i="26"/>
  <c r="P67" i="26"/>
  <c r="Y66" i="26"/>
  <c r="X66" i="26"/>
  <c r="W66" i="26"/>
  <c r="V66" i="26"/>
  <c r="S66" i="26"/>
  <c r="R66" i="26"/>
  <c r="Q66" i="26"/>
  <c r="P66" i="26"/>
  <c r="X64" i="26"/>
  <c r="V64" i="26"/>
  <c r="L64" i="26"/>
  <c r="L63" i="26"/>
  <c r="K63" i="26"/>
  <c r="J63" i="26"/>
  <c r="S68" i="27"/>
  <c r="R68" i="27"/>
  <c r="Q68" i="27"/>
  <c r="P68" i="27"/>
  <c r="Y67" i="27"/>
  <c r="X67" i="27"/>
  <c r="W67" i="27"/>
  <c r="V67" i="27"/>
  <c r="S67" i="27"/>
  <c r="R67" i="27"/>
  <c r="Q67" i="27"/>
  <c r="P67" i="27"/>
  <c r="Y66" i="27"/>
  <c r="X66" i="27"/>
  <c r="W66" i="27"/>
  <c r="V66" i="27"/>
  <c r="S66" i="27"/>
  <c r="R66" i="27"/>
  <c r="Q66" i="27"/>
  <c r="P66" i="27"/>
  <c r="W64" i="27"/>
  <c r="L63" i="27"/>
  <c r="K63" i="27"/>
  <c r="J63" i="27"/>
  <c r="S68" i="25"/>
  <c r="R68" i="25"/>
  <c r="Q68" i="25"/>
  <c r="P68" i="25"/>
  <c r="Y67" i="25"/>
  <c r="X67" i="25"/>
  <c r="W67" i="25"/>
  <c r="V67" i="25"/>
  <c r="S67" i="25"/>
  <c r="R67" i="25"/>
  <c r="Q67" i="25"/>
  <c r="P67" i="25"/>
  <c r="Y66" i="25"/>
  <c r="X66" i="25"/>
  <c r="W66" i="25"/>
  <c r="V66" i="25"/>
  <c r="S66" i="25"/>
  <c r="R66" i="25"/>
  <c r="Q66" i="25"/>
  <c r="P66" i="25"/>
  <c r="Y64" i="25"/>
  <c r="X64" i="25"/>
  <c r="W64" i="25"/>
  <c r="V64" i="25"/>
  <c r="L64" i="25"/>
  <c r="K64" i="25"/>
  <c r="J64" i="25"/>
  <c r="L63" i="25"/>
  <c r="L58" i="25" s="1"/>
  <c r="L57" i="25" s="1"/>
  <c r="K63" i="25"/>
  <c r="K58" i="25" s="1"/>
  <c r="K57" i="25" s="1"/>
  <c r="J63" i="25"/>
  <c r="J58" i="25" s="1"/>
  <c r="J57" i="25" s="1"/>
  <c r="S68" i="19"/>
  <c r="R68" i="19"/>
  <c r="Q68" i="19"/>
  <c r="P68" i="19"/>
  <c r="Y67" i="19"/>
  <c r="X67" i="19"/>
  <c r="W67" i="19"/>
  <c r="V67" i="19"/>
  <c r="S67" i="19"/>
  <c r="R67" i="19"/>
  <c r="Q67" i="19"/>
  <c r="P67" i="19"/>
  <c r="Y66" i="19"/>
  <c r="X66" i="19"/>
  <c r="W66" i="19"/>
  <c r="V66" i="19"/>
  <c r="S66" i="19"/>
  <c r="R66" i="19"/>
  <c r="Q66" i="19"/>
  <c r="P66" i="19"/>
  <c r="L63" i="19"/>
  <c r="K63" i="19"/>
  <c r="J63" i="19"/>
  <c r="S68" i="20"/>
  <c r="R68" i="20"/>
  <c r="Q68" i="20"/>
  <c r="P68" i="20"/>
  <c r="Y67" i="20"/>
  <c r="X67" i="20"/>
  <c r="W67" i="20"/>
  <c r="V67" i="20"/>
  <c r="S67" i="20"/>
  <c r="R67" i="20"/>
  <c r="Q67" i="20"/>
  <c r="P67" i="20"/>
  <c r="Y66" i="20"/>
  <c r="X66" i="20"/>
  <c r="W66" i="20"/>
  <c r="V66" i="20"/>
  <c r="S66" i="20"/>
  <c r="R66" i="20"/>
  <c r="Q66" i="20"/>
  <c r="P66" i="20"/>
  <c r="L63" i="20"/>
  <c r="K63" i="20"/>
  <c r="J63" i="20"/>
  <c r="S68" i="18"/>
  <c r="R68" i="18"/>
  <c r="Q68" i="18"/>
  <c r="P68" i="18"/>
  <c r="Y67" i="18"/>
  <c r="X67" i="18"/>
  <c r="W67" i="18"/>
  <c r="V67" i="18"/>
  <c r="S67" i="18"/>
  <c r="R67" i="18"/>
  <c r="Q67" i="18"/>
  <c r="P67" i="18"/>
  <c r="Y66" i="18"/>
  <c r="X66" i="18"/>
  <c r="W66" i="18"/>
  <c r="V66" i="18"/>
  <c r="S66" i="18"/>
  <c r="R66" i="18"/>
  <c r="Q66" i="18"/>
  <c r="P66" i="18"/>
  <c r="L63" i="18"/>
  <c r="K63" i="18"/>
  <c r="J63" i="18"/>
  <c r="S69" i="17"/>
  <c r="R69" i="17"/>
  <c r="Q69" i="17"/>
  <c r="P69" i="17"/>
  <c r="Y68" i="17"/>
  <c r="X68" i="17"/>
  <c r="W68" i="17"/>
  <c r="V68" i="17"/>
  <c r="S68" i="17"/>
  <c r="R68" i="17"/>
  <c r="Q68" i="17"/>
  <c r="P68" i="17"/>
  <c r="P57" i="17" s="1"/>
  <c r="Y67" i="17"/>
  <c r="X67" i="17"/>
  <c r="W67" i="17"/>
  <c r="V67" i="17"/>
  <c r="S67" i="17"/>
  <c r="R67" i="17"/>
  <c r="Q67" i="17"/>
  <c r="P67" i="17"/>
  <c r="Y66" i="17"/>
  <c r="X66" i="17"/>
  <c r="W66" i="17"/>
  <c r="V66" i="17"/>
  <c r="S66" i="17"/>
  <c r="R66" i="17"/>
  <c r="Q66" i="17"/>
  <c r="P66" i="17"/>
  <c r="Y65" i="17"/>
  <c r="X65" i="17"/>
  <c r="W65" i="17"/>
  <c r="V65" i="17"/>
  <c r="Y64" i="17"/>
  <c r="X64" i="17"/>
  <c r="X58" i="17" s="1"/>
  <c r="W64" i="17"/>
  <c r="W58" i="17" s="1"/>
  <c r="V64" i="17"/>
  <c r="V58" i="17" s="1"/>
  <c r="L64" i="17"/>
  <c r="K64" i="17"/>
  <c r="J64" i="17"/>
  <c r="L63" i="17"/>
  <c r="L58" i="17" s="1"/>
  <c r="L57" i="17" s="1"/>
  <c r="K63" i="17"/>
  <c r="J63" i="17"/>
  <c r="Y58" i="17"/>
  <c r="K58" i="17"/>
  <c r="K57" i="17" s="1"/>
  <c r="J58" i="17"/>
  <c r="J57" i="17" s="1"/>
  <c r="S57" i="17"/>
  <c r="R57" i="17"/>
  <c r="Q57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O52" i="17"/>
  <c r="N52" i="17"/>
  <c r="M52" i="17"/>
  <c r="L52" i="17"/>
  <c r="J52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P52" i="17" s="1"/>
  <c r="O50" i="17"/>
  <c r="N50" i="17"/>
  <c r="M50" i="17"/>
  <c r="L50" i="17"/>
  <c r="K50" i="17"/>
  <c r="K52" i="17" s="1"/>
  <c r="J50" i="17"/>
  <c r="S68" i="14"/>
  <c r="R68" i="14"/>
  <c r="Q68" i="14"/>
  <c r="P68" i="14"/>
  <c r="Y67" i="14"/>
  <c r="X67" i="14"/>
  <c r="W67" i="14"/>
  <c r="V67" i="14"/>
  <c r="S67" i="14"/>
  <c r="R67" i="14"/>
  <c r="Q67" i="14"/>
  <c r="P67" i="14"/>
  <c r="Y66" i="14"/>
  <c r="X66" i="14"/>
  <c r="W66" i="14"/>
  <c r="V66" i="14"/>
  <c r="S66" i="14"/>
  <c r="R66" i="14"/>
  <c r="Q66" i="14"/>
  <c r="P66" i="14"/>
  <c r="L63" i="14"/>
  <c r="K63" i="14"/>
  <c r="J63" i="14"/>
  <c r="S68" i="15"/>
  <c r="R68" i="15"/>
  <c r="Q68" i="15"/>
  <c r="P68" i="15"/>
  <c r="Y67" i="15"/>
  <c r="X67" i="15"/>
  <c r="W67" i="15"/>
  <c r="V67" i="15"/>
  <c r="S67" i="15"/>
  <c r="R67" i="15"/>
  <c r="Q67" i="15"/>
  <c r="P67" i="15"/>
  <c r="Y66" i="15"/>
  <c r="X66" i="15"/>
  <c r="W66" i="15"/>
  <c r="V66" i="15"/>
  <c r="S66" i="15"/>
  <c r="R66" i="15"/>
  <c r="Q66" i="15"/>
  <c r="P66" i="15"/>
  <c r="L63" i="15"/>
  <c r="K63" i="15"/>
  <c r="J63" i="15"/>
  <c r="S68" i="16"/>
  <c r="R68" i="16"/>
  <c r="Q68" i="16"/>
  <c r="P68" i="16"/>
  <c r="Y67" i="16"/>
  <c r="X67" i="16"/>
  <c r="W67" i="16"/>
  <c r="V67" i="16"/>
  <c r="S67" i="16"/>
  <c r="R67" i="16"/>
  <c r="Q67" i="16"/>
  <c r="P67" i="16"/>
  <c r="Y66" i="16"/>
  <c r="X66" i="16"/>
  <c r="W66" i="16"/>
  <c r="V66" i="16"/>
  <c r="S66" i="16"/>
  <c r="R66" i="16"/>
  <c r="Q66" i="16"/>
  <c r="P66" i="16"/>
  <c r="L63" i="16"/>
  <c r="K63" i="16"/>
  <c r="J63" i="16"/>
  <c r="S68" i="13"/>
  <c r="R68" i="13"/>
  <c r="Q68" i="13"/>
  <c r="P68" i="13"/>
  <c r="Y67" i="13"/>
  <c r="X67" i="13"/>
  <c r="W67" i="13"/>
  <c r="V67" i="13"/>
  <c r="S67" i="13"/>
  <c r="R67" i="13"/>
  <c r="Q67" i="13"/>
  <c r="P67" i="13"/>
  <c r="Y66" i="13"/>
  <c r="X66" i="13"/>
  <c r="W66" i="13"/>
  <c r="V66" i="13"/>
  <c r="S66" i="13"/>
  <c r="R66" i="13"/>
  <c r="Q66" i="13"/>
  <c r="P66" i="13"/>
  <c r="Y64" i="13"/>
  <c r="X64" i="13"/>
  <c r="W64" i="13"/>
  <c r="V64" i="13"/>
  <c r="L64" i="13"/>
  <c r="K64" i="13"/>
  <c r="J64" i="13"/>
  <c r="L63" i="13"/>
  <c r="L58" i="13" s="1"/>
  <c r="L57" i="13" s="1"/>
  <c r="K63" i="13"/>
  <c r="K58" i="13" s="1"/>
  <c r="K57" i="13" s="1"/>
  <c r="J63" i="13"/>
  <c r="J58" i="13" s="1"/>
  <c r="J57" i="13" s="1"/>
  <c r="S68" i="12"/>
  <c r="R68" i="12"/>
  <c r="Q68" i="12"/>
  <c r="P68" i="12"/>
  <c r="Y67" i="12"/>
  <c r="X67" i="12"/>
  <c r="W67" i="12"/>
  <c r="V67" i="12"/>
  <c r="S67" i="12"/>
  <c r="R67" i="12"/>
  <c r="Q67" i="12"/>
  <c r="P67" i="12"/>
  <c r="Y66" i="12"/>
  <c r="X66" i="12"/>
  <c r="W66" i="12"/>
  <c r="V66" i="12"/>
  <c r="S66" i="12"/>
  <c r="R66" i="12"/>
  <c r="Q66" i="12"/>
  <c r="P66" i="12"/>
  <c r="L63" i="12"/>
  <c r="K63" i="12"/>
  <c r="J63" i="12"/>
  <c r="S68" i="11"/>
  <c r="R68" i="11"/>
  <c r="Q68" i="11"/>
  <c r="P68" i="11"/>
  <c r="Y67" i="11"/>
  <c r="X67" i="11"/>
  <c r="W67" i="11"/>
  <c r="V67" i="11"/>
  <c r="S67" i="11"/>
  <c r="R67" i="11"/>
  <c r="Q67" i="11"/>
  <c r="P67" i="11"/>
  <c r="Y66" i="11"/>
  <c r="X66" i="11"/>
  <c r="W66" i="11"/>
  <c r="V66" i="11"/>
  <c r="S66" i="11"/>
  <c r="R66" i="11"/>
  <c r="Q66" i="11"/>
  <c r="P66" i="11"/>
  <c r="L63" i="11"/>
  <c r="K63" i="11"/>
  <c r="J63" i="11"/>
  <c r="S68" i="10"/>
  <c r="R68" i="10"/>
  <c r="Q68" i="10"/>
  <c r="P68" i="10"/>
  <c r="Y67" i="10"/>
  <c r="X67" i="10"/>
  <c r="W67" i="10"/>
  <c r="V67" i="10"/>
  <c r="S67" i="10"/>
  <c r="R67" i="10"/>
  <c r="Q67" i="10"/>
  <c r="P67" i="10"/>
  <c r="Y66" i="10"/>
  <c r="X66" i="10"/>
  <c r="W66" i="10"/>
  <c r="V66" i="10"/>
  <c r="S66" i="10"/>
  <c r="R66" i="10"/>
  <c r="Q66" i="10"/>
  <c r="P66" i="10"/>
  <c r="L63" i="10"/>
  <c r="K63" i="10"/>
  <c r="J63" i="10"/>
  <c r="T22" i="7"/>
  <c r="T19" i="7"/>
  <c r="T21" i="7"/>
  <c r="T17" i="7"/>
  <c r="T20" i="7"/>
  <c r="P20" i="22"/>
  <c r="L20" i="22"/>
  <c r="P20" i="18"/>
  <c r="L20" i="18"/>
  <c r="P20" i="10"/>
  <c r="L20" i="10"/>
  <c r="K20" i="26"/>
  <c r="U20" i="25"/>
  <c r="W20" i="25"/>
  <c r="K20" i="28"/>
  <c r="C41" i="26"/>
  <c r="F98" i="28"/>
  <c r="F98" i="26"/>
  <c r="F98" i="27"/>
  <c r="F98" i="25"/>
  <c r="E19" i="28"/>
  <c r="E19" i="26"/>
  <c r="E19" i="27"/>
  <c r="E19" i="25"/>
  <c r="I295" i="28"/>
  <c r="H295" i="28"/>
  <c r="K292" i="28"/>
  <c r="J292" i="28"/>
  <c r="J289" i="28"/>
  <c r="I289" i="28"/>
  <c r="H286" i="28"/>
  <c r="G286" i="28"/>
  <c r="AT283" i="28"/>
  <c r="AS283" i="28"/>
  <c r="J283" i="28"/>
  <c r="I283" i="28"/>
  <c r="J280" i="28"/>
  <c r="I280" i="28"/>
  <c r="L277" i="28"/>
  <c r="K277" i="28"/>
  <c r="J274" i="28"/>
  <c r="I274" i="28"/>
  <c r="L271" i="28"/>
  <c r="K271" i="28"/>
  <c r="K268" i="28"/>
  <c r="J268" i="28"/>
  <c r="L265" i="28"/>
  <c r="K265" i="28"/>
  <c r="K262" i="28"/>
  <c r="J262" i="28"/>
  <c r="K259" i="28"/>
  <c r="J259" i="28"/>
  <c r="J256" i="28"/>
  <c r="I256" i="28"/>
  <c r="L253" i="28"/>
  <c r="K253" i="28"/>
  <c r="M250" i="28"/>
  <c r="L250" i="28"/>
  <c r="M247" i="28"/>
  <c r="L247" i="28"/>
  <c r="M244" i="28"/>
  <c r="L244" i="28"/>
  <c r="N241" i="28"/>
  <c r="M241" i="28"/>
  <c r="I238" i="28"/>
  <c r="H238" i="28"/>
  <c r="K235" i="28"/>
  <c r="J235" i="28"/>
  <c r="J232" i="28"/>
  <c r="I232" i="28"/>
  <c r="J229" i="28"/>
  <c r="I229" i="28"/>
  <c r="J226" i="28"/>
  <c r="I226" i="28"/>
  <c r="G223" i="28"/>
  <c r="F223" i="28"/>
  <c r="I220" i="28"/>
  <c r="H220" i="28"/>
  <c r="I217" i="28"/>
  <c r="H217" i="28"/>
  <c r="H214" i="28"/>
  <c r="G214" i="28"/>
  <c r="L211" i="28"/>
  <c r="K211" i="28"/>
  <c r="K208" i="28"/>
  <c r="J208" i="28"/>
  <c r="J205" i="28"/>
  <c r="I205" i="28"/>
  <c r="L202" i="28"/>
  <c r="K202" i="28"/>
  <c r="N199" i="28"/>
  <c r="M199" i="28"/>
  <c r="K196" i="28"/>
  <c r="J196" i="28"/>
  <c r="AW193" i="28"/>
  <c r="K193" i="28"/>
  <c r="J193" i="28"/>
  <c r="K190" i="28"/>
  <c r="J190" i="28"/>
  <c r="J187" i="28"/>
  <c r="I187" i="28"/>
  <c r="J184" i="28"/>
  <c r="I184" i="28"/>
  <c r="K181" i="28"/>
  <c r="J181" i="28"/>
  <c r="K178" i="28"/>
  <c r="J178" i="28"/>
  <c r="I175" i="28"/>
  <c r="H175" i="28"/>
  <c r="K172" i="28"/>
  <c r="J172" i="28"/>
  <c r="G169" i="28"/>
  <c r="X129" i="28"/>
  <c r="W129" i="28"/>
  <c r="V129" i="28"/>
  <c r="U129" i="28"/>
  <c r="X128" i="28"/>
  <c r="W128" i="28"/>
  <c r="V128" i="28"/>
  <c r="U128" i="28"/>
  <c r="X127" i="28"/>
  <c r="W127" i="28"/>
  <c r="V127" i="28"/>
  <c r="U127" i="28"/>
  <c r="X126" i="28"/>
  <c r="W126" i="28"/>
  <c r="V126" i="28"/>
  <c r="U126" i="28"/>
  <c r="X125" i="28"/>
  <c r="W125" i="28"/>
  <c r="V125" i="28"/>
  <c r="U125" i="28"/>
  <c r="X124" i="28"/>
  <c r="W124" i="28"/>
  <c r="V124" i="28"/>
  <c r="U124" i="28"/>
  <c r="X123" i="28"/>
  <c r="W123" i="28"/>
  <c r="V123" i="28"/>
  <c r="U123" i="28"/>
  <c r="X122" i="28"/>
  <c r="W122" i="28"/>
  <c r="V122" i="28"/>
  <c r="U122" i="28"/>
  <c r="X121" i="28"/>
  <c r="W121" i="28"/>
  <c r="V121" i="28"/>
  <c r="U121" i="28"/>
  <c r="X120" i="28"/>
  <c r="W120" i="28"/>
  <c r="V120" i="28"/>
  <c r="U120" i="28"/>
  <c r="X119" i="28"/>
  <c r="W119" i="28"/>
  <c r="V119" i="28"/>
  <c r="U119" i="28"/>
  <c r="X118" i="28"/>
  <c r="W118" i="28"/>
  <c r="V118" i="28"/>
  <c r="U118" i="28"/>
  <c r="X117" i="28"/>
  <c r="V117" i="28"/>
  <c r="U117" i="28"/>
  <c r="X116" i="28"/>
  <c r="V116" i="28"/>
  <c r="U116" i="28"/>
  <c r="X115" i="28"/>
  <c r="W115" i="28"/>
  <c r="V115" i="28"/>
  <c r="F96" i="28"/>
  <c r="E96" i="28"/>
  <c r="D19" i="28" s="1"/>
  <c r="F95" i="28"/>
  <c r="E95" i="28"/>
  <c r="F94" i="28"/>
  <c r="E94" i="28"/>
  <c r="F93" i="28"/>
  <c r="E93" i="28"/>
  <c r="F92" i="28"/>
  <c r="E92" i="28"/>
  <c r="F91" i="28"/>
  <c r="E91" i="28"/>
  <c r="F90" i="28"/>
  <c r="E90" i="28"/>
  <c r="F89" i="28"/>
  <c r="E89" i="28"/>
  <c r="F88" i="28"/>
  <c r="E88" i="28"/>
  <c r="F87" i="28"/>
  <c r="E87" i="28"/>
  <c r="C86" i="28"/>
  <c r="C58" i="28"/>
  <c r="D20" i="28" s="1"/>
  <c r="L64" i="28" s="1"/>
  <c r="C57" i="28"/>
  <c r="C56" i="28"/>
  <c r="C55" i="28"/>
  <c r="C54" i="28"/>
  <c r="C53" i="28"/>
  <c r="C52" i="28"/>
  <c r="C51" i="28"/>
  <c r="C50" i="28"/>
  <c r="C49" i="28"/>
  <c r="C48" i="28"/>
  <c r="C47" i="28"/>
  <c r="C46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AD36" i="28"/>
  <c r="AC36" i="28"/>
  <c r="AB36" i="28"/>
  <c r="AA36" i="28"/>
  <c r="Z36" i="28"/>
  <c r="Y36" i="28"/>
  <c r="X36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AD35" i="28"/>
  <c r="AC35" i="28"/>
  <c r="AB35" i="28"/>
  <c r="AA35" i="28"/>
  <c r="Z35" i="28"/>
  <c r="Y35" i="28"/>
  <c r="X35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AD32" i="28"/>
  <c r="S32" i="28"/>
  <c r="R32" i="28"/>
  <c r="J20" i="28"/>
  <c r="D18" i="28"/>
  <c r="D17" i="28"/>
  <c r="D16" i="28"/>
  <c r="F15" i="28"/>
  <c r="Y64" i="28" s="1"/>
  <c r="D15" i="28"/>
  <c r="D14" i="28"/>
  <c r="K13" i="28"/>
  <c r="J13" i="28"/>
  <c r="D13" i="28"/>
  <c r="AD12" i="28"/>
  <c r="AC12" i="28"/>
  <c r="AB12" i="28"/>
  <c r="AA12" i="28"/>
  <c r="J12" i="28"/>
  <c r="D12" i="28"/>
  <c r="AD11" i="28"/>
  <c r="AC11" i="28"/>
  <c r="AB11" i="28"/>
  <c r="AA11" i="28"/>
  <c r="J11" i="28"/>
  <c r="D11" i="28"/>
  <c r="J10" i="28"/>
  <c r="D10" i="28"/>
  <c r="AD9" i="28"/>
  <c r="K9" i="28"/>
  <c r="J9" i="28"/>
  <c r="F9" i="28"/>
  <c r="F13" i="28" s="1"/>
  <c r="D9" i="28"/>
  <c r="AC32" i="28" s="1"/>
  <c r="J8" i="28"/>
  <c r="C8" i="28"/>
  <c r="K7" i="28"/>
  <c r="K10" i="28" s="1"/>
  <c r="C7" i="28"/>
  <c r="C6" i="28"/>
  <c r="C5" i="28"/>
  <c r="C4" i="28"/>
  <c r="C3" i="28"/>
  <c r="I295" i="27"/>
  <c r="H295" i="27"/>
  <c r="K292" i="27"/>
  <c r="J292" i="27"/>
  <c r="J289" i="27"/>
  <c r="I289" i="27"/>
  <c r="H286" i="27"/>
  <c r="G286" i="27"/>
  <c r="AT283" i="27"/>
  <c r="AS283" i="27"/>
  <c r="J283" i="27"/>
  <c r="I283" i="27"/>
  <c r="J280" i="27"/>
  <c r="I280" i="27"/>
  <c r="L277" i="27"/>
  <c r="K277" i="27"/>
  <c r="J274" i="27"/>
  <c r="I274" i="27"/>
  <c r="L271" i="27"/>
  <c r="K271" i="27"/>
  <c r="K268" i="27"/>
  <c r="J268" i="27"/>
  <c r="L265" i="27"/>
  <c r="K265" i="27"/>
  <c r="K262" i="27"/>
  <c r="J262" i="27"/>
  <c r="K259" i="27"/>
  <c r="J259" i="27"/>
  <c r="J256" i="27"/>
  <c r="I256" i="27"/>
  <c r="L253" i="27"/>
  <c r="K253" i="27"/>
  <c r="M250" i="27"/>
  <c r="L250" i="27"/>
  <c r="M247" i="27"/>
  <c r="L247" i="27"/>
  <c r="M244" i="27"/>
  <c r="L244" i="27"/>
  <c r="N241" i="27"/>
  <c r="M241" i="27"/>
  <c r="I238" i="27"/>
  <c r="H238" i="27"/>
  <c r="K235" i="27"/>
  <c r="J235" i="27"/>
  <c r="J232" i="27"/>
  <c r="I232" i="27"/>
  <c r="J229" i="27"/>
  <c r="I229" i="27"/>
  <c r="J226" i="27"/>
  <c r="I226" i="27"/>
  <c r="G223" i="27"/>
  <c r="F223" i="27"/>
  <c r="I220" i="27"/>
  <c r="H220" i="27"/>
  <c r="I217" i="27"/>
  <c r="H217" i="27"/>
  <c r="H214" i="27"/>
  <c r="G214" i="27"/>
  <c r="L211" i="27"/>
  <c r="K211" i="27"/>
  <c r="K208" i="27"/>
  <c r="J208" i="27"/>
  <c r="J205" i="27"/>
  <c r="I205" i="27"/>
  <c r="L202" i="27"/>
  <c r="K202" i="27"/>
  <c r="N199" i="27"/>
  <c r="M199" i="27"/>
  <c r="K196" i="27"/>
  <c r="J196" i="27"/>
  <c r="AW193" i="27"/>
  <c r="K193" i="27"/>
  <c r="J193" i="27"/>
  <c r="K190" i="27"/>
  <c r="J190" i="27"/>
  <c r="J187" i="27"/>
  <c r="I187" i="27"/>
  <c r="J184" i="27"/>
  <c r="I184" i="27"/>
  <c r="K181" i="27"/>
  <c r="J181" i="27"/>
  <c r="K178" i="27"/>
  <c r="J178" i="27"/>
  <c r="I175" i="27"/>
  <c r="H175" i="27"/>
  <c r="K172" i="27"/>
  <c r="J172" i="27"/>
  <c r="G169" i="27"/>
  <c r="X129" i="27"/>
  <c r="W129" i="27"/>
  <c r="V129" i="27"/>
  <c r="U129" i="27"/>
  <c r="X128" i="27"/>
  <c r="W128" i="27"/>
  <c r="V128" i="27"/>
  <c r="U128" i="27"/>
  <c r="X127" i="27"/>
  <c r="W127" i="27"/>
  <c r="V127" i="27"/>
  <c r="U127" i="27"/>
  <c r="X126" i="27"/>
  <c r="W126" i="27"/>
  <c r="V126" i="27"/>
  <c r="U126" i="27"/>
  <c r="X125" i="27"/>
  <c r="W125" i="27"/>
  <c r="V125" i="27"/>
  <c r="U125" i="27"/>
  <c r="X124" i="27"/>
  <c r="W124" i="27"/>
  <c r="V124" i="27"/>
  <c r="U124" i="27"/>
  <c r="X123" i="27"/>
  <c r="W123" i="27"/>
  <c r="V123" i="27"/>
  <c r="U123" i="27"/>
  <c r="X122" i="27"/>
  <c r="W122" i="27"/>
  <c r="V122" i="27"/>
  <c r="U122" i="27"/>
  <c r="X121" i="27"/>
  <c r="W121" i="27"/>
  <c r="V121" i="27"/>
  <c r="U121" i="27"/>
  <c r="X120" i="27"/>
  <c r="W120" i="27"/>
  <c r="V120" i="27"/>
  <c r="U120" i="27"/>
  <c r="X119" i="27"/>
  <c r="W119" i="27"/>
  <c r="V119" i="27"/>
  <c r="U119" i="27"/>
  <c r="X118" i="27"/>
  <c r="W118" i="27"/>
  <c r="V118" i="27"/>
  <c r="U118" i="27"/>
  <c r="X117" i="27"/>
  <c r="V117" i="27"/>
  <c r="U117" i="27"/>
  <c r="X116" i="27"/>
  <c r="V116" i="27"/>
  <c r="U116" i="27"/>
  <c r="X115" i="27"/>
  <c r="W115" i="27"/>
  <c r="V115" i="27"/>
  <c r="F96" i="27"/>
  <c r="E96" i="27"/>
  <c r="D19" i="27" s="1"/>
  <c r="F95" i="27"/>
  <c r="E95" i="27"/>
  <c r="F94" i="27"/>
  <c r="E94" i="27"/>
  <c r="F93" i="27"/>
  <c r="E93" i="27"/>
  <c r="D6" i="27" s="1"/>
  <c r="F92" i="27"/>
  <c r="E92" i="27"/>
  <c r="F91" i="27"/>
  <c r="E91" i="27"/>
  <c r="F90" i="27"/>
  <c r="E90" i="27"/>
  <c r="F89" i="27"/>
  <c r="E89" i="27"/>
  <c r="F88" i="27"/>
  <c r="E88" i="27"/>
  <c r="F87" i="27"/>
  <c r="E87" i="27"/>
  <c r="C86" i="27"/>
  <c r="C58" i="27"/>
  <c r="C57" i="27"/>
  <c r="C56" i="27"/>
  <c r="D12" i="27" s="1"/>
  <c r="C55" i="27"/>
  <c r="C54" i="27"/>
  <c r="C53" i="27"/>
  <c r="C52" i="27"/>
  <c r="C51" i="27"/>
  <c r="C50" i="27"/>
  <c r="C49" i="27"/>
  <c r="C48" i="27"/>
  <c r="C47" i="27"/>
  <c r="C46" i="27"/>
  <c r="AD37" i="27"/>
  <c r="AC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P37" i="27"/>
  <c r="O37" i="27"/>
  <c r="N37" i="27"/>
  <c r="M37" i="27"/>
  <c r="L37" i="27"/>
  <c r="K37" i="27"/>
  <c r="J37" i="27"/>
  <c r="AD36" i="27"/>
  <c r="AC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J36" i="27"/>
  <c r="AD35" i="27"/>
  <c r="AC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P35" i="27"/>
  <c r="O35" i="27"/>
  <c r="N35" i="27"/>
  <c r="M35" i="27"/>
  <c r="L35" i="27"/>
  <c r="K35" i="27"/>
  <c r="J35" i="27"/>
  <c r="AD32" i="27"/>
  <c r="AB32" i="27"/>
  <c r="R32" i="27"/>
  <c r="P32" i="27"/>
  <c r="D20" i="27"/>
  <c r="L64" i="27" s="1"/>
  <c r="D18" i="27"/>
  <c r="D17" i="27"/>
  <c r="D16" i="27"/>
  <c r="F15" i="27"/>
  <c r="Y64" i="27" s="1"/>
  <c r="D15" i="27"/>
  <c r="D14" i="27"/>
  <c r="J13" i="27"/>
  <c r="D13" i="27"/>
  <c r="AD12" i="27"/>
  <c r="AC12" i="27"/>
  <c r="AB12" i="27"/>
  <c r="AA12" i="27"/>
  <c r="J12" i="27"/>
  <c r="AD11" i="27"/>
  <c r="AC11" i="27"/>
  <c r="AB11" i="27"/>
  <c r="AA11" i="27"/>
  <c r="K11" i="27"/>
  <c r="J11" i="27"/>
  <c r="D11" i="27"/>
  <c r="J10" i="27"/>
  <c r="D10" i="27"/>
  <c r="AD9" i="27"/>
  <c r="AC9" i="27"/>
  <c r="AB9" i="27"/>
  <c r="J9" i="27"/>
  <c r="F9" i="27"/>
  <c r="F10" i="27" s="1"/>
  <c r="D9" i="27"/>
  <c r="AC32" i="27" s="1"/>
  <c r="J8" i="27"/>
  <c r="C8" i="27"/>
  <c r="K7" i="27"/>
  <c r="K8" i="27" s="1"/>
  <c r="C7" i="27"/>
  <c r="C6" i="27"/>
  <c r="C5" i="27"/>
  <c r="C4" i="27"/>
  <c r="C3" i="27"/>
  <c r="I295" i="26"/>
  <c r="H295" i="26"/>
  <c r="K292" i="26"/>
  <c r="J292" i="26"/>
  <c r="J289" i="26"/>
  <c r="I289" i="26"/>
  <c r="H286" i="26"/>
  <c r="G286" i="26"/>
  <c r="AT283" i="26"/>
  <c r="AS283" i="26"/>
  <c r="J283" i="26"/>
  <c r="I283" i="26"/>
  <c r="J280" i="26"/>
  <c r="I280" i="26"/>
  <c r="L277" i="26"/>
  <c r="K277" i="26"/>
  <c r="J274" i="26"/>
  <c r="I274" i="26"/>
  <c r="L271" i="26"/>
  <c r="K271" i="26"/>
  <c r="K268" i="26"/>
  <c r="J268" i="26"/>
  <c r="L265" i="26"/>
  <c r="K265" i="26"/>
  <c r="K262" i="26"/>
  <c r="J262" i="26"/>
  <c r="K259" i="26"/>
  <c r="J259" i="26"/>
  <c r="J256" i="26"/>
  <c r="I256" i="26"/>
  <c r="L253" i="26"/>
  <c r="K253" i="26"/>
  <c r="M250" i="26"/>
  <c r="L250" i="26"/>
  <c r="M247" i="26"/>
  <c r="L247" i="26"/>
  <c r="M244" i="26"/>
  <c r="L244" i="26"/>
  <c r="N241" i="26"/>
  <c r="M241" i="26"/>
  <c r="I238" i="26"/>
  <c r="H238" i="26"/>
  <c r="K235" i="26"/>
  <c r="J235" i="26"/>
  <c r="J232" i="26"/>
  <c r="I232" i="26"/>
  <c r="J229" i="26"/>
  <c r="I229" i="26"/>
  <c r="J226" i="26"/>
  <c r="I226" i="26"/>
  <c r="G223" i="26"/>
  <c r="F223" i="26"/>
  <c r="I220" i="26"/>
  <c r="H220" i="26"/>
  <c r="I217" i="26"/>
  <c r="H217" i="26"/>
  <c r="H214" i="26"/>
  <c r="G214" i="26"/>
  <c r="L211" i="26"/>
  <c r="K211" i="26"/>
  <c r="K208" i="26"/>
  <c r="J208" i="26"/>
  <c r="J205" i="26"/>
  <c r="I205" i="26"/>
  <c r="L202" i="26"/>
  <c r="K202" i="26"/>
  <c r="N199" i="26"/>
  <c r="M199" i="26"/>
  <c r="K196" i="26"/>
  <c r="J196" i="26"/>
  <c r="AW193" i="26"/>
  <c r="K193" i="26"/>
  <c r="J193" i="26"/>
  <c r="K190" i="26"/>
  <c r="J190" i="26"/>
  <c r="J187" i="26"/>
  <c r="I187" i="26"/>
  <c r="J184" i="26"/>
  <c r="I184" i="26"/>
  <c r="K181" i="26"/>
  <c r="J181" i="26"/>
  <c r="K178" i="26"/>
  <c r="J178" i="26"/>
  <c r="I175" i="26"/>
  <c r="H175" i="26"/>
  <c r="K172" i="26"/>
  <c r="J172" i="26"/>
  <c r="G169" i="26"/>
  <c r="X129" i="26"/>
  <c r="W129" i="26"/>
  <c r="V129" i="26"/>
  <c r="U129" i="26"/>
  <c r="X128" i="26"/>
  <c r="W128" i="26"/>
  <c r="V128" i="26"/>
  <c r="U128" i="26"/>
  <c r="X127" i="26"/>
  <c r="W127" i="26"/>
  <c r="V127" i="26"/>
  <c r="U127" i="26"/>
  <c r="X126" i="26"/>
  <c r="W126" i="26"/>
  <c r="V126" i="26"/>
  <c r="U126" i="26"/>
  <c r="X125" i="26"/>
  <c r="W125" i="26"/>
  <c r="V125" i="26"/>
  <c r="U125" i="26"/>
  <c r="X124" i="26"/>
  <c r="W124" i="26"/>
  <c r="V124" i="26"/>
  <c r="U124" i="26"/>
  <c r="X123" i="26"/>
  <c r="W123" i="26"/>
  <c r="V123" i="26"/>
  <c r="U123" i="26"/>
  <c r="X122" i="26"/>
  <c r="W122" i="26"/>
  <c r="V122" i="26"/>
  <c r="U122" i="26"/>
  <c r="X121" i="26"/>
  <c r="W121" i="26"/>
  <c r="V121" i="26"/>
  <c r="U121" i="26"/>
  <c r="X120" i="26"/>
  <c r="W120" i="26"/>
  <c r="V120" i="26"/>
  <c r="U120" i="26"/>
  <c r="X119" i="26"/>
  <c r="W119" i="26"/>
  <c r="V119" i="26"/>
  <c r="U119" i="26"/>
  <c r="X118" i="26"/>
  <c r="W118" i="26"/>
  <c r="V118" i="26"/>
  <c r="U118" i="26"/>
  <c r="X117" i="26"/>
  <c r="V117" i="26"/>
  <c r="U117" i="26"/>
  <c r="X116" i="26"/>
  <c r="V116" i="26"/>
  <c r="U116" i="26"/>
  <c r="X115" i="26"/>
  <c r="W115" i="26"/>
  <c r="V115" i="26"/>
  <c r="F96" i="26"/>
  <c r="E96" i="26"/>
  <c r="D19" i="26" s="1"/>
  <c r="C76" i="26" s="1"/>
  <c r="D17" i="26" s="1"/>
  <c r="F95" i="26"/>
  <c r="E95" i="26"/>
  <c r="F94" i="26"/>
  <c r="E94" i="26"/>
  <c r="D7" i="26" s="1"/>
  <c r="Y34" i="26" s="1"/>
  <c r="F93" i="26"/>
  <c r="E93" i="26"/>
  <c r="D6" i="26" s="1"/>
  <c r="V33" i="26" s="1"/>
  <c r="F92" i="26"/>
  <c r="E92" i="26"/>
  <c r="F91" i="26"/>
  <c r="E91" i="26"/>
  <c r="F90" i="26"/>
  <c r="E90" i="26"/>
  <c r="F89" i="26"/>
  <c r="E89" i="26"/>
  <c r="F88" i="26"/>
  <c r="E88" i="26"/>
  <c r="F87" i="26"/>
  <c r="E87" i="26"/>
  <c r="C86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AD35" i="26"/>
  <c r="AC35" i="26"/>
  <c r="AB35" i="26"/>
  <c r="AA35" i="26"/>
  <c r="Z35" i="26"/>
  <c r="Y35" i="26"/>
  <c r="X35" i="26"/>
  <c r="W35" i="26"/>
  <c r="V35" i="26"/>
  <c r="U35" i="26"/>
  <c r="T35" i="26"/>
  <c r="S35" i="26"/>
  <c r="R35" i="26"/>
  <c r="Q35" i="26"/>
  <c r="P35" i="26"/>
  <c r="O35" i="26"/>
  <c r="N35" i="26"/>
  <c r="M35" i="26"/>
  <c r="L35" i="26"/>
  <c r="K35" i="26"/>
  <c r="J35" i="26"/>
  <c r="U32" i="26"/>
  <c r="J20" i="26"/>
  <c r="D20" i="26"/>
  <c r="K64" i="26" s="1"/>
  <c r="D18" i="26"/>
  <c r="D16" i="26"/>
  <c r="F15" i="26"/>
  <c r="Y64" i="26" s="1"/>
  <c r="D15" i="26"/>
  <c r="D14" i="26"/>
  <c r="J13" i="26"/>
  <c r="D13" i="26"/>
  <c r="AD12" i="26"/>
  <c r="AC12" i="26"/>
  <c r="AB12" i="26"/>
  <c r="AA12" i="26"/>
  <c r="J12" i="26"/>
  <c r="D12" i="26"/>
  <c r="AD11" i="26"/>
  <c r="AC11" i="26"/>
  <c r="AB11" i="26"/>
  <c r="AA11" i="26"/>
  <c r="J11" i="26"/>
  <c r="D11" i="26"/>
  <c r="J10" i="26"/>
  <c r="D10" i="26"/>
  <c r="AD9" i="26"/>
  <c r="AC9" i="26"/>
  <c r="AB9" i="26"/>
  <c r="J9" i="26"/>
  <c r="F9" i="26"/>
  <c r="F13" i="26" s="1"/>
  <c r="D9" i="26"/>
  <c r="S32" i="26" s="1"/>
  <c r="J8" i="26"/>
  <c r="C8" i="26"/>
  <c r="K7" i="26"/>
  <c r="K10" i="26" s="1"/>
  <c r="C7" i="26"/>
  <c r="C6" i="26"/>
  <c r="C5" i="26"/>
  <c r="C4" i="26"/>
  <c r="C3" i="26"/>
  <c r="I295" i="25"/>
  <c r="H295" i="25"/>
  <c r="K292" i="25"/>
  <c r="J292" i="25"/>
  <c r="J289" i="25"/>
  <c r="I289" i="25"/>
  <c r="H286" i="25"/>
  <c r="G286" i="25"/>
  <c r="AT283" i="25"/>
  <c r="AS283" i="25"/>
  <c r="J283" i="25"/>
  <c r="I283" i="25"/>
  <c r="J280" i="25"/>
  <c r="I280" i="25"/>
  <c r="L277" i="25"/>
  <c r="K277" i="25"/>
  <c r="J274" i="25"/>
  <c r="I274" i="25"/>
  <c r="L271" i="25"/>
  <c r="K271" i="25"/>
  <c r="K268" i="25"/>
  <c r="J268" i="25"/>
  <c r="L265" i="25"/>
  <c r="K265" i="25"/>
  <c r="K262" i="25"/>
  <c r="J262" i="25"/>
  <c r="K259" i="25"/>
  <c r="J259" i="25"/>
  <c r="J256" i="25"/>
  <c r="I256" i="25"/>
  <c r="L253" i="25"/>
  <c r="K253" i="25"/>
  <c r="M250" i="25"/>
  <c r="L250" i="25"/>
  <c r="M247" i="25"/>
  <c r="L247" i="25"/>
  <c r="M244" i="25"/>
  <c r="L244" i="25"/>
  <c r="N241" i="25"/>
  <c r="M241" i="25"/>
  <c r="I238" i="25"/>
  <c r="H238" i="25"/>
  <c r="K235" i="25"/>
  <c r="J235" i="25"/>
  <c r="J232" i="25"/>
  <c r="I232" i="25"/>
  <c r="J229" i="25"/>
  <c r="I229" i="25"/>
  <c r="J226" i="25"/>
  <c r="I226" i="25"/>
  <c r="G223" i="25"/>
  <c r="F223" i="25"/>
  <c r="I220" i="25"/>
  <c r="H220" i="25"/>
  <c r="I217" i="25"/>
  <c r="H217" i="25"/>
  <c r="H214" i="25"/>
  <c r="G214" i="25"/>
  <c r="L211" i="25"/>
  <c r="K211" i="25"/>
  <c r="K208" i="25"/>
  <c r="J208" i="25"/>
  <c r="J205" i="25"/>
  <c r="I205" i="25"/>
  <c r="L202" i="25"/>
  <c r="K202" i="25"/>
  <c r="N199" i="25"/>
  <c r="M199" i="25"/>
  <c r="K196" i="25"/>
  <c r="J196" i="25"/>
  <c r="AW193" i="25"/>
  <c r="K193" i="25"/>
  <c r="J193" i="25"/>
  <c r="K190" i="25"/>
  <c r="J190" i="25"/>
  <c r="J187" i="25"/>
  <c r="I187" i="25"/>
  <c r="J184" i="25"/>
  <c r="I184" i="25"/>
  <c r="K181" i="25"/>
  <c r="J181" i="25"/>
  <c r="K178" i="25"/>
  <c r="J178" i="25"/>
  <c r="I175" i="25"/>
  <c r="H175" i="25"/>
  <c r="K172" i="25"/>
  <c r="J172" i="25"/>
  <c r="G169" i="25"/>
  <c r="X129" i="25"/>
  <c r="W129" i="25"/>
  <c r="V129" i="25"/>
  <c r="U129" i="25"/>
  <c r="X128" i="25"/>
  <c r="W128" i="25"/>
  <c r="V128" i="25"/>
  <c r="U128" i="25"/>
  <c r="X127" i="25"/>
  <c r="W127" i="25"/>
  <c r="V127" i="25"/>
  <c r="U127" i="25"/>
  <c r="X126" i="25"/>
  <c r="W126" i="25"/>
  <c r="V126" i="25"/>
  <c r="U126" i="25"/>
  <c r="X125" i="25"/>
  <c r="W125" i="25"/>
  <c r="V125" i="25"/>
  <c r="U125" i="25"/>
  <c r="X124" i="25"/>
  <c r="W124" i="25"/>
  <c r="V124" i="25"/>
  <c r="U124" i="25"/>
  <c r="X123" i="25"/>
  <c r="W123" i="25"/>
  <c r="V123" i="25"/>
  <c r="U123" i="25"/>
  <c r="X122" i="25"/>
  <c r="W122" i="25"/>
  <c r="V122" i="25"/>
  <c r="U122" i="25"/>
  <c r="X121" i="25"/>
  <c r="W121" i="25"/>
  <c r="V121" i="25"/>
  <c r="U121" i="25"/>
  <c r="X120" i="25"/>
  <c r="W120" i="25"/>
  <c r="V120" i="25"/>
  <c r="U120" i="25"/>
  <c r="X119" i="25"/>
  <c r="W119" i="25"/>
  <c r="V119" i="25"/>
  <c r="U119" i="25"/>
  <c r="X118" i="25"/>
  <c r="W118" i="25"/>
  <c r="V118" i="25"/>
  <c r="U118" i="25"/>
  <c r="X117" i="25"/>
  <c r="V117" i="25"/>
  <c r="U117" i="25"/>
  <c r="X116" i="25"/>
  <c r="V116" i="25"/>
  <c r="U116" i="25"/>
  <c r="X115" i="25"/>
  <c r="W115" i="25"/>
  <c r="V115" i="25"/>
  <c r="F96" i="25"/>
  <c r="E96" i="25"/>
  <c r="D19" i="25" s="1"/>
  <c r="F95" i="25"/>
  <c r="E95" i="25"/>
  <c r="D8" i="25" s="1"/>
  <c r="Y65" i="25" s="1"/>
  <c r="F94" i="25"/>
  <c r="E94" i="25"/>
  <c r="F93" i="25"/>
  <c r="E93" i="25"/>
  <c r="D6" i="25" s="1"/>
  <c r="X33" i="25" s="1"/>
  <c r="F92" i="25"/>
  <c r="E92" i="25"/>
  <c r="F91" i="25"/>
  <c r="E91" i="25"/>
  <c r="F90" i="25"/>
  <c r="E90" i="25"/>
  <c r="F89" i="25"/>
  <c r="E89" i="25"/>
  <c r="F88" i="25"/>
  <c r="E88" i="25"/>
  <c r="F87" i="25"/>
  <c r="E87" i="25"/>
  <c r="C86" i="25"/>
  <c r="C58" i="25"/>
  <c r="C57" i="25"/>
  <c r="C56" i="25"/>
  <c r="C55" i="25"/>
  <c r="C54" i="25"/>
  <c r="C53" i="25"/>
  <c r="C52" i="25"/>
  <c r="C51" i="25"/>
  <c r="C50" i="25"/>
  <c r="C49" i="25"/>
  <c r="C48" i="25"/>
  <c r="C47" i="25"/>
  <c r="C46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AD32" i="25"/>
  <c r="AC32" i="25"/>
  <c r="Y32" i="25"/>
  <c r="X32" i="25"/>
  <c r="W32" i="25"/>
  <c r="T20" i="25"/>
  <c r="S20" i="25"/>
  <c r="R20" i="25"/>
  <c r="Q20" i="25"/>
  <c r="P20" i="25"/>
  <c r="D20" i="25"/>
  <c r="D18" i="25"/>
  <c r="D17" i="25"/>
  <c r="D16" i="25"/>
  <c r="F15" i="25"/>
  <c r="D15" i="25"/>
  <c r="F14" i="25"/>
  <c r="D14" i="25"/>
  <c r="K13" i="25"/>
  <c r="J13" i="25"/>
  <c r="D13" i="25"/>
  <c r="AD12" i="25"/>
  <c r="AC12" i="25"/>
  <c r="AB12" i="25"/>
  <c r="AA12" i="25"/>
  <c r="J12" i="25"/>
  <c r="F12" i="25"/>
  <c r="AA9" i="25" s="1"/>
  <c r="D12" i="25"/>
  <c r="AD11" i="25"/>
  <c r="AC11" i="25"/>
  <c r="AB11" i="25"/>
  <c r="AA11" i="25"/>
  <c r="K11" i="25"/>
  <c r="J11" i="25"/>
  <c r="D11" i="25"/>
  <c r="J10" i="25"/>
  <c r="F10" i="25"/>
  <c r="D10" i="25"/>
  <c r="R32" i="25" s="1"/>
  <c r="AD9" i="25"/>
  <c r="AC9" i="25"/>
  <c r="AB9" i="25"/>
  <c r="K9" i="25"/>
  <c r="J9" i="25"/>
  <c r="F9" i="25"/>
  <c r="F11" i="25" s="1"/>
  <c r="D9" i="25"/>
  <c r="U32" i="25" s="1"/>
  <c r="K8" i="25"/>
  <c r="J8" i="25"/>
  <c r="C8" i="25"/>
  <c r="K7" i="25"/>
  <c r="L7" i="25" s="1"/>
  <c r="C7" i="25"/>
  <c r="C6" i="25"/>
  <c r="C5" i="25"/>
  <c r="C4" i="25"/>
  <c r="C3" i="25"/>
  <c r="E135" i="7" l="1"/>
  <c r="F101" i="39"/>
  <c r="C136" i="7" s="1"/>
  <c r="D3" i="30"/>
  <c r="O29" i="30" s="1"/>
  <c r="D19" i="30"/>
  <c r="C76" i="30" s="1"/>
  <c r="D17" i="30" s="1"/>
  <c r="L32" i="30" s="1"/>
  <c r="F10" i="30"/>
  <c r="D6" i="30"/>
  <c r="S33" i="30" s="1"/>
  <c r="L58" i="30"/>
  <c r="L57" i="30" s="1"/>
  <c r="D8" i="30"/>
  <c r="Y65" i="30" s="1"/>
  <c r="D4" i="30"/>
  <c r="Y68" i="30" s="1"/>
  <c r="D5" i="33"/>
  <c r="J31" i="33" s="1"/>
  <c r="D6" i="33"/>
  <c r="AB33" i="33" s="1"/>
  <c r="D4" i="33"/>
  <c r="X68" i="33" s="1"/>
  <c r="L58" i="33"/>
  <c r="L57" i="33" s="1"/>
  <c r="D8" i="33"/>
  <c r="Y65" i="33" s="1"/>
  <c r="F14" i="33"/>
  <c r="D5" i="32"/>
  <c r="D7" i="32"/>
  <c r="N34" i="32" s="1"/>
  <c r="J58" i="32"/>
  <c r="J57" i="32" s="1"/>
  <c r="AB33" i="32"/>
  <c r="J44" i="21"/>
  <c r="K44" i="21"/>
  <c r="M44" i="21"/>
  <c r="L44" i="21"/>
  <c r="L58" i="28"/>
  <c r="L57" i="28" s="1"/>
  <c r="J64" i="28"/>
  <c r="J58" i="28" s="1"/>
  <c r="J57" i="28" s="1"/>
  <c r="K64" i="28"/>
  <c r="K58" i="28" s="1"/>
  <c r="K57" i="28" s="1"/>
  <c r="F12" i="28"/>
  <c r="AC9" i="28" s="1"/>
  <c r="D6" i="28"/>
  <c r="T33" i="28" s="1"/>
  <c r="V64" i="28"/>
  <c r="W64" i="28"/>
  <c r="X64" i="28"/>
  <c r="D8" i="28"/>
  <c r="Y65" i="28" s="1"/>
  <c r="D5" i="26"/>
  <c r="D4" i="26"/>
  <c r="S69" i="26" s="1"/>
  <c r="S57" i="26" s="1"/>
  <c r="W64" i="26"/>
  <c r="F12" i="26"/>
  <c r="AA9" i="26" s="1"/>
  <c r="D8" i="26"/>
  <c r="Y65" i="26" s="1"/>
  <c r="D3" i="26"/>
  <c r="V29" i="26" s="1"/>
  <c r="K58" i="26"/>
  <c r="K57" i="26" s="1"/>
  <c r="L58" i="26"/>
  <c r="L57" i="26" s="1"/>
  <c r="J64" i="26"/>
  <c r="J58" i="26" s="1"/>
  <c r="J57" i="26" s="1"/>
  <c r="L58" i="27"/>
  <c r="L57" i="27" s="1"/>
  <c r="J64" i="27"/>
  <c r="J58" i="27" s="1"/>
  <c r="J57" i="27" s="1"/>
  <c r="K64" i="27"/>
  <c r="K58" i="27" s="1"/>
  <c r="K57" i="27" s="1"/>
  <c r="D8" i="27"/>
  <c r="Y65" i="27" s="1"/>
  <c r="V64" i="27"/>
  <c r="X64" i="27"/>
  <c r="F100" i="35"/>
  <c r="C115" i="7" s="1"/>
  <c r="D135" i="7"/>
  <c r="F101" i="40"/>
  <c r="D136" i="7" s="1"/>
  <c r="F100" i="40"/>
  <c r="D134" i="7" s="1"/>
  <c r="P10" i="41"/>
  <c r="P8" i="41"/>
  <c r="P11" i="41"/>
  <c r="P12" i="41"/>
  <c r="Q7" i="41"/>
  <c r="P13" i="41"/>
  <c r="P9" i="41"/>
  <c r="O12" i="40"/>
  <c r="P7" i="40"/>
  <c r="O11" i="40"/>
  <c r="O13" i="40"/>
  <c r="O9" i="40"/>
  <c r="O10" i="40"/>
  <c r="O8" i="40"/>
  <c r="O10" i="39"/>
  <c r="O8" i="39"/>
  <c r="O11" i="39"/>
  <c r="O12" i="39"/>
  <c r="P7" i="39"/>
  <c r="O13" i="39"/>
  <c r="O9" i="39"/>
  <c r="O10" i="38"/>
  <c r="O8" i="38"/>
  <c r="O11" i="38"/>
  <c r="O12" i="38"/>
  <c r="P7" i="38"/>
  <c r="O13" i="38"/>
  <c r="O9" i="38"/>
  <c r="F100" i="34"/>
  <c r="B115" i="7" s="1"/>
  <c r="F101" i="34"/>
  <c r="B117" i="7" s="1"/>
  <c r="C116" i="7"/>
  <c r="F101" i="36"/>
  <c r="D117" i="7" s="1"/>
  <c r="F100" i="36"/>
  <c r="D115" i="7" s="1"/>
  <c r="F99" i="36"/>
  <c r="D116" i="7"/>
  <c r="F100" i="37"/>
  <c r="E115" i="7" s="1"/>
  <c r="F101" i="37"/>
  <c r="E117" i="7" s="1"/>
  <c r="F99" i="37"/>
  <c r="F99" i="34"/>
  <c r="B116" i="7"/>
  <c r="O13" i="37"/>
  <c r="O9" i="37"/>
  <c r="O12" i="37"/>
  <c r="O10" i="37"/>
  <c r="O11" i="37"/>
  <c r="O8" i="37"/>
  <c r="P7" i="37"/>
  <c r="O12" i="36"/>
  <c r="P7" i="36"/>
  <c r="O13" i="36"/>
  <c r="O9" i="36"/>
  <c r="O11" i="36"/>
  <c r="O10" i="36"/>
  <c r="O8" i="36"/>
  <c r="O10" i="35"/>
  <c r="O8" i="35"/>
  <c r="O11" i="35"/>
  <c r="O12" i="35"/>
  <c r="P7" i="35"/>
  <c r="O13" i="35"/>
  <c r="O9" i="35"/>
  <c r="P10" i="34"/>
  <c r="P11" i="34"/>
  <c r="P8" i="34"/>
  <c r="Q7" i="34"/>
  <c r="P9" i="34"/>
  <c r="P12" i="34"/>
  <c r="P13" i="34"/>
  <c r="D7" i="30"/>
  <c r="U34" i="30" s="1"/>
  <c r="D3" i="28"/>
  <c r="P29" i="28" s="1"/>
  <c r="W68" i="26"/>
  <c r="X65" i="27"/>
  <c r="V65" i="25"/>
  <c r="W65" i="25"/>
  <c r="X65" i="25"/>
  <c r="D6" i="29"/>
  <c r="AB33" i="29" s="1"/>
  <c r="D5" i="30"/>
  <c r="M31" i="30" s="1"/>
  <c r="K30" i="30"/>
  <c r="D4" i="29"/>
  <c r="S30" i="29" s="1"/>
  <c r="D5" i="29"/>
  <c r="Y31" i="29" s="1"/>
  <c r="D3" i="29"/>
  <c r="Z29" i="29" s="1"/>
  <c r="K58" i="29"/>
  <c r="K57" i="29" s="1"/>
  <c r="D7" i="29"/>
  <c r="S34" i="29" s="1"/>
  <c r="AB10" i="29"/>
  <c r="AB4" i="29" s="1"/>
  <c r="AB16" i="29" s="1"/>
  <c r="L58" i="29"/>
  <c r="L57" i="29" s="1"/>
  <c r="D8" i="31"/>
  <c r="W65" i="31" s="1"/>
  <c r="F12" i="32"/>
  <c r="AA9" i="32" s="1"/>
  <c r="D8" i="32"/>
  <c r="X65" i="32" s="1"/>
  <c r="J44" i="33"/>
  <c r="J33" i="33" s="1"/>
  <c r="F12" i="31"/>
  <c r="AA33" i="31"/>
  <c r="AB33" i="31"/>
  <c r="P33" i="31"/>
  <c r="S34" i="31"/>
  <c r="X65" i="31"/>
  <c r="D3" i="33"/>
  <c r="AB29" i="33" s="1"/>
  <c r="R33" i="33"/>
  <c r="AD33" i="33"/>
  <c r="V31" i="33"/>
  <c r="S34" i="33"/>
  <c r="AD34" i="33"/>
  <c r="R34" i="33"/>
  <c r="AC34" i="33"/>
  <c r="Q34" i="33"/>
  <c r="AB34" i="33"/>
  <c r="P34" i="33"/>
  <c r="AA34" i="33"/>
  <c r="O34" i="33"/>
  <c r="Z34" i="33"/>
  <c r="N34" i="33"/>
  <c r="Y34" i="33"/>
  <c r="M34" i="33"/>
  <c r="X34" i="33"/>
  <c r="L34" i="33"/>
  <c r="W34" i="33"/>
  <c r="K34" i="33"/>
  <c r="U34" i="33"/>
  <c r="V34" i="33"/>
  <c r="J34" i="33"/>
  <c r="T34" i="33"/>
  <c r="N32" i="33"/>
  <c r="Z32" i="33"/>
  <c r="Q33" i="33"/>
  <c r="AC33" i="33"/>
  <c r="L9" i="33"/>
  <c r="F12" i="33"/>
  <c r="L13" i="33"/>
  <c r="P32" i="33"/>
  <c r="AB32" i="33"/>
  <c r="S33" i="33"/>
  <c r="J64" i="33"/>
  <c r="J58" i="33" s="1"/>
  <c r="J57" i="33" s="1"/>
  <c r="Q32" i="33"/>
  <c r="AC32" i="33"/>
  <c r="T33" i="33"/>
  <c r="K64" i="33"/>
  <c r="K58" i="33" s="1"/>
  <c r="K57" i="33" s="1"/>
  <c r="U33" i="33"/>
  <c r="M7" i="33"/>
  <c r="F11" i="33"/>
  <c r="L12" i="33"/>
  <c r="S32" i="33"/>
  <c r="V33" i="33"/>
  <c r="V64" i="33"/>
  <c r="T32" i="33"/>
  <c r="K33" i="33"/>
  <c r="W33" i="33"/>
  <c r="W64" i="33"/>
  <c r="K11" i="33"/>
  <c r="U32" i="33"/>
  <c r="X33" i="33"/>
  <c r="X64" i="33"/>
  <c r="J98" i="33"/>
  <c r="K8" i="33"/>
  <c r="F10" i="33"/>
  <c r="L11" i="33"/>
  <c r="J32" i="33"/>
  <c r="V32" i="33"/>
  <c r="M33" i="33"/>
  <c r="Y33" i="33"/>
  <c r="L8" i="33"/>
  <c r="K32" i="33"/>
  <c r="W32" i="33"/>
  <c r="N33" i="33"/>
  <c r="Z33" i="33"/>
  <c r="L32" i="33"/>
  <c r="X32" i="33"/>
  <c r="O33" i="33"/>
  <c r="AA33" i="33"/>
  <c r="W65" i="33"/>
  <c r="M32" i="33"/>
  <c r="P33" i="33"/>
  <c r="AB29" i="32"/>
  <c r="P29" i="32"/>
  <c r="AA29" i="32"/>
  <c r="O29" i="32"/>
  <c r="T29" i="32"/>
  <c r="AD29" i="32"/>
  <c r="Z29" i="32"/>
  <c r="N29" i="32"/>
  <c r="Y29" i="32"/>
  <c r="M29" i="32"/>
  <c r="X29" i="32"/>
  <c r="L29" i="32"/>
  <c r="R29" i="32"/>
  <c r="W29" i="32"/>
  <c r="K29" i="32"/>
  <c r="S29" i="32"/>
  <c r="V29" i="32"/>
  <c r="J29" i="32"/>
  <c r="U29" i="32"/>
  <c r="AC29" i="32"/>
  <c r="Q29" i="32"/>
  <c r="X68" i="32"/>
  <c r="S30" i="32"/>
  <c r="W30" i="32"/>
  <c r="W68" i="32"/>
  <c r="AD30" i="32"/>
  <c r="R30" i="32"/>
  <c r="V68" i="32"/>
  <c r="AC30" i="32"/>
  <c r="Q30" i="32"/>
  <c r="AB30" i="32"/>
  <c r="P30" i="32"/>
  <c r="AA30" i="32"/>
  <c r="O30" i="32"/>
  <c r="Z30" i="32"/>
  <c r="N30" i="32"/>
  <c r="R69" i="32"/>
  <c r="R57" i="32" s="1"/>
  <c r="K30" i="32"/>
  <c r="U30" i="32"/>
  <c r="Y30" i="32"/>
  <c r="M30" i="32"/>
  <c r="J30" i="32"/>
  <c r="S69" i="32"/>
  <c r="S57" i="32" s="1"/>
  <c r="X30" i="32"/>
  <c r="L30" i="32"/>
  <c r="P69" i="32"/>
  <c r="P57" i="32" s="1"/>
  <c r="Y68" i="32"/>
  <c r="T30" i="32"/>
  <c r="Q69" i="32"/>
  <c r="Q57" i="32" s="1"/>
  <c r="V30" i="32"/>
  <c r="V31" i="32"/>
  <c r="J31" i="32"/>
  <c r="U31" i="32"/>
  <c r="M31" i="32"/>
  <c r="X31" i="32"/>
  <c r="T31" i="32"/>
  <c r="S31" i="32"/>
  <c r="AD31" i="32"/>
  <c r="R31" i="32"/>
  <c r="AC31" i="32"/>
  <c r="Q31" i="32"/>
  <c r="Z31" i="32"/>
  <c r="Y31" i="32"/>
  <c r="AB31" i="32"/>
  <c r="P31" i="32"/>
  <c r="AA31" i="32"/>
  <c r="O31" i="32"/>
  <c r="N31" i="32"/>
  <c r="W31" i="32"/>
  <c r="K31" i="32"/>
  <c r="L31" i="32"/>
  <c r="AC34" i="32"/>
  <c r="AA34" i="32"/>
  <c r="O34" i="32"/>
  <c r="Z34" i="32"/>
  <c r="J34" i="32"/>
  <c r="K34" i="32"/>
  <c r="F13" i="32"/>
  <c r="N32" i="32"/>
  <c r="Z32" i="32"/>
  <c r="Q33" i="32"/>
  <c r="AC33" i="32"/>
  <c r="K64" i="32"/>
  <c r="K58" i="32" s="1"/>
  <c r="K57" i="32" s="1"/>
  <c r="R32" i="32"/>
  <c r="AD32" i="32"/>
  <c r="U33" i="32"/>
  <c r="L64" i="32"/>
  <c r="L58" i="32" s="1"/>
  <c r="L57" i="32" s="1"/>
  <c r="L7" i="32"/>
  <c r="K12" i="32"/>
  <c r="F14" i="32"/>
  <c r="S32" i="32"/>
  <c r="J33" i="32"/>
  <c r="V33" i="32"/>
  <c r="V64" i="32"/>
  <c r="S33" i="32"/>
  <c r="F11" i="32"/>
  <c r="T32" i="32"/>
  <c r="K33" i="32"/>
  <c r="W33" i="32"/>
  <c r="W64" i="32"/>
  <c r="R33" i="32"/>
  <c r="U32" i="32"/>
  <c r="L33" i="32"/>
  <c r="X33" i="32"/>
  <c r="X64" i="32"/>
  <c r="J98" i="32"/>
  <c r="K11" i="32"/>
  <c r="J32" i="32"/>
  <c r="V32" i="32"/>
  <c r="M33" i="32"/>
  <c r="Y33" i="32"/>
  <c r="AD33" i="32"/>
  <c r="K8" i="32"/>
  <c r="K32" i="32"/>
  <c r="W32" i="32"/>
  <c r="N33" i="32"/>
  <c r="Z33" i="32"/>
  <c r="L32" i="32"/>
  <c r="X32" i="32"/>
  <c r="O33" i="32"/>
  <c r="AA33" i="32"/>
  <c r="T33" i="32"/>
  <c r="M32" i="32"/>
  <c r="P33" i="32"/>
  <c r="L58" i="31"/>
  <c r="L57" i="31" s="1"/>
  <c r="AA29" i="31"/>
  <c r="O29" i="31"/>
  <c r="Z29" i="31"/>
  <c r="N29" i="31"/>
  <c r="Y29" i="31"/>
  <c r="M29" i="31"/>
  <c r="X29" i="31"/>
  <c r="L29" i="31"/>
  <c r="W29" i="31"/>
  <c r="K29" i="31"/>
  <c r="P29" i="31"/>
  <c r="V29" i="31"/>
  <c r="J29" i="31"/>
  <c r="U29" i="31"/>
  <c r="T29" i="31"/>
  <c r="AB29" i="31"/>
  <c r="S29" i="31"/>
  <c r="AD29" i="31"/>
  <c r="R29" i="31"/>
  <c r="AC29" i="31"/>
  <c r="Q29" i="31"/>
  <c r="W68" i="31"/>
  <c r="AD30" i="31"/>
  <c r="R30" i="31"/>
  <c r="V68" i="31"/>
  <c r="AC30" i="31"/>
  <c r="Q30" i="31"/>
  <c r="AB30" i="31"/>
  <c r="P30" i="31"/>
  <c r="AA30" i="31"/>
  <c r="O30" i="31"/>
  <c r="Z30" i="31"/>
  <c r="N30" i="31"/>
  <c r="X68" i="31"/>
  <c r="Y30" i="31"/>
  <c r="M30" i="31"/>
  <c r="S69" i="31"/>
  <c r="S57" i="31" s="1"/>
  <c r="X30" i="31"/>
  <c r="L30" i="31"/>
  <c r="R69" i="31"/>
  <c r="R57" i="31" s="1"/>
  <c r="W30" i="31"/>
  <c r="K30" i="31"/>
  <c r="Q69" i="31"/>
  <c r="Q57" i="31" s="1"/>
  <c r="V30" i="31"/>
  <c r="J30" i="31"/>
  <c r="S30" i="31"/>
  <c r="P69" i="31"/>
  <c r="P57" i="31" s="1"/>
  <c r="U30" i="31"/>
  <c r="Y68" i="31"/>
  <c r="T30" i="31"/>
  <c r="U31" i="31"/>
  <c r="T31" i="31"/>
  <c r="S31" i="31"/>
  <c r="AD31" i="31"/>
  <c r="R31" i="31"/>
  <c r="AC31" i="31"/>
  <c r="Q31" i="31"/>
  <c r="AB31" i="31"/>
  <c r="P31" i="31"/>
  <c r="J31" i="31"/>
  <c r="AA31" i="31"/>
  <c r="O31" i="31"/>
  <c r="Z31" i="31"/>
  <c r="N31" i="31"/>
  <c r="V31" i="31"/>
  <c r="Y31" i="31"/>
  <c r="M31" i="31"/>
  <c r="X31" i="31"/>
  <c r="L31" i="31"/>
  <c r="W31" i="31"/>
  <c r="K31" i="31"/>
  <c r="K8" i="31"/>
  <c r="F10" i="31"/>
  <c r="N32" i="31"/>
  <c r="Z32" i="31"/>
  <c r="Q33" i="31"/>
  <c r="AC33" i="31"/>
  <c r="T34" i="31"/>
  <c r="Y65" i="31"/>
  <c r="O32" i="31"/>
  <c r="AA32" i="31"/>
  <c r="R33" i="31"/>
  <c r="AD33" i="31"/>
  <c r="U34" i="31"/>
  <c r="K10" i="31"/>
  <c r="P32" i="31"/>
  <c r="AB32" i="31"/>
  <c r="S33" i="31"/>
  <c r="J34" i="31"/>
  <c r="V34" i="31"/>
  <c r="J64" i="31"/>
  <c r="J58" i="31" s="1"/>
  <c r="J57" i="31" s="1"/>
  <c r="F13" i="31"/>
  <c r="Q32" i="31"/>
  <c r="AC32" i="31"/>
  <c r="T33" i="31"/>
  <c r="K34" i="31"/>
  <c r="W34" i="31"/>
  <c r="K64" i="31"/>
  <c r="K58" i="31" s="1"/>
  <c r="K57" i="31" s="1"/>
  <c r="AA10" i="31"/>
  <c r="AA4" i="31" s="1"/>
  <c r="AA16" i="31" s="1"/>
  <c r="R32" i="31"/>
  <c r="AD32" i="31"/>
  <c r="U33" i="31"/>
  <c r="L34" i="31"/>
  <c r="X34" i="31"/>
  <c r="K9" i="31"/>
  <c r="AB10" i="31"/>
  <c r="AB4" i="31" s="1"/>
  <c r="AB16" i="31" s="1"/>
  <c r="K13" i="31"/>
  <c r="S32" i="31"/>
  <c r="J33" i="31"/>
  <c r="V33" i="31"/>
  <c r="M34" i="31"/>
  <c r="Y34" i="31"/>
  <c r="V64" i="31"/>
  <c r="AC10" i="31"/>
  <c r="AC4" i="31" s="1"/>
  <c r="AC16" i="31" s="1"/>
  <c r="T32" i="31"/>
  <c r="K33" i="31"/>
  <c r="W33" i="31"/>
  <c r="N34" i="31"/>
  <c r="Z34" i="31"/>
  <c r="W64" i="31"/>
  <c r="W58" i="31" s="1"/>
  <c r="AD10" i="31"/>
  <c r="AD4" i="31" s="1"/>
  <c r="AD16" i="31" s="1"/>
  <c r="U32" i="31"/>
  <c r="L33" i="31"/>
  <c r="X33" i="31"/>
  <c r="O34" i="31"/>
  <c r="AA34" i="31"/>
  <c r="X64" i="31"/>
  <c r="L7" i="31"/>
  <c r="F14" i="31"/>
  <c r="J32" i="31"/>
  <c r="V32" i="31"/>
  <c r="M33" i="31"/>
  <c r="Y33" i="31"/>
  <c r="P34" i="31"/>
  <c r="P19" i="31" s="1"/>
  <c r="P50" i="31" s="1"/>
  <c r="P52" i="31" s="1"/>
  <c r="AB34" i="31"/>
  <c r="K32" i="31"/>
  <c r="W32" i="31"/>
  <c r="N33" i="31"/>
  <c r="Z33" i="31"/>
  <c r="Q34" i="31"/>
  <c r="AC34" i="31"/>
  <c r="V65" i="31"/>
  <c r="L32" i="31"/>
  <c r="O33" i="31"/>
  <c r="R34" i="31"/>
  <c r="M29" i="30"/>
  <c r="M7" i="30"/>
  <c r="F11" i="30"/>
  <c r="L12" i="30"/>
  <c r="R32" i="30"/>
  <c r="AD32" i="30"/>
  <c r="J64" i="30"/>
  <c r="J58" i="30" s="1"/>
  <c r="J57" i="30" s="1"/>
  <c r="K64" i="30"/>
  <c r="K58" i="30" s="1"/>
  <c r="K57" i="30" s="1"/>
  <c r="K11" i="30"/>
  <c r="T32" i="30"/>
  <c r="W33" i="30"/>
  <c r="L11" i="30"/>
  <c r="U32" i="30"/>
  <c r="V64" i="30"/>
  <c r="L8" i="30"/>
  <c r="J32" i="30"/>
  <c r="V32" i="30"/>
  <c r="M33" i="30"/>
  <c r="W64" i="30"/>
  <c r="W32" i="30"/>
  <c r="N33" i="30"/>
  <c r="X64" i="30"/>
  <c r="L10" i="30"/>
  <c r="F13" i="30"/>
  <c r="X32" i="30"/>
  <c r="J98" i="30"/>
  <c r="Y32" i="30"/>
  <c r="P33" i="30"/>
  <c r="V65" i="30"/>
  <c r="W65" i="30"/>
  <c r="L9" i="30"/>
  <c r="AC10" i="30"/>
  <c r="AC4" i="30" s="1"/>
  <c r="AC16" i="30" s="1"/>
  <c r="O32" i="30"/>
  <c r="AA32" i="30"/>
  <c r="X65" i="30"/>
  <c r="AD10" i="30"/>
  <c r="AD4" i="30" s="1"/>
  <c r="AD16" i="30" s="1"/>
  <c r="K11" i="29"/>
  <c r="R32" i="29"/>
  <c r="AD32" i="29"/>
  <c r="Y65" i="29"/>
  <c r="K8" i="29"/>
  <c r="F10" i="29"/>
  <c r="S32" i="29"/>
  <c r="T32" i="29"/>
  <c r="J64" i="29"/>
  <c r="J58" i="29" s="1"/>
  <c r="J57" i="29" s="1"/>
  <c r="U32" i="29"/>
  <c r="F13" i="29"/>
  <c r="AA10" i="29"/>
  <c r="K32" i="29"/>
  <c r="W32" i="29"/>
  <c r="V64" i="29"/>
  <c r="AC10" i="29"/>
  <c r="AC4" i="29" s="1"/>
  <c r="AC16" i="29" s="1"/>
  <c r="F12" i="29"/>
  <c r="AA9" i="29" s="1"/>
  <c r="M32" i="29"/>
  <c r="Y32" i="29"/>
  <c r="X64" i="29"/>
  <c r="J98" i="29"/>
  <c r="AD10" i="29"/>
  <c r="AD4" i="29" s="1"/>
  <c r="AD16" i="29" s="1"/>
  <c r="N32" i="29"/>
  <c r="Z32" i="29"/>
  <c r="L7" i="29"/>
  <c r="F14" i="29"/>
  <c r="O32" i="29"/>
  <c r="AA32" i="29"/>
  <c r="V65" i="29"/>
  <c r="P32" i="29"/>
  <c r="AB32" i="29"/>
  <c r="W65" i="29"/>
  <c r="Q32" i="29"/>
  <c r="F101" i="17"/>
  <c r="D5" i="25"/>
  <c r="Q31" i="25" s="1"/>
  <c r="D7" i="25"/>
  <c r="M34" i="25" s="1"/>
  <c r="D3" i="25"/>
  <c r="AB29" i="25" s="1"/>
  <c r="AA10" i="25"/>
  <c r="AA4" i="25" s="1"/>
  <c r="AA16" i="25" s="1"/>
  <c r="D4" i="25"/>
  <c r="D7" i="28"/>
  <c r="R34" i="28" s="1"/>
  <c r="D5" i="28"/>
  <c r="W31" i="28" s="1"/>
  <c r="D4" i="28"/>
  <c r="L33" i="26"/>
  <c r="X33" i="26"/>
  <c r="D3" i="27"/>
  <c r="P29" i="27" s="1"/>
  <c r="D5" i="27"/>
  <c r="S31" i="27" s="1"/>
  <c r="D7" i="27"/>
  <c r="AD34" i="27" s="1"/>
  <c r="T33" i="27"/>
  <c r="U33" i="27"/>
  <c r="D4" i="27"/>
  <c r="S33" i="27"/>
  <c r="T32" i="25"/>
  <c r="AA9" i="28"/>
  <c r="T32" i="28"/>
  <c r="L7" i="28"/>
  <c r="AB9" i="28"/>
  <c r="K12" i="28"/>
  <c r="F14" i="28"/>
  <c r="U32" i="28"/>
  <c r="F11" i="28"/>
  <c r="J32" i="28"/>
  <c r="V32" i="28"/>
  <c r="K32" i="28"/>
  <c r="W32" i="28"/>
  <c r="K11" i="28"/>
  <c r="L32" i="28"/>
  <c r="X32" i="28"/>
  <c r="K8" i="28"/>
  <c r="F10" i="28"/>
  <c r="M32" i="28"/>
  <c r="Y32" i="28"/>
  <c r="N32" i="28"/>
  <c r="Z32" i="28"/>
  <c r="O32" i="28"/>
  <c r="AA32" i="28"/>
  <c r="P32" i="28"/>
  <c r="AB32" i="28"/>
  <c r="Q32" i="28"/>
  <c r="AC10" i="27"/>
  <c r="AC4" i="27" s="1"/>
  <c r="AC16" i="27" s="1"/>
  <c r="AB10" i="27"/>
  <c r="AB4" i="27" s="1"/>
  <c r="AB16" i="27" s="1"/>
  <c r="K10" i="27"/>
  <c r="S32" i="27"/>
  <c r="J33" i="27"/>
  <c r="V33" i="27"/>
  <c r="F13" i="27"/>
  <c r="T32" i="27"/>
  <c r="K33" i="27"/>
  <c r="W33" i="27"/>
  <c r="U32" i="27"/>
  <c r="L33" i="27"/>
  <c r="X33" i="27"/>
  <c r="K9" i="27"/>
  <c r="K13" i="27"/>
  <c r="J32" i="27"/>
  <c r="V32" i="27"/>
  <c r="M33" i="27"/>
  <c r="Y33" i="27"/>
  <c r="F12" i="27"/>
  <c r="AA9" i="27" s="1"/>
  <c r="K32" i="27"/>
  <c r="W32" i="27"/>
  <c r="N33" i="27"/>
  <c r="Z33" i="27"/>
  <c r="L32" i="27"/>
  <c r="X32" i="27"/>
  <c r="O33" i="27"/>
  <c r="AA33" i="27"/>
  <c r="L7" i="27"/>
  <c r="K12" i="27"/>
  <c r="F14" i="27"/>
  <c r="M32" i="27"/>
  <c r="Y32" i="27"/>
  <c r="P33" i="27"/>
  <c r="AB33" i="27"/>
  <c r="F11" i="27"/>
  <c r="N32" i="27"/>
  <c r="Z32" i="27"/>
  <c r="Q33" i="27"/>
  <c r="AC33" i="27"/>
  <c r="O32" i="27"/>
  <c r="AA32" i="27"/>
  <c r="R33" i="27"/>
  <c r="AD33" i="27"/>
  <c r="Q32" i="27"/>
  <c r="Y30" i="26"/>
  <c r="K30" i="26"/>
  <c r="V30" i="26"/>
  <c r="U30" i="26"/>
  <c r="S30" i="26"/>
  <c r="R30" i="26"/>
  <c r="Q30" i="26"/>
  <c r="AA30" i="26"/>
  <c r="Z30" i="26"/>
  <c r="O30" i="26"/>
  <c r="AB31" i="26"/>
  <c r="P31" i="26"/>
  <c r="R31" i="26"/>
  <c r="AA31" i="26"/>
  <c r="O31" i="26"/>
  <c r="Z31" i="26"/>
  <c r="N31" i="26"/>
  <c r="Y31" i="26"/>
  <c r="M31" i="26"/>
  <c r="X31" i="26"/>
  <c r="L31" i="26"/>
  <c r="W31" i="26"/>
  <c r="K31" i="26"/>
  <c r="V31" i="26"/>
  <c r="J31" i="26"/>
  <c r="U31" i="26"/>
  <c r="T31" i="26"/>
  <c r="S31" i="26"/>
  <c r="AD31" i="26"/>
  <c r="AC31" i="26"/>
  <c r="Q31" i="26"/>
  <c r="K9" i="26"/>
  <c r="K13" i="26"/>
  <c r="T32" i="26"/>
  <c r="K33" i="26"/>
  <c r="W33" i="26"/>
  <c r="N34" i="26"/>
  <c r="Z34" i="26"/>
  <c r="O34" i="26"/>
  <c r="J32" i="26"/>
  <c r="V32" i="26"/>
  <c r="M33" i="26"/>
  <c r="Y33" i="26"/>
  <c r="P34" i="26"/>
  <c r="AB34" i="26"/>
  <c r="AA34" i="26"/>
  <c r="L7" i="26"/>
  <c r="K12" i="26"/>
  <c r="F14" i="26"/>
  <c r="K32" i="26"/>
  <c r="W32" i="26"/>
  <c r="N33" i="26"/>
  <c r="Z33" i="26"/>
  <c r="Q34" i="26"/>
  <c r="AC34" i="26"/>
  <c r="F11" i="26"/>
  <c r="L32" i="26"/>
  <c r="X32" i="26"/>
  <c r="O33" i="26"/>
  <c r="AA33" i="26"/>
  <c r="R34" i="26"/>
  <c r="AD34" i="26"/>
  <c r="M32" i="26"/>
  <c r="Y32" i="26"/>
  <c r="P33" i="26"/>
  <c r="AB33" i="26"/>
  <c r="S34" i="26"/>
  <c r="K11" i="26"/>
  <c r="N32" i="26"/>
  <c r="Z32" i="26"/>
  <c r="Q33" i="26"/>
  <c r="AC33" i="26"/>
  <c r="T34" i="26"/>
  <c r="K8" i="26"/>
  <c r="F10" i="26"/>
  <c r="O32" i="26"/>
  <c r="AA32" i="26"/>
  <c r="R33" i="26"/>
  <c r="AD33" i="26"/>
  <c r="U34" i="26"/>
  <c r="P32" i="26"/>
  <c r="AB32" i="26"/>
  <c r="S33" i="26"/>
  <c r="J34" i="26"/>
  <c r="V34" i="26"/>
  <c r="Q32" i="26"/>
  <c r="AC32" i="26"/>
  <c r="T33" i="26"/>
  <c r="K34" i="26"/>
  <c r="W34" i="26"/>
  <c r="R32" i="26"/>
  <c r="AD32" i="26"/>
  <c r="U33" i="26"/>
  <c r="L34" i="26"/>
  <c r="X34" i="26"/>
  <c r="J33" i="26"/>
  <c r="M34" i="26"/>
  <c r="L12" i="25"/>
  <c r="M7" i="25"/>
  <c r="L13" i="25"/>
  <c r="L9" i="25"/>
  <c r="L10" i="25"/>
  <c r="L8" i="25"/>
  <c r="L11" i="25"/>
  <c r="J32" i="25"/>
  <c r="V32" i="25"/>
  <c r="M33" i="25"/>
  <c r="Y33" i="25"/>
  <c r="K32" i="25"/>
  <c r="N33" i="25"/>
  <c r="Z33" i="25"/>
  <c r="L32" i="25"/>
  <c r="O33" i="25"/>
  <c r="AA33" i="25"/>
  <c r="M32" i="25"/>
  <c r="AB33" i="25"/>
  <c r="K10" i="25"/>
  <c r="N32" i="25"/>
  <c r="Z32" i="25"/>
  <c r="Q33" i="25"/>
  <c r="AC33" i="25"/>
  <c r="P33" i="25"/>
  <c r="F13" i="25"/>
  <c r="O32" i="25"/>
  <c r="AA32" i="25"/>
  <c r="R33" i="25"/>
  <c r="AD33" i="25"/>
  <c r="P32" i="25"/>
  <c r="AB32" i="25"/>
  <c r="S33" i="25"/>
  <c r="Q32" i="25"/>
  <c r="T33" i="25"/>
  <c r="AB10" i="25"/>
  <c r="AB4" i="25" s="1"/>
  <c r="AB16" i="25" s="1"/>
  <c r="U33" i="25"/>
  <c r="AC10" i="25"/>
  <c r="AC4" i="25" s="1"/>
  <c r="AC16" i="25" s="1"/>
  <c r="AD10" i="25"/>
  <c r="AD4" i="25" s="1"/>
  <c r="AD16" i="25" s="1"/>
  <c r="S32" i="25"/>
  <c r="J33" i="25"/>
  <c r="V33" i="25"/>
  <c r="K12" i="25"/>
  <c r="K33" i="25"/>
  <c r="W33" i="25"/>
  <c r="L33" i="25"/>
  <c r="K20" i="24"/>
  <c r="E19" i="22"/>
  <c r="E19" i="21"/>
  <c r="I295" i="24"/>
  <c r="H295" i="24"/>
  <c r="K292" i="24"/>
  <c r="J292" i="24"/>
  <c r="J289" i="24"/>
  <c r="I289" i="24"/>
  <c r="H286" i="24"/>
  <c r="G286" i="24"/>
  <c r="AT283" i="24"/>
  <c r="AS283" i="24"/>
  <c r="J283" i="24"/>
  <c r="I283" i="24"/>
  <c r="J280" i="24"/>
  <c r="I280" i="24"/>
  <c r="L277" i="24"/>
  <c r="K277" i="24"/>
  <c r="J274" i="24"/>
  <c r="I274" i="24"/>
  <c r="L271" i="24"/>
  <c r="K271" i="24"/>
  <c r="K268" i="24"/>
  <c r="J268" i="24"/>
  <c r="L265" i="24"/>
  <c r="K265" i="24"/>
  <c r="K262" i="24"/>
  <c r="J262" i="24"/>
  <c r="K259" i="24"/>
  <c r="J259" i="24"/>
  <c r="J256" i="24"/>
  <c r="I256" i="24"/>
  <c r="L253" i="24"/>
  <c r="K253" i="24"/>
  <c r="M250" i="24"/>
  <c r="L250" i="24"/>
  <c r="M247" i="24"/>
  <c r="L247" i="24"/>
  <c r="M244" i="24"/>
  <c r="L244" i="24"/>
  <c r="N241" i="24"/>
  <c r="M241" i="24"/>
  <c r="I238" i="24"/>
  <c r="H238" i="24"/>
  <c r="K235" i="24"/>
  <c r="J235" i="24"/>
  <c r="J232" i="24"/>
  <c r="I232" i="24"/>
  <c r="J229" i="24"/>
  <c r="I229" i="24"/>
  <c r="J226" i="24"/>
  <c r="I226" i="24"/>
  <c r="G223" i="24"/>
  <c r="F223" i="24"/>
  <c r="I220" i="24"/>
  <c r="H220" i="24"/>
  <c r="I217" i="24"/>
  <c r="H217" i="24"/>
  <c r="H214" i="24"/>
  <c r="G214" i="24"/>
  <c r="L211" i="24"/>
  <c r="K211" i="24"/>
  <c r="K208" i="24"/>
  <c r="J208" i="24"/>
  <c r="J205" i="24"/>
  <c r="I205" i="24"/>
  <c r="L202" i="24"/>
  <c r="K202" i="24"/>
  <c r="N199" i="24"/>
  <c r="M199" i="24"/>
  <c r="K196" i="24"/>
  <c r="J196" i="24"/>
  <c r="AW193" i="24"/>
  <c r="K193" i="24"/>
  <c r="J193" i="24"/>
  <c r="K190" i="24"/>
  <c r="J190" i="24"/>
  <c r="J187" i="24"/>
  <c r="I187" i="24"/>
  <c r="J184" i="24"/>
  <c r="I184" i="24"/>
  <c r="K181" i="24"/>
  <c r="J181" i="24"/>
  <c r="K178" i="24"/>
  <c r="J178" i="24"/>
  <c r="I175" i="24"/>
  <c r="H175" i="24"/>
  <c r="K172" i="24"/>
  <c r="J172" i="24"/>
  <c r="G169" i="24"/>
  <c r="X129" i="24"/>
  <c r="W129" i="24"/>
  <c r="V129" i="24"/>
  <c r="U129" i="24"/>
  <c r="X128" i="24"/>
  <c r="W128" i="24"/>
  <c r="V128" i="24"/>
  <c r="U128" i="24"/>
  <c r="X127" i="24"/>
  <c r="W127" i="24"/>
  <c r="V127" i="24"/>
  <c r="U127" i="24"/>
  <c r="X126" i="24"/>
  <c r="W126" i="24"/>
  <c r="V126" i="24"/>
  <c r="U126" i="24"/>
  <c r="X125" i="24"/>
  <c r="W125" i="24"/>
  <c r="V125" i="24"/>
  <c r="U125" i="24"/>
  <c r="X124" i="24"/>
  <c r="W124" i="24"/>
  <c r="V124" i="24"/>
  <c r="U124" i="24"/>
  <c r="X123" i="24"/>
  <c r="W123" i="24"/>
  <c r="V123" i="24"/>
  <c r="U123" i="24"/>
  <c r="X122" i="24"/>
  <c r="W122" i="24"/>
  <c r="V122" i="24"/>
  <c r="U122" i="24"/>
  <c r="X121" i="24"/>
  <c r="W121" i="24"/>
  <c r="V121" i="24"/>
  <c r="U121" i="24"/>
  <c r="X120" i="24"/>
  <c r="W120" i="24"/>
  <c r="V120" i="24"/>
  <c r="U120" i="24"/>
  <c r="X119" i="24"/>
  <c r="W119" i="24"/>
  <c r="V119" i="24"/>
  <c r="U119" i="24"/>
  <c r="X118" i="24"/>
  <c r="W118" i="24"/>
  <c r="V118" i="24"/>
  <c r="U118" i="24"/>
  <c r="X117" i="24"/>
  <c r="V117" i="24"/>
  <c r="U117" i="24"/>
  <c r="X116" i="24"/>
  <c r="V116" i="24"/>
  <c r="U116" i="24"/>
  <c r="X115" i="24"/>
  <c r="W115" i="24"/>
  <c r="V115" i="24"/>
  <c r="F96" i="24"/>
  <c r="E96" i="24"/>
  <c r="D19" i="24" s="1"/>
  <c r="F95" i="24"/>
  <c r="E95" i="24"/>
  <c r="F94" i="24"/>
  <c r="E94" i="24"/>
  <c r="F93" i="24"/>
  <c r="E93" i="24"/>
  <c r="F92" i="24"/>
  <c r="E92" i="24"/>
  <c r="F91" i="24"/>
  <c r="E91" i="24"/>
  <c r="F90" i="24"/>
  <c r="E90" i="24"/>
  <c r="F89" i="24"/>
  <c r="E89" i="24"/>
  <c r="F88" i="24"/>
  <c r="E88" i="24"/>
  <c r="F87" i="24"/>
  <c r="E87" i="24"/>
  <c r="C86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AD37" i="24"/>
  <c r="AC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T32" i="24"/>
  <c r="S32" i="24"/>
  <c r="J20" i="24"/>
  <c r="D20" i="24"/>
  <c r="D18" i="24"/>
  <c r="D16" i="24"/>
  <c r="F15" i="24"/>
  <c r="D15" i="24"/>
  <c r="D14" i="24"/>
  <c r="K13" i="24"/>
  <c r="J13" i="24"/>
  <c r="D13" i="24"/>
  <c r="AD12" i="24"/>
  <c r="AC12" i="24"/>
  <c r="AB12" i="24"/>
  <c r="AA12" i="24"/>
  <c r="J12" i="24"/>
  <c r="D12" i="24"/>
  <c r="AD11" i="24"/>
  <c r="AC11" i="24"/>
  <c r="AB11" i="24"/>
  <c r="AA11" i="24"/>
  <c r="J11" i="24"/>
  <c r="D11" i="24"/>
  <c r="J10" i="24"/>
  <c r="D10" i="24"/>
  <c r="AD9" i="24"/>
  <c r="AC9" i="24"/>
  <c r="AB9" i="24"/>
  <c r="K9" i="24"/>
  <c r="J9" i="24"/>
  <c r="F9" i="24"/>
  <c r="F13" i="24" s="1"/>
  <c r="D9" i="24"/>
  <c r="AD32" i="24" s="1"/>
  <c r="J8" i="24"/>
  <c r="C8" i="24"/>
  <c r="K7" i="24"/>
  <c r="K10" i="24" s="1"/>
  <c r="C7" i="24"/>
  <c r="C6" i="24"/>
  <c r="C5" i="24"/>
  <c r="C4" i="24"/>
  <c r="C3" i="24"/>
  <c r="I295" i="22"/>
  <c r="H295" i="22"/>
  <c r="K292" i="22"/>
  <c r="J292" i="22"/>
  <c r="J289" i="22"/>
  <c r="I289" i="22"/>
  <c r="H286" i="22"/>
  <c r="G286" i="22"/>
  <c r="AT283" i="22"/>
  <c r="AS283" i="22"/>
  <c r="J283" i="22"/>
  <c r="I283" i="22"/>
  <c r="J280" i="22"/>
  <c r="I280" i="22"/>
  <c r="L277" i="22"/>
  <c r="K277" i="22"/>
  <c r="J274" i="22"/>
  <c r="I274" i="22"/>
  <c r="L271" i="22"/>
  <c r="K271" i="22"/>
  <c r="K268" i="22"/>
  <c r="J268" i="22"/>
  <c r="L265" i="22"/>
  <c r="K265" i="22"/>
  <c r="K262" i="22"/>
  <c r="J262" i="22"/>
  <c r="K259" i="22"/>
  <c r="J259" i="22"/>
  <c r="J256" i="22"/>
  <c r="I256" i="22"/>
  <c r="L253" i="22"/>
  <c r="K253" i="22"/>
  <c r="M250" i="22"/>
  <c r="L250" i="22"/>
  <c r="M247" i="22"/>
  <c r="L247" i="22"/>
  <c r="M244" i="22"/>
  <c r="L244" i="22"/>
  <c r="N241" i="22"/>
  <c r="M241" i="22"/>
  <c r="I238" i="22"/>
  <c r="H238" i="22"/>
  <c r="K235" i="22"/>
  <c r="J235" i="22"/>
  <c r="J232" i="22"/>
  <c r="I232" i="22"/>
  <c r="J229" i="22"/>
  <c r="I229" i="22"/>
  <c r="J226" i="22"/>
  <c r="I226" i="22"/>
  <c r="G223" i="22"/>
  <c r="F223" i="22"/>
  <c r="I220" i="22"/>
  <c r="H220" i="22"/>
  <c r="I217" i="22"/>
  <c r="H217" i="22"/>
  <c r="H214" i="22"/>
  <c r="G214" i="22"/>
  <c r="L211" i="22"/>
  <c r="K211" i="22"/>
  <c r="K208" i="22"/>
  <c r="J208" i="22"/>
  <c r="J205" i="22"/>
  <c r="I205" i="22"/>
  <c r="L202" i="22"/>
  <c r="K202" i="22"/>
  <c r="N199" i="22"/>
  <c r="M199" i="22"/>
  <c r="K196" i="22"/>
  <c r="J196" i="22"/>
  <c r="AW193" i="22"/>
  <c r="K193" i="22"/>
  <c r="J193" i="22"/>
  <c r="K190" i="22"/>
  <c r="J190" i="22"/>
  <c r="J187" i="22"/>
  <c r="I187" i="22"/>
  <c r="J184" i="22"/>
  <c r="I184" i="22"/>
  <c r="K181" i="22"/>
  <c r="J181" i="22"/>
  <c r="K178" i="22"/>
  <c r="J178" i="22"/>
  <c r="I175" i="22"/>
  <c r="H175" i="22"/>
  <c r="K172" i="22"/>
  <c r="J172" i="22"/>
  <c r="G169" i="22"/>
  <c r="X129" i="22"/>
  <c r="W129" i="22"/>
  <c r="V129" i="22"/>
  <c r="U129" i="22"/>
  <c r="X128" i="22"/>
  <c r="W128" i="22"/>
  <c r="V128" i="22"/>
  <c r="U128" i="22"/>
  <c r="X127" i="22"/>
  <c r="W127" i="22"/>
  <c r="V127" i="22"/>
  <c r="U127" i="22"/>
  <c r="X126" i="22"/>
  <c r="W126" i="22"/>
  <c r="V126" i="22"/>
  <c r="U126" i="22"/>
  <c r="X125" i="22"/>
  <c r="W125" i="22"/>
  <c r="V125" i="22"/>
  <c r="U125" i="22"/>
  <c r="X124" i="22"/>
  <c r="W124" i="22"/>
  <c r="V124" i="22"/>
  <c r="U124" i="22"/>
  <c r="X123" i="22"/>
  <c r="W123" i="22"/>
  <c r="V123" i="22"/>
  <c r="U123" i="22"/>
  <c r="X122" i="22"/>
  <c r="W122" i="22"/>
  <c r="V122" i="22"/>
  <c r="U122" i="22"/>
  <c r="X121" i="22"/>
  <c r="W121" i="22"/>
  <c r="V121" i="22"/>
  <c r="U121" i="22"/>
  <c r="X120" i="22"/>
  <c r="W120" i="22"/>
  <c r="V120" i="22"/>
  <c r="U120" i="22"/>
  <c r="X119" i="22"/>
  <c r="W119" i="22"/>
  <c r="V119" i="22"/>
  <c r="U119" i="22"/>
  <c r="X118" i="22"/>
  <c r="W118" i="22"/>
  <c r="V118" i="22"/>
  <c r="U118" i="22"/>
  <c r="X117" i="22"/>
  <c r="V117" i="22"/>
  <c r="U117" i="22"/>
  <c r="X116" i="22"/>
  <c r="V116" i="22"/>
  <c r="U116" i="22"/>
  <c r="X115" i="22"/>
  <c r="W115" i="22"/>
  <c r="V115" i="22"/>
  <c r="F98" i="22"/>
  <c r="F96" i="22"/>
  <c r="E96" i="22"/>
  <c r="D19" i="22" s="1"/>
  <c r="C76" i="22" s="1"/>
  <c r="D17" i="22" s="1"/>
  <c r="F95" i="22"/>
  <c r="E95" i="22"/>
  <c r="F94" i="22"/>
  <c r="E94" i="22"/>
  <c r="F93" i="22"/>
  <c r="E93" i="22"/>
  <c r="F92" i="22"/>
  <c r="E92" i="22"/>
  <c r="F91" i="22"/>
  <c r="E91" i="22"/>
  <c r="F90" i="22"/>
  <c r="E90" i="22"/>
  <c r="F89" i="22"/>
  <c r="E89" i="22"/>
  <c r="F88" i="22"/>
  <c r="E88" i="22"/>
  <c r="F87" i="22"/>
  <c r="E87" i="22"/>
  <c r="C86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2" i="22"/>
  <c r="C41" i="22"/>
  <c r="AD37" i="22"/>
  <c r="AC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P37" i="22"/>
  <c r="O37" i="22"/>
  <c r="N37" i="22"/>
  <c r="M37" i="22"/>
  <c r="L37" i="22"/>
  <c r="K37" i="22"/>
  <c r="J37" i="22"/>
  <c r="AD36" i="22"/>
  <c r="AC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P36" i="22"/>
  <c r="O36" i="22"/>
  <c r="N36" i="22"/>
  <c r="M36" i="22"/>
  <c r="L36" i="22"/>
  <c r="K36" i="22"/>
  <c r="J36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U32" i="22"/>
  <c r="M20" i="22"/>
  <c r="K20" i="22"/>
  <c r="D20" i="22"/>
  <c r="D18" i="22"/>
  <c r="D16" i="22"/>
  <c r="F15" i="22"/>
  <c r="D15" i="22"/>
  <c r="F14" i="22"/>
  <c r="D14" i="22"/>
  <c r="J13" i="22"/>
  <c r="D13" i="22"/>
  <c r="AD12" i="22"/>
  <c r="AC12" i="22"/>
  <c r="AB12" i="22"/>
  <c r="AA12" i="22"/>
  <c r="K12" i="22"/>
  <c r="J12" i="22"/>
  <c r="D12" i="22"/>
  <c r="AD11" i="22"/>
  <c r="AC11" i="22"/>
  <c r="AB11" i="22"/>
  <c r="AA11" i="22"/>
  <c r="J11" i="22"/>
  <c r="D11" i="22"/>
  <c r="J10" i="22"/>
  <c r="D10" i="22"/>
  <c r="AD9" i="22"/>
  <c r="AC9" i="22"/>
  <c r="AB9" i="22"/>
  <c r="J9" i="22"/>
  <c r="F9" i="22"/>
  <c r="F12" i="22" s="1"/>
  <c r="AA9" i="22" s="1"/>
  <c r="D9" i="22"/>
  <c r="T32" i="22" s="1"/>
  <c r="J8" i="22"/>
  <c r="C8" i="22"/>
  <c r="L7" i="22"/>
  <c r="L13" i="22" s="1"/>
  <c r="K7" i="22"/>
  <c r="K13" i="22" s="1"/>
  <c r="C7" i="22"/>
  <c r="C6" i="22"/>
  <c r="C5" i="22"/>
  <c r="C4" i="22"/>
  <c r="C3" i="22"/>
  <c r="I295" i="21"/>
  <c r="H295" i="21"/>
  <c r="K292" i="21"/>
  <c r="J292" i="21"/>
  <c r="J289" i="21"/>
  <c r="I289" i="21"/>
  <c r="H286" i="21"/>
  <c r="G286" i="21"/>
  <c r="AT283" i="21"/>
  <c r="AS283" i="21"/>
  <c r="J283" i="21"/>
  <c r="I283" i="21"/>
  <c r="J280" i="21"/>
  <c r="I280" i="21"/>
  <c r="L277" i="21"/>
  <c r="K277" i="21"/>
  <c r="J274" i="21"/>
  <c r="I274" i="21"/>
  <c r="L271" i="21"/>
  <c r="K271" i="21"/>
  <c r="K268" i="21"/>
  <c r="J268" i="21"/>
  <c r="L265" i="21"/>
  <c r="K265" i="21"/>
  <c r="K262" i="21"/>
  <c r="J262" i="21"/>
  <c r="K259" i="21"/>
  <c r="J259" i="21"/>
  <c r="J256" i="21"/>
  <c r="I256" i="21"/>
  <c r="L253" i="21"/>
  <c r="K253" i="21"/>
  <c r="M250" i="21"/>
  <c r="L250" i="21"/>
  <c r="M247" i="21"/>
  <c r="L247" i="21"/>
  <c r="M244" i="21"/>
  <c r="L244" i="21"/>
  <c r="N241" i="21"/>
  <c r="M241" i="21"/>
  <c r="I238" i="21"/>
  <c r="H238" i="21"/>
  <c r="K235" i="21"/>
  <c r="J235" i="21"/>
  <c r="J232" i="21"/>
  <c r="I232" i="21"/>
  <c r="J229" i="21"/>
  <c r="I229" i="21"/>
  <c r="J226" i="21"/>
  <c r="I226" i="21"/>
  <c r="G223" i="21"/>
  <c r="F223" i="21"/>
  <c r="I220" i="21"/>
  <c r="H220" i="21"/>
  <c r="I217" i="21"/>
  <c r="H217" i="21"/>
  <c r="H214" i="21"/>
  <c r="G214" i="21"/>
  <c r="L211" i="21"/>
  <c r="K211" i="21"/>
  <c r="K208" i="21"/>
  <c r="J208" i="21"/>
  <c r="J205" i="21"/>
  <c r="I205" i="21"/>
  <c r="L202" i="21"/>
  <c r="K202" i="21"/>
  <c r="N199" i="21"/>
  <c r="M199" i="21"/>
  <c r="K196" i="21"/>
  <c r="J196" i="21"/>
  <c r="AW193" i="21"/>
  <c r="K193" i="21"/>
  <c r="J193" i="21"/>
  <c r="K190" i="21"/>
  <c r="J190" i="21"/>
  <c r="J187" i="21"/>
  <c r="I187" i="21"/>
  <c r="J184" i="21"/>
  <c r="I184" i="21"/>
  <c r="K181" i="21"/>
  <c r="J181" i="21"/>
  <c r="K178" i="21"/>
  <c r="J178" i="21"/>
  <c r="I175" i="21"/>
  <c r="H175" i="21"/>
  <c r="K172" i="21"/>
  <c r="J172" i="21"/>
  <c r="G169" i="21"/>
  <c r="X129" i="21"/>
  <c r="W129" i="21"/>
  <c r="V129" i="21"/>
  <c r="U129" i="21"/>
  <c r="X128" i="21"/>
  <c r="W128" i="21"/>
  <c r="V128" i="21"/>
  <c r="U128" i="21"/>
  <c r="X127" i="21"/>
  <c r="W127" i="21"/>
  <c r="V127" i="21"/>
  <c r="U127" i="21"/>
  <c r="X126" i="21"/>
  <c r="W126" i="21"/>
  <c r="V126" i="21"/>
  <c r="U126" i="21"/>
  <c r="X125" i="21"/>
  <c r="W125" i="21"/>
  <c r="V125" i="21"/>
  <c r="U125" i="21"/>
  <c r="X124" i="21"/>
  <c r="W124" i="21"/>
  <c r="V124" i="21"/>
  <c r="U124" i="21"/>
  <c r="X123" i="21"/>
  <c r="W123" i="21"/>
  <c r="V123" i="21"/>
  <c r="U123" i="21"/>
  <c r="X122" i="21"/>
  <c r="W122" i="21"/>
  <c r="V122" i="21"/>
  <c r="U122" i="21"/>
  <c r="X121" i="21"/>
  <c r="W121" i="21"/>
  <c r="V121" i="21"/>
  <c r="U121" i="21"/>
  <c r="X120" i="21"/>
  <c r="W120" i="21"/>
  <c r="V120" i="21"/>
  <c r="U120" i="21"/>
  <c r="X119" i="21"/>
  <c r="W119" i="21"/>
  <c r="V119" i="21"/>
  <c r="U119" i="21"/>
  <c r="X118" i="21"/>
  <c r="W118" i="21"/>
  <c r="V118" i="21"/>
  <c r="U118" i="21"/>
  <c r="X117" i="21"/>
  <c r="V117" i="21"/>
  <c r="U117" i="21"/>
  <c r="X116" i="21"/>
  <c r="V116" i="21"/>
  <c r="U116" i="21"/>
  <c r="X115" i="21"/>
  <c r="W115" i="21"/>
  <c r="V115" i="21"/>
  <c r="F98" i="21"/>
  <c r="F96" i="21"/>
  <c r="E96" i="21"/>
  <c r="D19" i="21" s="1"/>
  <c r="F95" i="21"/>
  <c r="E95" i="21"/>
  <c r="D8" i="21" s="1"/>
  <c r="F94" i="21"/>
  <c r="E94" i="21"/>
  <c r="F93" i="21"/>
  <c r="E93" i="21"/>
  <c r="F92" i="21"/>
  <c r="E92" i="21"/>
  <c r="D5" i="21" s="1"/>
  <c r="T31" i="21" s="1"/>
  <c r="F91" i="21"/>
  <c r="E91" i="21"/>
  <c r="F90" i="21"/>
  <c r="E90" i="21"/>
  <c r="F89" i="21"/>
  <c r="E89" i="21"/>
  <c r="F88" i="21"/>
  <c r="E88" i="21"/>
  <c r="F87" i="21"/>
  <c r="E87" i="21"/>
  <c r="C86" i="21"/>
  <c r="C58" i="21"/>
  <c r="C57" i="21"/>
  <c r="C56" i="21"/>
  <c r="D12" i="21" s="1"/>
  <c r="C55" i="21"/>
  <c r="C54" i="21"/>
  <c r="C53" i="21"/>
  <c r="C52" i="21"/>
  <c r="C51" i="21"/>
  <c r="C50" i="21"/>
  <c r="C49" i="21"/>
  <c r="C48" i="21"/>
  <c r="C47" i="21"/>
  <c r="C46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V32" i="21"/>
  <c r="P20" i="21"/>
  <c r="O20" i="21"/>
  <c r="N20" i="21"/>
  <c r="M20" i="21"/>
  <c r="L20" i="21"/>
  <c r="D20" i="21"/>
  <c r="D18" i="21"/>
  <c r="D17" i="21"/>
  <c r="D16" i="21"/>
  <c r="F15" i="21"/>
  <c r="D15" i="21"/>
  <c r="D14" i="21"/>
  <c r="J13" i="21"/>
  <c r="D13" i="21"/>
  <c r="AD12" i="21"/>
  <c r="AC12" i="21"/>
  <c r="AB12" i="21"/>
  <c r="AA12" i="21"/>
  <c r="J12" i="21"/>
  <c r="AD11" i="21"/>
  <c r="AC11" i="21"/>
  <c r="AB11" i="21"/>
  <c r="AA11" i="21"/>
  <c r="K11" i="21"/>
  <c r="J11" i="21"/>
  <c r="J20" i="21" s="1"/>
  <c r="D11" i="21"/>
  <c r="K10" i="21"/>
  <c r="J10" i="21"/>
  <c r="D10" i="21"/>
  <c r="J32" i="21" s="1"/>
  <c r="AD9" i="21"/>
  <c r="AC9" i="21"/>
  <c r="AB9" i="21"/>
  <c r="J9" i="21"/>
  <c r="F9" i="21"/>
  <c r="F10" i="21" s="1"/>
  <c r="D9" i="21"/>
  <c r="W32" i="21" s="1"/>
  <c r="J8" i="21"/>
  <c r="C8" i="21"/>
  <c r="K7" i="21"/>
  <c r="K8" i="21" s="1"/>
  <c r="C7" i="21"/>
  <c r="C6" i="21"/>
  <c r="C5" i="21"/>
  <c r="C4" i="21"/>
  <c r="C3" i="21"/>
  <c r="T20" i="17"/>
  <c r="S20" i="17"/>
  <c r="R20" i="17"/>
  <c r="Q20" i="17"/>
  <c r="P20" i="17"/>
  <c r="M20" i="19"/>
  <c r="L20" i="19"/>
  <c r="K20" i="19"/>
  <c r="J20" i="19"/>
  <c r="P38" i="17"/>
  <c r="L38" i="17"/>
  <c r="J38" i="17"/>
  <c r="J20" i="20"/>
  <c r="K20" i="20"/>
  <c r="F98" i="17"/>
  <c r="F98" i="18"/>
  <c r="F98" i="20"/>
  <c r="F98" i="19"/>
  <c r="E19" i="19"/>
  <c r="E19" i="20"/>
  <c r="E19" i="18"/>
  <c r="E19" i="17"/>
  <c r="C41" i="20"/>
  <c r="C41" i="18"/>
  <c r="C42" i="10"/>
  <c r="K20" i="15"/>
  <c r="J20" i="15"/>
  <c r="L20" i="14"/>
  <c r="K20" i="14"/>
  <c r="J20" i="14"/>
  <c r="M20" i="12"/>
  <c r="L20" i="12"/>
  <c r="K20" i="12"/>
  <c r="J20" i="12"/>
  <c r="I295" i="20"/>
  <c r="H295" i="20"/>
  <c r="K292" i="20"/>
  <c r="J292" i="20"/>
  <c r="J289" i="20"/>
  <c r="I289" i="20"/>
  <c r="H286" i="20"/>
  <c r="G286" i="20"/>
  <c r="AT283" i="20"/>
  <c r="AS283" i="20"/>
  <c r="J283" i="20"/>
  <c r="I283" i="20"/>
  <c r="J280" i="20"/>
  <c r="I280" i="20"/>
  <c r="L277" i="20"/>
  <c r="K277" i="20"/>
  <c r="J274" i="20"/>
  <c r="I274" i="20"/>
  <c r="L271" i="20"/>
  <c r="K271" i="20"/>
  <c r="K268" i="20"/>
  <c r="J268" i="20"/>
  <c r="L265" i="20"/>
  <c r="K265" i="20"/>
  <c r="K262" i="20"/>
  <c r="J262" i="20"/>
  <c r="K259" i="20"/>
  <c r="J259" i="20"/>
  <c r="J256" i="20"/>
  <c r="I256" i="20"/>
  <c r="L253" i="20"/>
  <c r="K253" i="20"/>
  <c r="M250" i="20"/>
  <c r="L250" i="20"/>
  <c r="M247" i="20"/>
  <c r="L247" i="20"/>
  <c r="M244" i="20"/>
  <c r="L244" i="20"/>
  <c r="N241" i="20"/>
  <c r="M241" i="20"/>
  <c r="I238" i="20"/>
  <c r="H238" i="20"/>
  <c r="K235" i="20"/>
  <c r="J235" i="20"/>
  <c r="J232" i="20"/>
  <c r="I232" i="20"/>
  <c r="J229" i="20"/>
  <c r="I229" i="20"/>
  <c r="J226" i="20"/>
  <c r="I226" i="20"/>
  <c r="G223" i="20"/>
  <c r="F223" i="20"/>
  <c r="I220" i="20"/>
  <c r="H220" i="20"/>
  <c r="I217" i="20"/>
  <c r="H217" i="20"/>
  <c r="H214" i="20"/>
  <c r="G214" i="20"/>
  <c r="L211" i="20"/>
  <c r="K211" i="20"/>
  <c r="K208" i="20"/>
  <c r="J208" i="20"/>
  <c r="J205" i="20"/>
  <c r="I205" i="20"/>
  <c r="L202" i="20"/>
  <c r="K202" i="20"/>
  <c r="N199" i="20"/>
  <c r="M199" i="20"/>
  <c r="K196" i="20"/>
  <c r="J196" i="20"/>
  <c r="AW193" i="20"/>
  <c r="K193" i="20"/>
  <c r="J193" i="20"/>
  <c r="K190" i="20"/>
  <c r="J190" i="20"/>
  <c r="J187" i="20"/>
  <c r="I187" i="20"/>
  <c r="J184" i="20"/>
  <c r="I184" i="20"/>
  <c r="K181" i="20"/>
  <c r="J181" i="20"/>
  <c r="K178" i="20"/>
  <c r="J178" i="20"/>
  <c r="I175" i="20"/>
  <c r="H175" i="20"/>
  <c r="K172" i="20"/>
  <c r="J172" i="20"/>
  <c r="G169" i="20"/>
  <c r="X129" i="20"/>
  <c r="W129" i="20"/>
  <c r="V129" i="20"/>
  <c r="U129" i="20"/>
  <c r="X128" i="20"/>
  <c r="W128" i="20"/>
  <c r="V128" i="20"/>
  <c r="U128" i="20"/>
  <c r="X127" i="20"/>
  <c r="W127" i="20"/>
  <c r="V127" i="20"/>
  <c r="U127" i="20"/>
  <c r="X126" i="20"/>
  <c r="W126" i="20"/>
  <c r="V126" i="20"/>
  <c r="U126" i="20"/>
  <c r="X125" i="20"/>
  <c r="W125" i="20"/>
  <c r="V125" i="20"/>
  <c r="U125" i="20"/>
  <c r="X124" i="20"/>
  <c r="W124" i="20"/>
  <c r="V124" i="20"/>
  <c r="U124" i="20"/>
  <c r="X123" i="20"/>
  <c r="W123" i="20"/>
  <c r="V123" i="20"/>
  <c r="U123" i="20"/>
  <c r="X122" i="20"/>
  <c r="W122" i="20"/>
  <c r="V122" i="20"/>
  <c r="U122" i="20"/>
  <c r="X121" i="20"/>
  <c r="W121" i="20"/>
  <c r="V121" i="20"/>
  <c r="U121" i="20"/>
  <c r="X120" i="20"/>
  <c r="W120" i="20"/>
  <c r="V120" i="20"/>
  <c r="U120" i="20"/>
  <c r="X119" i="20"/>
  <c r="W119" i="20"/>
  <c r="V119" i="20"/>
  <c r="U119" i="20"/>
  <c r="X118" i="20"/>
  <c r="W118" i="20"/>
  <c r="V118" i="20"/>
  <c r="U118" i="20"/>
  <c r="X117" i="20"/>
  <c r="V117" i="20"/>
  <c r="U117" i="20"/>
  <c r="X116" i="20"/>
  <c r="V116" i="20"/>
  <c r="U116" i="20"/>
  <c r="X115" i="20"/>
  <c r="W115" i="20"/>
  <c r="V115" i="20"/>
  <c r="F96" i="20"/>
  <c r="E96" i="20"/>
  <c r="D19" i="20" s="1"/>
  <c r="C76" i="20" s="1"/>
  <c r="D17" i="20" s="1"/>
  <c r="F95" i="20"/>
  <c r="E95" i="20"/>
  <c r="F94" i="20"/>
  <c r="E94" i="20"/>
  <c r="F93" i="20"/>
  <c r="E93" i="20"/>
  <c r="F92" i="20"/>
  <c r="E92" i="20"/>
  <c r="F91" i="20"/>
  <c r="E91" i="20"/>
  <c r="F90" i="20"/>
  <c r="E90" i="20"/>
  <c r="F89" i="20"/>
  <c r="E89" i="20"/>
  <c r="F88" i="20"/>
  <c r="E88" i="20"/>
  <c r="F87" i="20"/>
  <c r="E87" i="20"/>
  <c r="C86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AD32" i="20"/>
  <c r="R32" i="20"/>
  <c r="D20" i="20"/>
  <c r="D18" i="20"/>
  <c r="D16" i="20"/>
  <c r="F15" i="20"/>
  <c r="D15" i="20"/>
  <c r="D14" i="20"/>
  <c r="J13" i="20"/>
  <c r="D13" i="20"/>
  <c r="AD12" i="20"/>
  <c r="AC12" i="20"/>
  <c r="AB12" i="20"/>
  <c r="AA12" i="20"/>
  <c r="J12" i="20"/>
  <c r="D12" i="20"/>
  <c r="AD11" i="20"/>
  <c r="AC11" i="20"/>
  <c r="AB11" i="20"/>
  <c r="AA11" i="20"/>
  <c r="J11" i="20"/>
  <c r="D11" i="20"/>
  <c r="K10" i="20"/>
  <c r="J10" i="20"/>
  <c r="D10" i="20"/>
  <c r="AD9" i="20"/>
  <c r="AC9" i="20"/>
  <c r="AB9" i="20"/>
  <c r="AA9" i="20"/>
  <c r="J9" i="20"/>
  <c r="F9" i="20"/>
  <c r="F11" i="20" s="1"/>
  <c r="D9" i="20"/>
  <c r="AB32" i="20" s="1"/>
  <c r="K8" i="20"/>
  <c r="J8" i="20"/>
  <c r="C8" i="20"/>
  <c r="K7" i="20"/>
  <c r="K12" i="20" s="1"/>
  <c r="C7" i="20"/>
  <c r="C6" i="20"/>
  <c r="C5" i="20"/>
  <c r="C4" i="20"/>
  <c r="C3" i="20"/>
  <c r="I295" i="19"/>
  <c r="H295" i="19"/>
  <c r="K292" i="19"/>
  <c r="J292" i="19"/>
  <c r="J289" i="19"/>
  <c r="I289" i="19"/>
  <c r="H286" i="19"/>
  <c r="G286" i="19"/>
  <c r="AT283" i="19"/>
  <c r="AS283" i="19"/>
  <c r="J283" i="19"/>
  <c r="I283" i="19"/>
  <c r="J280" i="19"/>
  <c r="I280" i="19"/>
  <c r="L277" i="19"/>
  <c r="K277" i="19"/>
  <c r="J274" i="19"/>
  <c r="I274" i="19"/>
  <c r="L271" i="19"/>
  <c r="K271" i="19"/>
  <c r="K268" i="19"/>
  <c r="J268" i="19"/>
  <c r="L265" i="19"/>
  <c r="K265" i="19"/>
  <c r="K262" i="19"/>
  <c r="J262" i="19"/>
  <c r="K259" i="19"/>
  <c r="J259" i="19"/>
  <c r="J256" i="19"/>
  <c r="I256" i="19"/>
  <c r="L253" i="19"/>
  <c r="K253" i="19"/>
  <c r="M250" i="19"/>
  <c r="L250" i="19"/>
  <c r="M247" i="19"/>
  <c r="L247" i="19"/>
  <c r="M244" i="19"/>
  <c r="L244" i="19"/>
  <c r="N241" i="19"/>
  <c r="M241" i="19"/>
  <c r="I238" i="19"/>
  <c r="H238" i="19"/>
  <c r="K235" i="19"/>
  <c r="J235" i="19"/>
  <c r="J232" i="19"/>
  <c r="I232" i="19"/>
  <c r="J229" i="19"/>
  <c r="I229" i="19"/>
  <c r="J226" i="19"/>
  <c r="I226" i="19"/>
  <c r="G223" i="19"/>
  <c r="F223" i="19"/>
  <c r="I220" i="19"/>
  <c r="H220" i="19"/>
  <c r="I217" i="19"/>
  <c r="H217" i="19"/>
  <c r="H214" i="19"/>
  <c r="G214" i="19"/>
  <c r="L211" i="19"/>
  <c r="K211" i="19"/>
  <c r="K208" i="19"/>
  <c r="J208" i="19"/>
  <c r="J205" i="19"/>
  <c r="I205" i="19"/>
  <c r="L202" i="19"/>
  <c r="K202" i="19"/>
  <c r="N199" i="19"/>
  <c r="M199" i="19"/>
  <c r="K196" i="19"/>
  <c r="J196" i="19"/>
  <c r="AW193" i="19"/>
  <c r="K193" i="19"/>
  <c r="J193" i="19"/>
  <c r="K190" i="19"/>
  <c r="J190" i="19"/>
  <c r="J187" i="19"/>
  <c r="I187" i="19"/>
  <c r="J184" i="19"/>
  <c r="I184" i="19"/>
  <c r="K181" i="19"/>
  <c r="J181" i="19"/>
  <c r="K178" i="19"/>
  <c r="J178" i="19"/>
  <c r="I175" i="19"/>
  <c r="H175" i="19"/>
  <c r="K172" i="19"/>
  <c r="J172" i="19"/>
  <c r="G169" i="19"/>
  <c r="X129" i="19"/>
  <c r="W129" i="19"/>
  <c r="V129" i="19"/>
  <c r="U129" i="19"/>
  <c r="X128" i="19"/>
  <c r="W128" i="19"/>
  <c r="V128" i="19"/>
  <c r="U128" i="19"/>
  <c r="X127" i="19"/>
  <c r="W127" i="19"/>
  <c r="V127" i="19"/>
  <c r="U127" i="19"/>
  <c r="X126" i="19"/>
  <c r="W126" i="19"/>
  <c r="V126" i="19"/>
  <c r="U126" i="19"/>
  <c r="X125" i="19"/>
  <c r="W125" i="19"/>
  <c r="V125" i="19"/>
  <c r="U125" i="19"/>
  <c r="X124" i="19"/>
  <c r="W124" i="19"/>
  <c r="V124" i="19"/>
  <c r="U124" i="19"/>
  <c r="X123" i="19"/>
  <c r="W123" i="19"/>
  <c r="V123" i="19"/>
  <c r="U123" i="19"/>
  <c r="X122" i="19"/>
  <c r="W122" i="19"/>
  <c r="V122" i="19"/>
  <c r="U122" i="19"/>
  <c r="X121" i="19"/>
  <c r="W121" i="19"/>
  <c r="V121" i="19"/>
  <c r="U121" i="19"/>
  <c r="X120" i="19"/>
  <c r="W120" i="19"/>
  <c r="V120" i="19"/>
  <c r="U120" i="19"/>
  <c r="X119" i="19"/>
  <c r="W119" i="19"/>
  <c r="V119" i="19"/>
  <c r="U119" i="19"/>
  <c r="X118" i="19"/>
  <c r="W118" i="19"/>
  <c r="V118" i="19"/>
  <c r="U118" i="19"/>
  <c r="X117" i="19"/>
  <c r="V117" i="19"/>
  <c r="U117" i="19"/>
  <c r="X116" i="19"/>
  <c r="V116" i="19"/>
  <c r="U116" i="19"/>
  <c r="X115" i="19"/>
  <c r="W115" i="19"/>
  <c r="V115" i="19"/>
  <c r="F96" i="19"/>
  <c r="E96" i="19"/>
  <c r="F95" i="19"/>
  <c r="E95" i="19"/>
  <c r="F94" i="19"/>
  <c r="E94" i="19"/>
  <c r="F93" i="19"/>
  <c r="E93" i="19"/>
  <c r="F92" i="19"/>
  <c r="E92" i="19"/>
  <c r="F91" i="19"/>
  <c r="E91" i="19"/>
  <c r="F90" i="19"/>
  <c r="E90" i="19"/>
  <c r="F89" i="19"/>
  <c r="E89" i="19"/>
  <c r="F88" i="19"/>
  <c r="E88" i="19"/>
  <c r="F87" i="19"/>
  <c r="E87" i="19"/>
  <c r="C86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V32" i="19"/>
  <c r="U32" i="19"/>
  <c r="D20" i="19"/>
  <c r="D19" i="19"/>
  <c r="D18" i="19"/>
  <c r="D17" i="19"/>
  <c r="D16" i="19"/>
  <c r="F15" i="19"/>
  <c r="D15" i="19"/>
  <c r="D14" i="19"/>
  <c r="J13" i="19"/>
  <c r="D13" i="19"/>
  <c r="AD12" i="19"/>
  <c r="AC12" i="19"/>
  <c r="AB12" i="19"/>
  <c r="AA12" i="19"/>
  <c r="K12" i="19"/>
  <c r="J12" i="19"/>
  <c r="D12" i="19"/>
  <c r="AD11" i="19"/>
  <c r="AC11" i="19"/>
  <c r="AB11" i="19"/>
  <c r="AA11" i="19"/>
  <c r="J11" i="19"/>
  <c r="D11" i="19"/>
  <c r="J10" i="19"/>
  <c r="D10" i="19"/>
  <c r="J32" i="19" s="1"/>
  <c r="AD9" i="19"/>
  <c r="J9" i="19"/>
  <c r="F9" i="19"/>
  <c r="F13" i="19" s="1"/>
  <c r="D9" i="19"/>
  <c r="AC32" i="19" s="1"/>
  <c r="J8" i="19"/>
  <c r="C8" i="19"/>
  <c r="L7" i="19"/>
  <c r="L10" i="19" s="1"/>
  <c r="K7" i="19"/>
  <c r="K10" i="19" s="1"/>
  <c r="C7" i="19"/>
  <c r="C6" i="19"/>
  <c r="C5" i="19"/>
  <c r="D5" i="19" s="1"/>
  <c r="C4" i="19"/>
  <c r="C3" i="19"/>
  <c r="D3" i="19" s="1"/>
  <c r="I295" i="18"/>
  <c r="H295" i="18"/>
  <c r="K292" i="18"/>
  <c r="J292" i="18"/>
  <c r="J289" i="18"/>
  <c r="I289" i="18"/>
  <c r="H286" i="18"/>
  <c r="G286" i="18"/>
  <c r="AT283" i="18"/>
  <c r="AS283" i="18"/>
  <c r="J283" i="18"/>
  <c r="I283" i="18"/>
  <c r="J280" i="18"/>
  <c r="I280" i="18"/>
  <c r="L277" i="18"/>
  <c r="K277" i="18"/>
  <c r="J274" i="18"/>
  <c r="I274" i="18"/>
  <c r="L271" i="18"/>
  <c r="K271" i="18"/>
  <c r="K268" i="18"/>
  <c r="J268" i="18"/>
  <c r="L265" i="18"/>
  <c r="K265" i="18"/>
  <c r="K262" i="18"/>
  <c r="J262" i="18"/>
  <c r="K259" i="18"/>
  <c r="J259" i="18"/>
  <c r="J256" i="18"/>
  <c r="I256" i="18"/>
  <c r="L253" i="18"/>
  <c r="K253" i="18"/>
  <c r="M250" i="18"/>
  <c r="L250" i="18"/>
  <c r="M247" i="18"/>
  <c r="L247" i="18"/>
  <c r="M244" i="18"/>
  <c r="L244" i="18"/>
  <c r="N241" i="18"/>
  <c r="M241" i="18"/>
  <c r="I238" i="18"/>
  <c r="H238" i="18"/>
  <c r="K235" i="18"/>
  <c r="J235" i="18"/>
  <c r="J232" i="18"/>
  <c r="I232" i="18"/>
  <c r="J229" i="18"/>
  <c r="I229" i="18"/>
  <c r="J226" i="18"/>
  <c r="I226" i="18"/>
  <c r="G223" i="18"/>
  <c r="F223" i="18"/>
  <c r="I220" i="18"/>
  <c r="H220" i="18"/>
  <c r="I217" i="18"/>
  <c r="H217" i="18"/>
  <c r="H214" i="18"/>
  <c r="G214" i="18"/>
  <c r="L211" i="18"/>
  <c r="K211" i="18"/>
  <c r="K208" i="18"/>
  <c r="J208" i="18"/>
  <c r="J205" i="18"/>
  <c r="I205" i="18"/>
  <c r="L202" i="18"/>
  <c r="K202" i="18"/>
  <c r="N199" i="18"/>
  <c r="M199" i="18"/>
  <c r="K196" i="18"/>
  <c r="J196" i="18"/>
  <c r="AW193" i="18"/>
  <c r="K193" i="18"/>
  <c r="J193" i="18"/>
  <c r="K190" i="18"/>
  <c r="J190" i="18"/>
  <c r="J187" i="18"/>
  <c r="I187" i="18"/>
  <c r="J184" i="18"/>
  <c r="I184" i="18"/>
  <c r="K181" i="18"/>
  <c r="J181" i="18"/>
  <c r="K178" i="18"/>
  <c r="J178" i="18"/>
  <c r="I175" i="18"/>
  <c r="H175" i="18"/>
  <c r="K172" i="18"/>
  <c r="J172" i="18"/>
  <c r="G169" i="18"/>
  <c r="X129" i="18"/>
  <c r="W129" i="18"/>
  <c r="V129" i="18"/>
  <c r="U129" i="18"/>
  <c r="X128" i="18"/>
  <c r="W128" i="18"/>
  <c r="V128" i="18"/>
  <c r="U128" i="18"/>
  <c r="X127" i="18"/>
  <c r="W127" i="18"/>
  <c r="V127" i="18"/>
  <c r="U127" i="18"/>
  <c r="X126" i="18"/>
  <c r="W126" i="18"/>
  <c r="V126" i="18"/>
  <c r="U126" i="18"/>
  <c r="X125" i="18"/>
  <c r="W125" i="18"/>
  <c r="V125" i="18"/>
  <c r="U125" i="18"/>
  <c r="X124" i="18"/>
  <c r="W124" i="18"/>
  <c r="V124" i="18"/>
  <c r="U124" i="18"/>
  <c r="X123" i="18"/>
  <c r="W123" i="18"/>
  <c r="V123" i="18"/>
  <c r="U123" i="18"/>
  <c r="X122" i="18"/>
  <c r="W122" i="18"/>
  <c r="V122" i="18"/>
  <c r="U122" i="18"/>
  <c r="X121" i="18"/>
  <c r="W121" i="18"/>
  <c r="V121" i="18"/>
  <c r="U121" i="18"/>
  <c r="X120" i="18"/>
  <c r="W120" i="18"/>
  <c r="V120" i="18"/>
  <c r="U120" i="18"/>
  <c r="X119" i="18"/>
  <c r="W119" i="18"/>
  <c r="V119" i="18"/>
  <c r="U119" i="18"/>
  <c r="X118" i="18"/>
  <c r="W118" i="18"/>
  <c r="V118" i="18"/>
  <c r="U118" i="18"/>
  <c r="X117" i="18"/>
  <c r="V117" i="18"/>
  <c r="U117" i="18"/>
  <c r="X116" i="18"/>
  <c r="V116" i="18"/>
  <c r="U116" i="18"/>
  <c r="X115" i="18"/>
  <c r="W115" i="18"/>
  <c r="V115" i="18"/>
  <c r="F96" i="18"/>
  <c r="E96" i="18"/>
  <c r="D19" i="18" s="1"/>
  <c r="C76" i="18" s="1"/>
  <c r="D17" i="18" s="1"/>
  <c r="F95" i="18"/>
  <c r="E95" i="18"/>
  <c r="F94" i="18"/>
  <c r="E94" i="18"/>
  <c r="F93" i="18"/>
  <c r="E93" i="18"/>
  <c r="D6" i="18" s="1"/>
  <c r="V33" i="18" s="1"/>
  <c r="F92" i="18"/>
  <c r="E92" i="18"/>
  <c r="F91" i="18"/>
  <c r="E91" i="18"/>
  <c r="F90" i="18"/>
  <c r="E90" i="18"/>
  <c r="F89" i="18"/>
  <c r="E89" i="18"/>
  <c r="F88" i="18"/>
  <c r="E88" i="18"/>
  <c r="F87" i="18"/>
  <c r="E87" i="18"/>
  <c r="C86" i="18"/>
  <c r="C58" i="18"/>
  <c r="C57" i="18"/>
  <c r="C56" i="18"/>
  <c r="C55" i="18"/>
  <c r="D11" i="18" s="1"/>
  <c r="C54" i="18"/>
  <c r="D10" i="18" s="1"/>
  <c r="C53" i="18"/>
  <c r="C52" i="18"/>
  <c r="C51" i="18"/>
  <c r="C50" i="18"/>
  <c r="C49" i="18"/>
  <c r="C48" i="18"/>
  <c r="C47" i="18"/>
  <c r="C46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Y32" i="18"/>
  <c r="T32" i="18"/>
  <c r="M20" i="18"/>
  <c r="K20" i="18"/>
  <c r="D20" i="18"/>
  <c r="D18" i="18"/>
  <c r="D16" i="18"/>
  <c r="F15" i="18"/>
  <c r="D15" i="18"/>
  <c r="D14" i="18"/>
  <c r="J13" i="18"/>
  <c r="D13" i="18"/>
  <c r="AD12" i="18"/>
  <c r="AC12" i="18"/>
  <c r="AB12" i="18"/>
  <c r="AA12" i="18"/>
  <c r="J12" i="18"/>
  <c r="D12" i="18"/>
  <c r="AD11" i="18"/>
  <c r="AC11" i="18"/>
  <c r="AB11" i="18"/>
  <c r="AA11" i="18"/>
  <c r="J11" i="18"/>
  <c r="J10" i="18"/>
  <c r="AD9" i="18"/>
  <c r="AC9" i="18"/>
  <c r="AB9" i="18"/>
  <c r="AA9" i="18"/>
  <c r="J9" i="18"/>
  <c r="F9" i="18"/>
  <c r="F12" i="18" s="1"/>
  <c r="D9" i="18"/>
  <c r="S32" i="18" s="1"/>
  <c r="J8" i="18"/>
  <c r="C8" i="18"/>
  <c r="K7" i="18"/>
  <c r="K13" i="18" s="1"/>
  <c r="C7" i="18"/>
  <c r="C6" i="18"/>
  <c r="C5" i="18"/>
  <c r="C4" i="18"/>
  <c r="D4" i="18" s="1"/>
  <c r="C3" i="18"/>
  <c r="I295" i="17"/>
  <c r="H295" i="17"/>
  <c r="K292" i="17"/>
  <c r="J292" i="17"/>
  <c r="J289" i="17"/>
  <c r="I289" i="17"/>
  <c r="H286" i="17"/>
  <c r="G286" i="17"/>
  <c r="AT283" i="17"/>
  <c r="AS283" i="17"/>
  <c r="J283" i="17"/>
  <c r="I283" i="17"/>
  <c r="J280" i="17"/>
  <c r="I280" i="17"/>
  <c r="L277" i="17"/>
  <c r="K277" i="17"/>
  <c r="J274" i="17"/>
  <c r="I274" i="17"/>
  <c r="L271" i="17"/>
  <c r="K271" i="17"/>
  <c r="K268" i="17"/>
  <c r="J268" i="17"/>
  <c r="L265" i="17"/>
  <c r="K265" i="17"/>
  <c r="K262" i="17"/>
  <c r="J262" i="17"/>
  <c r="K259" i="17"/>
  <c r="J259" i="17"/>
  <c r="J256" i="17"/>
  <c r="I256" i="17"/>
  <c r="L253" i="17"/>
  <c r="K253" i="17"/>
  <c r="M250" i="17"/>
  <c r="L250" i="17"/>
  <c r="M247" i="17"/>
  <c r="L247" i="17"/>
  <c r="M244" i="17"/>
  <c r="L244" i="17"/>
  <c r="N241" i="17"/>
  <c r="M241" i="17"/>
  <c r="I238" i="17"/>
  <c r="H238" i="17"/>
  <c r="K235" i="17"/>
  <c r="J235" i="17"/>
  <c r="J232" i="17"/>
  <c r="I232" i="17"/>
  <c r="J229" i="17"/>
  <c r="I229" i="17"/>
  <c r="J226" i="17"/>
  <c r="I226" i="17"/>
  <c r="G223" i="17"/>
  <c r="F223" i="17"/>
  <c r="I220" i="17"/>
  <c r="H220" i="17"/>
  <c r="I217" i="17"/>
  <c r="H217" i="17"/>
  <c r="H214" i="17"/>
  <c r="G214" i="17"/>
  <c r="L211" i="17"/>
  <c r="K211" i="17"/>
  <c r="K208" i="17"/>
  <c r="J208" i="17"/>
  <c r="J205" i="17"/>
  <c r="I205" i="17"/>
  <c r="L202" i="17"/>
  <c r="K202" i="17"/>
  <c r="N199" i="17"/>
  <c r="M199" i="17"/>
  <c r="K196" i="17"/>
  <c r="J196" i="17"/>
  <c r="AW193" i="17"/>
  <c r="K193" i="17"/>
  <c r="J193" i="17"/>
  <c r="K190" i="17"/>
  <c r="J190" i="17"/>
  <c r="J187" i="17"/>
  <c r="I187" i="17"/>
  <c r="J184" i="17"/>
  <c r="I184" i="17"/>
  <c r="K181" i="17"/>
  <c r="J181" i="17"/>
  <c r="K178" i="17"/>
  <c r="J178" i="17"/>
  <c r="I175" i="17"/>
  <c r="H175" i="17"/>
  <c r="K172" i="17"/>
  <c r="J172" i="17"/>
  <c r="G169" i="17"/>
  <c r="X129" i="17"/>
  <c r="W129" i="17"/>
  <c r="V129" i="17"/>
  <c r="U129" i="17"/>
  <c r="X128" i="17"/>
  <c r="W128" i="17"/>
  <c r="V128" i="17"/>
  <c r="U128" i="17"/>
  <c r="X127" i="17"/>
  <c r="W127" i="17"/>
  <c r="V127" i="17"/>
  <c r="U127" i="17"/>
  <c r="X126" i="17"/>
  <c r="W126" i="17"/>
  <c r="V126" i="17"/>
  <c r="U126" i="17"/>
  <c r="X125" i="17"/>
  <c r="W125" i="17"/>
  <c r="V125" i="17"/>
  <c r="U125" i="17"/>
  <c r="X124" i="17"/>
  <c r="W124" i="17"/>
  <c r="V124" i="17"/>
  <c r="U124" i="17"/>
  <c r="X123" i="17"/>
  <c r="W123" i="17"/>
  <c r="V123" i="17"/>
  <c r="U123" i="17"/>
  <c r="X122" i="17"/>
  <c r="W122" i="17"/>
  <c r="V122" i="17"/>
  <c r="U122" i="17"/>
  <c r="X121" i="17"/>
  <c r="W121" i="17"/>
  <c r="V121" i="17"/>
  <c r="U121" i="17"/>
  <c r="X120" i="17"/>
  <c r="W120" i="17"/>
  <c r="V120" i="17"/>
  <c r="U120" i="17"/>
  <c r="X119" i="17"/>
  <c r="W119" i="17"/>
  <c r="V119" i="17"/>
  <c r="U119" i="17"/>
  <c r="X118" i="17"/>
  <c r="W118" i="17"/>
  <c r="V118" i="17"/>
  <c r="U118" i="17"/>
  <c r="X117" i="17"/>
  <c r="V117" i="17"/>
  <c r="U117" i="17"/>
  <c r="X116" i="17"/>
  <c r="V116" i="17"/>
  <c r="U116" i="17"/>
  <c r="X115" i="17"/>
  <c r="W115" i="17"/>
  <c r="V115" i="17"/>
  <c r="F96" i="17"/>
  <c r="E96" i="17"/>
  <c r="D19" i="17" s="1"/>
  <c r="F95" i="17"/>
  <c r="E95" i="17"/>
  <c r="F94" i="17"/>
  <c r="E94" i="17"/>
  <c r="D7" i="17" s="1"/>
  <c r="AC34" i="17" s="1"/>
  <c r="F93" i="17"/>
  <c r="E93" i="17"/>
  <c r="D6" i="17" s="1"/>
  <c r="Z33" i="17" s="1"/>
  <c r="F92" i="17"/>
  <c r="E92" i="17"/>
  <c r="F91" i="17"/>
  <c r="E91" i="17"/>
  <c r="F90" i="17"/>
  <c r="E90" i="17"/>
  <c r="D3" i="17" s="1"/>
  <c r="Z29" i="17" s="1"/>
  <c r="F89" i="17"/>
  <c r="E89" i="17"/>
  <c r="F88" i="17"/>
  <c r="E88" i="17"/>
  <c r="F87" i="17"/>
  <c r="E87" i="17"/>
  <c r="C86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AC32" i="17"/>
  <c r="T32" i="17"/>
  <c r="Q32" i="17"/>
  <c r="D20" i="17"/>
  <c r="D18" i="17"/>
  <c r="D17" i="17"/>
  <c r="D16" i="17"/>
  <c r="F15" i="17"/>
  <c r="D15" i="17"/>
  <c r="D14" i="17"/>
  <c r="J13" i="17"/>
  <c r="D13" i="17"/>
  <c r="AD12" i="17"/>
  <c r="AC12" i="17"/>
  <c r="AB12" i="17"/>
  <c r="AA12" i="17"/>
  <c r="J12" i="17"/>
  <c r="F12" i="17"/>
  <c r="AA9" i="17" s="1"/>
  <c r="D12" i="17"/>
  <c r="AD11" i="17"/>
  <c r="AC11" i="17"/>
  <c r="AB11" i="17"/>
  <c r="AA11" i="17"/>
  <c r="J11" i="17"/>
  <c r="F11" i="17"/>
  <c r="D11" i="17"/>
  <c r="J10" i="17"/>
  <c r="D10" i="17"/>
  <c r="AD9" i="17"/>
  <c r="AC9" i="17"/>
  <c r="AB9" i="17"/>
  <c r="J9" i="17"/>
  <c r="F9" i="17"/>
  <c r="F10" i="17" s="1"/>
  <c r="D9" i="17"/>
  <c r="W32" i="17" s="1"/>
  <c r="J8" i="17"/>
  <c r="C8" i="17"/>
  <c r="K7" i="17"/>
  <c r="K8" i="17" s="1"/>
  <c r="C7" i="17"/>
  <c r="C6" i="17"/>
  <c r="C5" i="17"/>
  <c r="C4" i="17"/>
  <c r="D4" i="17" s="1"/>
  <c r="C3" i="17"/>
  <c r="F98" i="15"/>
  <c r="F98" i="14"/>
  <c r="E19" i="15"/>
  <c r="E19" i="13"/>
  <c r="F98" i="13"/>
  <c r="F98" i="16"/>
  <c r="E19" i="14"/>
  <c r="E19" i="16"/>
  <c r="P38" i="13"/>
  <c r="O38" i="13"/>
  <c r="N38" i="13"/>
  <c r="L38" i="13"/>
  <c r="I295" i="16"/>
  <c r="H295" i="16"/>
  <c r="K292" i="16"/>
  <c r="J292" i="16"/>
  <c r="J289" i="16"/>
  <c r="I289" i="16"/>
  <c r="H286" i="16"/>
  <c r="G286" i="16"/>
  <c r="AT283" i="16"/>
  <c r="AS283" i="16"/>
  <c r="J283" i="16"/>
  <c r="I283" i="16"/>
  <c r="J280" i="16"/>
  <c r="I280" i="16"/>
  <c r="L277" i="16"/>
  <c r="K277" i="16"/>
  <c r="J274" i="16"/>
  <c r="I274" i="16"/>
  <c r="L271" i="16"/>
  <c r="K271" i="16"/>
  <c r="K268" i="16"/>
  <c r="J268" i="16"/>
  <c r="L265" i="16"/>
  <c r="K265" i="16"/>
  <c r="K262" i="16"/>
  <c r="J262" i="16"/>
  <c r="K259" i="16"/>
  <c r="J259" i="16"/>
  <c r="J256" i="16"/>
  <c r="I256" i="16"/>
  <c r="L253" i="16"/>
  <c r="K253" i="16"/>
  <c r="M250" i="16"/>
  <c r="L250" i="16"/>
  <c r="M247" i="16"/>
  <c r="L247" i="16"/>
  <c r="M244" i="16"/>
  <c r="L244" i="16"/>
  <c r="N241" i="16"/>
  <c r="M241" i="16"/>
  <c r="I238" i="16"/>
  <c r="H238" i="16"/>
  <c r="K235" i="16"/>
  <c r="J235" i="16"/>
  <c r="J232" i="16"/>
  <c r="I232" i="16"/>
  <c r="J229" i="16"/>
  <c r="I229" i="16"/>
  <c r="J226" i="16"/>
  <c r="I226" i="16"/>
  <c r="G223" i="16"/>
  <c r="F223" i="16"/>
  <c r="I220" i="16"/>
  <c r="H220" i="16"/>
  <c r="I217" i="16"/>
  <c r="H217" i="16"/>
  <c r="H214" i="16"/>
  <c r="G214" i="16"/>
  <c r="L211" i="16"/>
  <c r="K211" i="16"/>
  <c r="K208" i="16"/>
  <c r="J208" i="16"/>
  <c r="J205" i="16"/>
  <c r="I205" i="16"/>
  <c r="L202" i="16"/>
  <c r="K202" i="16"/>
  <c r="N199" i="16"/>
  <c r="M199" i="16"/>
  <c r="K196" i="16"/>
  <c r="J196" i="16"/>
  <c r="AW193" i="16"/>
  <c r="K193" i="16"/>
  <c r="J193" i="16"/>
  <c r="K190" i="16"/>
  <c r="J190" i="16"/>
  <c r="J187" i="16"/>
  <c r="I187" i="16"/>
  <c r="J184" i="16"/>
  <c r="I184" i="16"/>
  <c r="K181" i="16"/>
  <c r="J181" i="16"/>
  <c r="K178" i="16"/>
  <c r="J178" i="16"/>
  <c r="I175" i="16"/>
  <c r="H175" i="16"/>
  <c r="K172" i="16"/>
  <c r="J172" i="16"/>
  <c r="G169" i="16"/>
  <c r="X129" i="16"/>
  <c r="W129" i="16"/>
  <c r="V129" i="16"/>
  <c r="U129" i="16"/>
  <c r="X128" i="16"/>
  <c r="W128" i="16"/>
  <c r="V128" i="16"/>
  <c r="U128" i="16"/>
  <c r="X127" i="16"/>
  <c r="W127" i="16"/>
  <c r="V127" i="16"/>
  <c r="U127" i="16"/>
  <c r="X126" i="16"/>
  <c r="W126" i="16"/>
  <c r="V126" i="16"/>
  <c r="U126" i="16"/>
  <c r="X125" i="16"/>
  <c r="W125" i="16"/>
  <c r="V125" i="16"/>
  <c r="U125" i="16"/>
  <c r="X124" i="16"/>
  <c r="W124" i="16"/>
  <c r="V124" i="16"/>
  <c r="U124" i="16"/>
  <c r="X123" i="16"/>
  <c r="W123" i="16"/>
  <c r="V123" i="16"/>
  <c r="U123" i="16"/>
  <c r="X122" i="16"/>
  <c r="W122" i="16"/>
  <c r="V122" i="16"/>
  <c r="U122" i="16"/>
  <c r="X121" i="16"/>
  <c r="W121" i="16"/>
  <c r="V121" i="16"/>
  <c r="U121" i="16"/>
  <c r="X120" i="16"/>
  <c r="W120" i="16"/>
  <c r="V120" i="16"/>
  <c r="U120" i="16"/>
  <c r="X119" i="16"/>
  <c r="W119" i="16"/>
  <c r="V119" i="16"/>
  <c r="U119" i="16"/>
  <c r="X118" i="16"/>
  <c r="W118" i="16"/>
  <c r="V118" i="16"/>
  <c r="U118" i="16"/>
  <c r="X117" i="16"/>
  <c r="V117" i="16"/>
  <c r="U117" i="16"/>
  <c r="X116" i="16"/>
  <c r="V116" i="16"/>
  <c r="U116" i="16"/>
  <c r="X115" i="16"/>
  <c r="W115" i="16"/>
  <c r="V115" i="16"/>
  <c r="F96" i="16"/>
  <c r="E96" i="16"/>
  <c r="D19" i="16" s="1"/>
  <c r="F95" i="16"/>
  <c r="E95" i="16"/>
  <c r="F94" i="16"/>
  <c r="E94" i="16"/>
  <c r="F93" i="16"/>
  <c r="E93" i="16"/>
  <c r="F92" i="16"/>
  <c r="E92" i="16"/>
  <c r="F91" i="16"/>
  <c r="E91" i="16"/>
  <c r="F90" i="16"/>
  <c r="E90" i="16"/>
  <c r="F89" i="16"/>
  <c r="E89" i="16"/>
  <c r="F88" i="16"/>
  <c r="E88" i="16"/>
  <c r="F87" i="16"/>
  <c r="E87" i="16"/>
  <c r="C86" i="16"/>
  <c r="C58" i="16"/>
  <c r="C57" i="16"/>
  <c r="C56" i="16"/>
  <c r="D12" i="16" s="1"/>
  <c r="C55" i="16"/>
  <c r="C54" i="16"/>
  <c r="C53" i="16"/>
  <c r="C52" i="16"/>
  <c r="C51" i="16"/>
  <c r="C50" i="16"/>
  <c r="C49" i="16"/>
  <c r="C48" i="16"/>
  <c r="C47" i="16"/>
  <c r="C46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D20" i="16"/>
  <c r="D18" i="16"/>
  <c r="D17" i="16"/>
  <c r="D16" i="16"/>
  <c r="F15" i="16"/>
  <c r="D15" i="16"/>
  <c r="D14" i="16"/>
  <c r="J13" i="16"/>
  <c r="D13" i="16"/>
  <c r="AD12" i="16"/>
  <c r="AC12" i="16"/>
  <c r="AB12" i="16"/>
  <c r="AA12" i="16"/>
  <c r="J12" i="16"/>
  <c r="AD11" i="16"/>
  <c r="AC11" i="16"/>
  <c r="AB11" i="16"/>
  <c r="AA11" i="16"/>
  <c r="J11" i="16"/>
  <c r="D11" i="16"/>
  <c r="K10" i="16"/>
  <c r="J10" i="16"/>
  <c r="D10" i="16"/>
  <c r="AD9" i="16"/>
  <c r="AC9" i="16"/>
  <c r="AB9" i="16"/>
  <c r="J9" i="16"/>
  <c r="F9" i="16"/>
  <c r="F11" i="16" s="1"/>
  <c r="D9" i="16"/>
  <c r="AB32" i="16" s="1"/>
  <c r="J8" i="16"/>
  <c r="C8" i="16"/>
  <c r="K7" i="16"/>
  <c r="K12" i="16" s="1"/>
  <c r="C7" i="16"/>
  <c r="C6" i="16"/>
  <c r="C5" i="16"/>
  <c r="C4" i="16"/>
  <c r="C3" i="16"/>
  <c r="I295" i="15"/>
  <c r="H295" i="15"/>
  <c r="K292" i="15"/>
  <c r="J292" i="15"/>
  <c r="J289" i="15"/>
  <c r="I289" i="15"/>
  <c r="H286" i="15"/>
  <c r="G286" i="15"/>
  <c r="AT283" i="15"/>
  <c r="AS283" i="15"/>
  <c r="J283" i="15"/>
  <c r="I283" i="15"/>
  <c r="J280" i="15"/>
  <c r="I280" i="15"/>
  <c r="L277" i="15"/>
  <c r="K277" i="15"/>
  <c r="J274" i="15"/>
  <c r="I274" i="15"/>
  <c r="L271" i="15"/>
  <c r="K271" i="15"/>
  <c r="K268" i="15"/>
  <c r="J268" i="15"/>
  <c r="L265" i="15"/>
  <c r="K265" i="15"/>
  <c r="K262" i="15"/>
  <c r="J262" i="15"/>
  <c r="K259" i="15"/>
  <c r="J259" i="15"/>
  <c r="J256" i="15"/>
  <c r="I256" i="15"/>
  <c r="L253" i="15"/>
  <c r="K253" i="15"/>
  <c r="M250" i="15"/>
  <c r="L250" i="15"/>
  <c r="M247" i="15"/>
  <c r="L247" i="15"/>
  <c r="M244" i="15"/>
  <c r="L244" i="15"/>
  <c r="N241" i="15"/>
  <c r="M241" i="15"/>
  <c r="I238" i="15"/>
  <c r="H238" i="15"/>
  <c r="K235" i="15"/>
  <c r="J235" i="15"/>
  <c r="J232" i="15"/>
  <c r="I232" i="15"/>
  <c r="J229" i="15"/>
  <c r="I229" i="15"/>
  <c r="J226" i="15"/>
  <c r="I226" i="15"/>
  <c r="G223" i="15"/>
  <c r="F223" i="15"/>
  <c r="I220" i="15"/>
  <c r="H220" i="15"/>
  <c r="I217" i="15"/>
  <c r="H217" i="15"/>
  <c r="H214" i="15"/>
  <c r="G214" i="15"/>
  <c r="L211" i="15"/>
  <c r="K211" i="15"/>
  <c r="K208" i="15"/>
  <c r="J208" i="15"/>
  <c r="J205" i="15"/>
  <c r="I205" i="15"/>
  <c r="L202" i="15"/>
  <c r="K202" i="15"/>
  <c r="N199" i="15"/>
  <c r="M199" i="15"/>
  <c r="K196" i="15"/>
  <c r="J196" i="15"/>
  <c r="AW193" i="15"/>
  <c r="K193" i="15"/>
  <c r="J193" i="15"/>
  <c r="K190" i="15"/>
  <c r="J190" i="15"/>
  <c r="J187" i="15"/>
  <c r="I187" i="15"/>
  <c r="J184" i="15"/>
  <c r="I184" i="15"/>
  <c r="K181" i="15"/>
  <c r="J181" i="15"/>
  <c r="K178" i="15"/>
  <c r="J178" i="15"/>
  <c r="I175" i="15"/>
  <c r="H175" i="15"/>
  <c r="K172" i="15"/>
  <c r="J172" i="15"/>
  <c r="G169" i="15"/>
  <c r="X129" i="15"/>
  <c r="W129" i="15"/>
  <c r="V129" i="15"/>
  <c r="U129" i="15"/>
  <c r="X128" i="15"/>
  <c r="W128" i="15"/>
  <c r="V128" i="15"/>
  <c r="U128" i="15"/>
  <c r="X127" i="15"/>
  <c r="W127" i="15"/>
  <c r="V127" i="15"/>
  <c r="U127" i="15"/>
  <c r="X126" i="15"/>
  <c r="W126" i="15"/>
  <c r="V126" i="15"/>
  <c r="U126" i="15"/>
  <c r="X125" i="15"/>
  <c r="W125" i="15"/>
  <c r="V125" i="15"/>
  <c r="U125" i="15"/>
  <c r="X124" i="15"/>
  <c r="W124" i="15"/>
  <c r="V124" i="15"/>
  <c r="U124" i="15"/>
  <c r="X123" i="15"/>
  <c r="W123" i="15"/>
  <c r="V123" i="15"/>
  <c r="U123" i="15"/>
  <c r="X122" i="15"/>
  <c r="W122" i="15"/>
  <c r="V122" i="15"/>
  <c r="U122" i="15"/>
  <c r="X121" i="15"/>
  <c r="W121" i="15"/>
  <c r="V121" i="15"/>
  <c r="U121" i="15"/>
  <c r="X120" i="15"/>
  <c r="W120" i="15"/>
  <c r="V120" i="15"/>
  <c r="U120" i="15"/>
  <c r="X119" i="15"/>
  <c r="W119" i="15"/>
  <c r="V119" i="15"/>
  <c r="U119" i="15"/>
  <c r="X118" i="15"/>
  <c r="W118" i="15"/>
  <c r="V118" i="15"/>
  <c r="U118" i="15"/>
  <c r="X117" i="15"/>
  <c r="V117" i="15"/>
  <c r="U117" i="15"/>
  <c r="X116" i="15"/>
  <c r="V116" i="15"/>
  <c r="U116" i="15"/>
  <c r="X115" i="15"/>
  <c r="W115" i="15"/>
  <c r="V115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C86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AD32" i="15"/>
  <c r="AC32" i="15"/>
  <c r="Z32" i="15"/>
  <c r="U32" i="15"/>
  <c r="R32" i="15"/>
  <c r="Q32" i="15"/>
  <c r="N32" i="15"/>
  <c r="D20" i="15"/>
  <c r="D18" i="15"/>
  <c r="D16" i="15"/>
  <c r="F15" i="15"/>
  <c r="D15" i="15"/>
  <c r="D14" i="15"/>
  <c r="J13" i="15"/>
  <c r="D13" i="15"/>
  <c r="AD12" i="15"/>
  <c r="AC12" i="15"/>
  <c r="AB12" i="15"/>
  <c r="AA12" i="15"/>
  <c r="K12" i="15"/>
  <c r="J12" i="15"/>
  <c r="D12" i="15"/>
  <c r="AD11" i="15"/>
  <c r="AC11" i="15"/>
  <c r="AB11" i="15"/>
  <c r="AA11" i="15"/>
  <c r="L11" i="15"/>
  <c r="J11" i="15"/>
  <c r="D11" i="15"/>
  <c r="J10" i="15"/>
  <c r="D10" i="15"/>
  <c r="AD9" i="15"/>
  <c r="AC9" i="15"/>
  <c r="AB9" i="15"/>
  <c r="J9" i="15"/>
  <c r="F9" i="15"/>
  <c r="F11" i="15" s="1"/>
  <c r="D9" i="15"/>
  <c r="AB32" i="15" s="1"/>
  <c r="K8" i="15"/>
  <c r="J8" i="15"/>
  <c r="C8" i="15"/>
  <c r="L7" i="15"/>
  <c r="L12" i="15" s="1"/>
  <c r="K7" i="15"/>
  <c r="K13" i="15" s="1"/>
  <c r="C7" i="15"/>
  <c r="C6" i="15"/>
  <c r="C5" i="15"/>
  <c r="C4" i="15"/>
  <c r="C3" i="15"/>
  <c r="I295" i="14"/>
  <c r="H295" i="14"/>
  <c r="K292" i="14"/>
  <c r="J292" i="14"/>
  <c r="J289" i="14"/>
  <c r="I289" i="14"/>
  <c r="H286" i="14"/>
  <c r="G286" i="14"/>
  <c r="AT283" i="14"/>
  <c r="AS283" i="14"/>
  <c r="J283" i="14"/>
  <c r="I283" i="14"/>
  <c r="J280" i="14"/>
  <c r="I280" i="14"/>
  <c r="L277" i="14"/>
  <c r="K277" i="14"/>
  <c r="J274" i="14"/>
  <c r="I274" i="14"/>
  <c r="L271" i="14"/>
  <c r="K271" i="14"/>
  <c r="K268" i="14"/>
  <c r="J268" i="14"/>
  <c r="L265" i="14"/>
  <c r="K265" i="14"/>
  <c r="K262" i="14"/>
  <c r="J262" i="14"/>
  <c r="K259" i="14"/>
  <c r="J259" i="14"/>
  <c r="J256" i="14"/>
  <c r="I256" i="14"/>
  <c r="L253" i="14"/>
  <c r="K253" i="14"/>
  <c r="M250" i="14"/>
  <c r="L250" i="14"/>
  <c r="M247" i="14"/>
  <c r="L247" i="14"/>
  <c r="M244" i="14"/>
  <c r="L244" i="14"/>
  <c r="N241" i="14"/>
  <c r="M241" i="14"/>
  <c r="I238" i="14"/>
  <c r="H238" i="14"/>
  <c r="K235" i="14"/>
  <c r="J235" i="14"/>
  <c r="J232" i="14"/>
  <c r="I232" i="14"/>
  <c r="J229" i="14"/>
  <c r="I229" i="14"/>
  <c r="J226" i="14"/>
  <c r="I226" i="14"/>
  <c r="G223" i="14"/>
  <c r="F223" i="14"/>
  <c r="I220" i="14"/>
  <c r="H220" i="14"/>
  <c r="I217" i="14"/>
  <c r="H217" i="14"/>
  <c r="H214" i="14"/>
  <c r="G214" i="14"/>
  <c r="L211" i="14"/>
  <c r="K211" i="14"/>
  <c r="K208" i="14"/>
  <c r="J208" i="14"/>
  <c r="J205" i="14"/>
  <c r="I205" i="14"/>
  <c r="L202" i="14"/>
  <c r="K202" i="14"/>
  <c r="N199" i="14"/>
  <c r="M199" i="14"/>
  <c r="K196" i="14"/>
  <c r="J196" i="14"/>
  <c r="AW193" i="14"/>
  <c r="K193" i="14"/>
  <c r="J193" i="14"/>
  <c r="K190" i="14"/>
  <c r="J190" i="14"/>
  <c r="J187" i="14"/>
  <c r="I187" i="14"/>
  <c r="J184" i="14"/>
  <c r="I184" i="14"/>
  <c r="K181" i="14"/>
  <c r="J181" i="14"/>
  <c r="K178" i="14"/>
  <c r="J178" i="14"/>
  <c r="I175" i="14"/>
  <c r="H175" i="14"/>
  <c r="K172" i="14"/>
  <c r="J172" i="14"/>
  <c r="G169" i="14"/>
  <c r="X129" i="14"/>
  <c r="W129" i="14"/>
  <c r="V129" i="14"/>
  <c r="U129" i="14"/>
  <c r="X128" i="14"/>
  <c r="W128" i="14"/>
  <c r="V128" i="14"/>
  <c r="U128" i="14"/>
  <c r="X127" i="14"/>
  <c r="W127" i="14"/>
  <c r="V127" i="14"/>
  <c r="U127" i="14"/>
  <c r="X126" i="14"/>
  <c r="W126" i="14"/>
  <c r="V126" i="14"/>
  <c r="U126" i="14"/>
  <c r="X125" i="14"/>
  <c r="W125" i="14"/>
  <c r="V125" i="14"/>
  <c r="U125" i="14"/>
  <c r="X124" i="14"/>
  <c r="W124" i="14"/>
  <c r="V124" i="14"/>
  <c r="U124" i="14"/>
  <c r="X123" i="14"/>
  <c r="W123" i="14"/>
  <c r="V123" i="14"/>
  <c r="U123" i="14"/>
  <c r="X122" i="14"/>
  <c r="W122" i="14"/>
  <c r="V122" i="14"/>
  <c r="U122" i="14"/>
  <c r="X121" i="14"/>
  <c r="W121" i="14"/>
  <c r="V121" i="14"/>
  <c r="U121" i="14"/>
  <c r="X120" i="14"/>
  <c r="W120" i="14"/>
  <c r="V120" i="14"/>
  <c r="U120" i="14"/>
  <c r="X119" i="14"/>
  <c r="W119" i="14"/>
  <c r="V119" i="14"/>
  <c r="U119" i="14"/>
  <c r="X118" i="14"/>
  <c r="W118" i="14"/>
  <c r="V118" i="14"/>
  <c r="U118" i="14"/>
  <c r="X117" i="14"/>
  <c r="V117" i="14"/>
  <c r="U117" i="14"/>
  <c r="X116" i="14"/>
  <c r="V116" i="14"/>
  <c r="U116" i="14"/>
  <c r="X115" i="14"/>
  <c r="W115" i="14"/>
  <c r="V115" i="14"/>
  <c r="F96" i="14"/>
  <c r="E96" i="14"/>
  <c r="D19" i="14" s="1"/>
  <c r="F95" i="14"/>
  <c r="E95" i="14"/>
  <c r="F94" i="14"/>
  <c r="E94" i="14"/>
  <c r="F93" i="14"/>
  <c r="E93" i="14"/>
  <c r="F92" i="14"/>
  <c r="E92" i="14"/>
  <c r="F91" i="14"/>
  <c r="E91" i="14"/>
  <c r="F90" i="14"/>
  <c r="E90" i="14"/>
  <c r="F89" i="14"/>
  <c r="E89" i="14"/>
  <c r="F88" i="14"/>
  <c r="E88" i="14"/>
  <c r="F87" i="14"/>
  <c r="E87" i="14"/>
  <c r="C86" i="14"/>
  <c r="C58" i="14"/>
  <c r="D20" i="14" s="1"/>
  <c r="C57" i="14"/>
  <c r="C56" i="14"/>
  <c r="C55" i="14"/>
  <c r="C54" i="14"/>
  <c r="C53" i="14"/>
  <c r="C52" i="14"/>
  <c r="C51" i="14"/>
  <c r="C50" i="14"/>
  <c r="C49" i="14"/>
  <c r="C48" i="14"/>
  <c r="C47" i="14"/>
  <c r="C46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AD32" i="14"/>
  <c r="U32" i="14"/>
  <c r="T32" i="14"/>
  <c r="S32" i="14"/>
  <c r="R32" i="14"/>
  <c r="D18" i="14"/>
  <c r="D17" i="14"/>
  <c r="D16" i="14"/>
  <c r="F15" i="14"/>
  <c r="D15" i="14"/>
  <c r="F14" i="14"/>
  <c r="D14" i="14"/>
  <c r="K13" i="14"/>
  <c r="J13" i="14"/>
  <c r="D13" i="14"/>
  <c r="AD12" i="14"/>
  <c r="AC12" i="14"/>
  <c r="AB12" i="14"/>
  <c r="AA12" i="14"/>
  <c r="J12" i="14"/>
  <c r="F12" i="14"/>
  <c r="AA9" i="14" s="1"/>
  <c r="D12" i="14"/>
  <c r="AD11" i="14"/>
  <c r="AC11" i="14"/>
  <c r="AB11" i="14"/>
  <c r="AA11" i="14"/>
  <c r="J11" i="14"/>
  <c r="D11" i="14"/>
  <c r="J10" i="14"/>
  <c r="D10" i="14"/>
  <c r="AD9" i="14"/>
  <c r="K9" i="14"/>
  <c r="J9" i="14"/>
  <c r="F9" i="14"/>
  <c r="F13" i="14" s="1"/>
  <c r="D9" i="14"/>
  <c r="AC32" i="14" s="1"/>
  <c r="J8" i="14"/>
  <c r="C8" i="14"/>
  <c r="K7" i="14"/>
  <c r="K10" i="14" s="1"/>
  <c r="C7" i="14"/>
  <c r="C6" i="14"/>
  <c r="C5" i="14"/>
  <c r="C4" i="14"/>
  <c r="C3" i="14"/>
  <c r="I295" i="13"/>
  <c r="H295" i="13"/>
  <c r="K292" i="13"/>
  <c r="J292" i="13"/>
  <c r="J289" i="13"/>
  <c r="I289" i="13"/>
  <c r="H286" i="13"/>
  <c r="G286" i="13"/>
  <c r="AT283" i="13"/>
  <c r="AS283" i="13"/>
  <c r="J283" i="13"/>
  <c r="I283" i="13"/>
  <c r="J280" i="13"/>
  <c r="I280" i="13"/>
  <c r="L277" i="13"/>
  <c r="K277" i="13"/>
  <c r="J274" i="13"/>
  <c r="I274" i="13"/>
  <c r="L271" i="13"/>
  <c r="K271" i="13"/>
  <c r="K268" i="13"/>
  <c r="J268" i="13"/>
  <c r="L265" i="13"/>
  <c r="K265" i="13"/>
  <c r="K262" i="13"/>
  <c r="J262" i="13"/>
  <c r="K259" i="13"/>
  <c r="J259" i="13"/>
  <c r="J256" i="13"/>
  <c r="I256" i="13"/>
  <c r="L253" i="13"/>
  <c r="K253" i="13"/>
  <c r="M250" i="13"/>
  <c r="L250" i="13"/>
  <c r="M247" i="13"/>
  <c r="L247" i="13"/>
  <c r="M244" i="13"/>
  <c r="L244" i="13"/>
  <c r="N241" i="13"/>
  <c r="M241" i="13"/>
  <c r="I238" i="13"/>
  <c r="H238" i="13"/>
  <c r="K235" i="13"/>
  <c r="J235" i="13"/>
  <c r="J232" i="13"/>
  <c r="I232" i="13"/>
  <c r="J229" i="13"/>
  <c r="I229" i="13"/>
  <c r="J226" i="13"/>
  <c r="I226" i="13"/>
  <c r="G223" i="13"/>
  <c r="F223" i="13"/>
  <c r="I220" i="13"/>
  <c r="H220" i="13"/>
  <c r="I217" i="13"/>
  <c r="H217" i="13"/>
  <c r="H214" i="13"/>
  <c r="G214" i="13"/>
  <c r="L211" i="13"/>
  <c r="K211" i="13"/>
  <c r="K208" i="13"/>
  <c r="J208" i="13"/>
  <c r="J205" i="13"/>
  <c r="I205" i="13"/>
  <c r="L202" i="13"/>
  <c r="K202" i="13"/>
  <c r="N199" i="13"/>
  <c r="M199" i="13"/>
  <c r="K196" i="13"/>
  <c r="J196" i="13"/>
  <c r="AW193" i="13"/>
  <c r="K193" i="13"/>
  <c r="J193" i="13"/>
  <c r="K190" i="13"/>
  <c r="J190" i="13"/>
  <c r="J187" i="13"/>
  <c r="I187" i="13"/>
  <c r="J184" i="13"/>
  <c r="I184" i="13"/>
  <c r="K181" i="13"/>
  <c r="J181" i="13"/>
  <c r="K178" i="13"/>
  <c r="J178" i="13"/>
  <c r="I175" i="13"/>
  <c r="H175" i="13"/>
  <c r="K172" i="13"/>
  <c r="J172" i="13"/>
  <c r="G169" i="13"/>
  <c r="X129" i="13"/>
  <c r="W129" i="13"/>
  <c r="V129" i="13"/>
  <c r="U129" i="13"/>
  <c r="X128" i="13"/>
  <c r="W128" i="13"/>
  <c r="V128" i="13"/>
  <c r="U128" i="13"/>
  <c r="X127" i="13"/>
  <c r="W127" i="13"/>
  <c r="V127" i="13"/>
  <c r="U127" i="13"/>
  <c r="X126" i="13"/>
  <c r="W126" i="13"/>
  <c r="V126" i="13"/>
  <c r="U126" i="13"/>
  <c r="X125" i="13"/>
  <c r="W125" i="13"/>
  <c r="V125" i="13"/>
  <c r="U125" i="13"/>
  <c r="X124" i="13"/>
  <c r="W124" i="13"/>
  <c r="V124" i="13"/>
  <c r="U124" i="13"/>
  <c r="X123" i="13"/>
  <c r="W123" i="13"/>
  <c r="V123" i="13"/>
  <c r="U123" i="13"/>
  <c r="X122" i="13"/>
  <c r="W122" i="13"/>
  <c r="V122" i="13"/>
  <c r="U122" i="13"/>
  <c r="X121" i="13"/>
  <c r="W121" i="13"/>
  <c r="V121" i="13"/>
  <c r="U121" i="13"/>
  <c r="X120" i="13"/>
  <c r="W120" i="13"/>
  <c r="V120" i="13"/>
  <c r="U120" i="13"/>
  <c r="X119" i="13"/>
  <c r="W119" i="13"/>
  <c r="V119" i="13"/>
  <c r="U119" i="13"/>
  <c r="X118" i="13"/>
  <c r="W118" i="13"/>
  <c r="V118" i="13"/>
  <c r="U118" i="13"/>
  <c r="X117" i="13"/>
  <c r="V117" i="13"/>
  <c r="U117" i="13"/>
  <c r="X116" i="13"/>
  <c r="V116" i="13"/>
  <c r="U116" i="13"/>
  <c r="X115" i="13"/>
  <c r="W115" i="13"/>
  <c r="V115" i="13"/>
  <c r="F96" i="13"/>
  <c r="E96" i="13"/>
  <c r="D19" i="13" s="1"/>
  <c r="F95" i="13"/>
  <c r="E95" i="13"/>
  <c r="D8" i="13" s="1"/>
  <c r="F94" i="13"/>
  <c r="E94" i="13"/>
  <c r="F93" i="13"/>
  <c r="E93" i="13"/>
  <c r="F92" i="13"/>
  <c r="E92" i="13"/>
  <c r="D5" i="13" s="1"/>
  <c r="U31" i="13" s="1"/>
  <c r="F91" i="13"/>
  <c r="E91" i="13"/>
  <c r="F90" i="13"/>
  <c r="E90" i="13"/>
  <c r="F89" i="13"/>
  <c r="E89" i="13"/>
  <c r="F88" i="13"/>
  <c r="E88" i="13"/>
  <c r="F87" i="13"/>
  <c r="E87" i="13"/>
  <c r="C86" i="13"/>
  <c r="C58" i="13"/>
  <c r="D20" i="13" s="1"/>
  <c r="C57" i="13"/>
  <c r="C56" i="13"/>
  <c r="C55" i="13"/>
  <c r="C54" i="13"/>
  <c r="D10" i="13" s="1"/>
  <c r="C53" i="13"/>
  <c r="C52" i="13"/>
  <c r="C51" i="13"/>
  <c r="C50" i="13"/>
  <c r="C49" i="13"/>
  <c r="C48" i="13"/>
  <c r="C47" i="13"/>
  <c r="C46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P20" i="13"/>
  <c r="O20" i="13"/>
  <c r="N20" i="13"/>
  <c r="M20" i="13"/>
  <c r="L20" i="13"/>
  <c r="J20" i="13"/>
  <c r="D18" i="13"/>
  <c r="D17" i="13"/>
  <c r="D16" i="13"/>
  <c r="F15" i="13"/>
  <c r="D15" i="13"/>
  <c r="D14" i="13"/>
  <c r="J13" i="13"/>
  <c r="D13" i="13"/>
  <c r="AD12" i="13"/>
  <c r="AC12" i="13"/>
  <c r="AB12" i="13"/>
  <c r="AA12" i="13"/>
  <c r="J12" i="13"/>
  <c r="D12" i="13"/>
  <c r="AD11" i="13"/>
  <c r="AC11" i="13"/>
  <c r="AB11" i="13"/>
  <c r="AA11" i="13"/>
  <c r="J11" i="13"/>
  <c r="D11" i="13"/>
  <c r="K10" i="13"/>
  <c r="J10" i="13"/>
  <c r="AD9" i="13"/>
  <c r="AC9" i="13"/>
  <c r="AB9" i="13"/>
  <c r="J9" i="13"/>
  <c r="F9" i="13"/>
  <c r="F10" i="13" s="1"/>
  <c r="D9" i="13"/>
  <c r="X32" i="13" s="1"/>
  <c r="J8" i="13"/>
  <c r="C8" i="13"/>
  <c r="K7" i="13"/>
  <c r="K8" i="13" s="1"/>
  <c r="C7" i="13"/>
  <c r="C6" i="13"/>
  <c r="C5" i="13"/>
  <c r="C4" i="13"/>
  <c r="C3" i="13"/>
  <c r="M20" i="10"/>
  <c r="C41" i="10"/>
  <c r="N38" i="9"/>
  <c r="O38" i="9"/>
  <c r="P38" i="9"/>
  <c r="L38" i="9"/>
  <c r="K38" i="9"/>
  <c r="J38" i="9"/>
  <c r="P20" i="9"/>
  <c r="N20" i="9"/>
  <c r="O20" i="9"/>
  <c r="L20" i="9"/>
  <c r="M20" i="9"/>
  <c r="J20" i="9"/>
  <c r="F98" i="12"/>
  <c r="F98" i="10"/>
  <c r="F98" i="9"/>
  <c r="E19" i="12"/>
  <c r="E19" i="11"/>
  <c r="E19" i="10"/>
  <c r="E19" i="9"/>
  <c r="AD3" i="7"/>
  <c r="I295" i="12"/>
  <c r="H295" i="12"/>
  <c r="K292" i="12"/>
  <c r="J292" i="12"/>
  <c r="J289" i="12"/>
  <c r="I289" i="12"/>
  <c r="H286" i="12"/>
  <c r="G286" i="12"/>
  <c r="AT283" i="12"/>
  <c r="AS283" i="12"/>
  <c r="J283" i="12"/>
  <c r="I283" i="12"/>
  <c r="J280" i="12"/>
  <c r="I280" i="12"/>
  <c r="L277" i="12"/>
  <c r="K277" i="12"/>
  <c r="J274" i="12"/>
  <c r="I274" i="12"/>
  <c r="L271" i="12"/>
  <c r="K271" i="12"/>
  <c r="K268" i="12"/>
  <c r="J268" i="12"/>
  <c r="L265" i="12"/>
  <c r="K265" i="12"/>
  <c r="K262" i="12"/>
  <c r="J262" i="12"/>
  <c r="K259" i="12"/>
  <c r="J259" i="12"/>
  <c r="J256" i="12"/>
  <c r="I256" i="12"/>
  <c r="L253" i="12"/>
  <c r="K253" i="12"/>
  <c r="M250" i="12"/>
  <c r="L250" i="12"/>
  <c r="M247" i="12"/>
  <c r="L247" i="12"/>
  <c r="M244" i="12"/>
  <c r="L244" i="12"/>
  <c r="N241" i="12"/>
  <c r="M241" i="12"/>
  <c r="I238" i="12"/>
  <c r="H238" i="12"/>
  <c r="K235" i="12"/>
  <c r="J235" i="12"/>
  <c r="J232" i="12"/>
  <c r="I232" i="12"/>
  <c r="J229" i="12"/>
  <c r="I229" i="12"/>
  <c r="J226" i="12"/>
  <c r="I226" i="12"/>
  <c r="G223" i="12"/>
  <c r="F223" i="12"/>
  <c r="I220" i="12"/>
  <c r="H220" i="12"/>
  <c r="I217" i="12"/>
  <c r="H217" i="12"/>
  <c r="H214" i="12"/>
  <c r="G214" i="12"/>
  <c r="L211" i="12"/>
  <c r="K211" i="12"/>
  <c r="K208" i="12"/>
  <c r="J208" i="12"/>
  <c r="J205" i="12"/>
  <c r="I205" i="12"/>
  <c r="L202" i="12"/>
  <c r="K202" i="12"/>
  <c r="N199" i="12"/>
  <c r="M199" i="12"/>
  <c r="K196" i="12"/>
  <c r="J196" i="12"/>
  <c r="AW193" i="12"/>
  <c r="K193" i="12"/>
  <c r="J193" i="12"/>
  <c r="K190" i="12"/>
  <c r="J190" i="12"/>
  <c r="J187" i="12"/>
  <c r="I187" i="12"/>
  <c r="J184" i="12"/>
  <c r="I184" i="12"/>
  <c r="K181" i="12"/>
  <c r="J181" i="12"/>
  <c r="K178" i="12"/>
  <c r="J178" i="12"/>
  <c r="I175" i="12"/>
  <c r="H175" i="12"/>
  <c r="K172" i="12"/>
  <c r="J172" i="12"/>
  <c r="G169" i="12"/>
  <c r="X129" i="12"/>
  <c r="W129" i="12"/>
  <c r="V129" i="12"/>
  <c r="U129" i="12"/>
  <c r="X128" i="12"/>
  <c r="W128" i="12"/>
  <c r="V128" i="12"/>
  <c r="U128" i="12"/>
  <c r="X127" i="12"/>
  <c r="W127" i="12"/>
  <c r="V127" i="12"/>
  <c r="U127" i="12"/>
  <c r="X126" i="12"/>
  <c r="W126" i="12"/>
  <c r="V126" i="12"/>
  <c r="U126" i="12"/>
  <c r="X125" i="12"/>
  <c r="W125" i="12"/>
  <c r="V125" i="12"/>
  <c r="U125" i="12"/>
  <c r="X124" i="12"/>
  <c r="W124" i="12"/>
  <c r="V124" i="12"/>
  <c r="U124" i="12"/>
  <c r="X123" i="12"/>
  <c r="W123" i="12"/>
  <c r="V123" i="12"/>
  <c r="U123" i="12"/>
  <c r="X122" i="12"/>
  <c r="W122" i="12"/>
  <c r="V122" i="12"/>
  <c r="U122" i="12"/>
  <c r="X121" i="12"/>
  <c r="W121" i="12"/>
  <c r="V121" i="12"/>
  <c r="U121" i="12"/>
  <c r="X120" i="12"/>
  <c r="W120" i="12"/>
  <c r="V120" i="12"/>
  <c r="U120" i="12"/>
  <c r="X119" i="12"/>
  <c r="W119" i="12"/>
  <c r="V119" i="12"/>
  <c r="U119" i="12"/>
  <c r="X118" i="12"/>
  <c r="W118" i="12"/>
  <c r="V118" i="12"/>
  <c r="U118" i="12"/>
  <c r="X117" i="12"/>
  <c r="V117" i="12"/>
  <c r="U117" i="12"/>
  <c r="X116" i="12"/>
  <c r="V116" i="12"/>
  <c r="U116" i="12"/>
  <c r="X115" i="12"/>
  <c r="W115" i="12"/>
  <c r="V115" i="12"/>
  <c r="F96" i="12"/>
  <c r="E96" i="12"/>
  <c r="F95" i="12"/>
  <c r="E95" i="12"/>
  <c r="F94" i="12"/>
  <c r="E94" i="12"/>
  <c r="F93" i="12"/>
  <c r="E93" i="12"/>
  <c r="F92" i="12"/>
  <c r="E92" i="12"/>
  <c r="F91" i="12"/>
  <c r="E91" i="12"/>
  <c r="F90" i="12"/>
  <c r="E90" i="12"/>
  <c r="F89" i="12"/>
  <c r="E89" i="12"/>
  <c r="F88" i="12"/>
  <c r="E88" i="12"/>
  <c r="F87" i="12"/>
  <c r="E87" i="12"/>
  <c r="C86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AD32" i="12"/>
  <c r="AC32" i="12"/>
  <c r="S32" i="12"/>
  <c r="R32" i="12"/>
  <c r="Q32" i="12"/>
  <c r="D20" i="12"/>
  <c r="D18" i="12"/>
  <c r="D17" i="12"/>
  <c r="D16" i="12"/>
  <c r="F15" i="12"/>
  <c r="D15" i="12"/>
  <c r="D14" i="12"/>
  <c r="J13" i="12"/>
  <c r="D13" i="12"/>
  <c r="AD12" i="12"/>
  <c r="AC12" i="12"/>
  <c r="AB12" i="12"/>
  <c r="AA12" i="12"/>
  <c r="J12" i="12"/>
  <c r="D12" i="12"/>
  <c r="AD11" i="12"/>
  <c r="AC11" i="12"/>
  <c r="AB11" i="12"/>
  <c r="AA11" i="12"/>
  <c r="K11" i="12"/>
  <c r="J11" i="12"/>
  <c r="D11" i="12"/>
  <c r="K10" i="12"/>
  <c r="J10" i="12"/>
  <c r="D10" i="12"/>
  <c r="AD9" i="12"/>
  <c r="J9" i="12"/>
  <c r="F9" i="12"/>
  <c r="F11" i="12" s="1"/>
  <c r="D9" i="12"/>
  <c r="AB32" i="12" s="1"/>
  <c r="K8" i="12"/>
  <c r="J8" i="12"/>
  <c r="C8" i="12"/>
  <c r="K7" i="12"/>
  <c r="K12" i="12" s="1"/>
  <c r="C7" i="12"/>
  <c r="C6" i="12"/>
  <c r="C5" i="12"/>
  <c r="C4" i="12"/>
  <c r="C3" i="12"/>
  <c r="I295" i="11"/>
  <c r="H295" i="11"/>
  <c r="K292" i="11"/>
  <c r="J292" i="11"/>
  <c r="J289" i="11"/>
  <c r="I289" i="11"/>
  <c r="H286" i="11"/>
  <c r="G286" i="11"/>
  <c r="AT283" i="11"/>
  <c r="AS283" i="11"/>
  <c r="J283" i="11"/>
  <c r="I283" i="11"/>
  <c r="J280" i="11"/>
  <c r="I280" i="11"/>
  <c r="L277" i="11"/>
  <c r="K277" i="11"/>
  <c r="J274" i="11"/>
  <c r="I274" i="11"/>
  <c r="L271" i="11"/>
  <c r="K271" i="11"/>
  <c r="K268" i="11"/>
  <c r="J268" i="11"/>
  <c r="L265" i="11"/>
  <c r="K265" i="11"/>
  <c r="K262" i="11"/>
  <c r="J262" i="11"/>
  <c r="K259" i="11"/>
  <c r="J259" i="11"/>
  <c r="J256" i="11"/>
  <c r="I256" i="11"/>
  <c r="L253" i="11"/>
  <c r="K253" i="11"/>
  <c r="M250" i="11"/>
  <c r="L250" i="11"/>
  <c r="M247" i="11"/>
  <c r="L247" i="11"/>
  <c r="M244" i="11"/>
  <c r="L244" i="11"/>
  <c r="N241" i="11"/>
  <c r="M241" i="11"/>
  <c r="I238" i="11"/>
  <c r="H238" i="11"/>
  <c r="K235" i="11"/>
  <c r="J235" i="11"/>
  <c r="J232" i="11"/>
  <c r="I232" i="11"/>
  <c r="J229" i="11"/>
  <c r="I229" i="11"/>
  <c r="J226" i="11"/>
  <c r="I226" i="11"/>
  <c r="G223" i="11"/>
  <c r="F223" i="11"/>
  <c r="I220" i="11"/>
  <c r="H220" i="11"/>
  <c r="I217" i="11"/>
  <c r="H217" i="11"/>
  <c r="H214" i="11"/>
  <c r="G214" i="11"/>
  <c r="L211" i="11"/>
  <c r="K211" i="11"/>
  <c r="K208" i="11"/>
  <c r="J208" i="11"/>
  <c r="J205" i="11"/>
  <c r="I205" i="11"/>
  <c r="L202" i="11"/>
  <c r="K202" i="11"/>
  <c r="N199" i="11"/>
  <c r="M199" i="11"/>
  <c r="K196" i="11"/>
  <c r="J196" i="11"/>
  <c r="AW193" i="11"/>
  <c r="K193" i="11"/>
  <c r="J193" i="11"/>
  <c r="K190" i="11"/>
  <c r="J190" i="11"/>
  <c r="J187" i="11"/>
  <c r="I187" i="11"/>
  <c r="J184" i="11"/>
  <c r="I184" i="11"/>
  <c r="K181" i="11"/>
  <c r="J181" i="11"/>
  <c r="K178" i="11"/>
  <c r="J178" i="11"/>
  <c r="I175" i="11"/>
  <c r="H175" i="11"/>
  <c r="K172" i="11"/>
  <c r="J172" i="11"/>
  <c r="G169" i="11"/>
  <c r="X129" i="11"/>
  <c r="W129" i="11"/>
  <c r="V129" i="11"/>
  <c r="U129" i="11"/>
  <c r="X128" i="11"/>
  <c r="W128" i="11"/>
  <c r="V128" i="11"/>
  <c r="U128" i="11"/>
  <c r="X127" i="11"/>
  <c r="W127" i="11"/>
  <c r="V127" i="11"/>
  <c r="U127" i="11"/>
  <c r="X126" i="11"/>
  <c r="W126" i="11"/>
  <c r="V126" i="11"/>
  <c r="U126" i="11"/>
  <c r="X125" i="11"/>
  <c r="W125" i="11"/>
  <c r="V125" i="11"/>
  <c r="U125" i="11"/>
  <c r="X124" i="11"/>
  <c r="W124" i="11"/>
  <c r="V124" i="11"/>
  <c r="U124" i="11"/>
  <c r="X123" i="11"/>
  <c r="W123" i="11"/>
  <c r="V123" i="11"/>
  <c r="U123" i="11"/>
  <c r="X122" i="11"/>
  <c r="W122" i="11"/>
  <c r="V122" i="11"/>
  <c r="U122" i="11"/>
  <c r="X121" i="11"/>
  <c r="W121" i="11"/>
  <c r="V121" i="11"/>
  <c r="U121" i="11"/>
  <c r="X120" i="11"/>
  <c r="W120" i="11"/>
  <c r="V120" i="11"/>
  <c r="U120" i="11"/>
  <c r="X119" i="11"/>
  <c r="W119" i="11"/>
  <c r="V119" i="11"/>
  <c r="U119" i="11"/>
  <c r="X118" i="11"/>
  <c r="W118" i="11"/>
  <c r="V118" i="11"/>
  <c r="U118" i="11"/>
  <c r="X117" i="11"/>
  <c r="V117" i="11"/>
  <c r="U117" i="11"/>
  <c r="X116" i="11"/>
  <c r="V116" i="11"/>
  <c r="U116" i="11"/>
  <c r="X115" i="11"/>
  <c r="W115" i="11"/>
  <c r="V115" i="11"/>
  <c r="F96" i="11"/>
  <c r="E96" i="11"/>
  <c r="F95" i="11"/>
  <c r="E95" i="11"/>
  <c r="F94" i="11"/>
  <c r="E94" i="11"/>
  <c r="F93" i="11"/>
  <c r="E93" i="11"/>
  <c r="F92" i="11"/>
  <c r="E92" i="11"/>
  <c r="F91" i="11"/>
  <c r="E91" i="11"/>
  <c r="F90" i="11"/>
  <c r="E90" i="11"/>
  <c r="F89" i="11"/>
  <c r="E89" i="11"/>
  <c r="F88" i="11"/>
  <c r="E88" i="11"/>
  <c r="F87" i="11"/>
  <c r="E87" i="11"/>
  <c r="C86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AD32" i="11"/>
  <c r="AC32" i="11"/>
  <c r="R32" i="11"/>
  <c r="Q32" i="11"/>
  <c r="D20" i="11"/>
  <c r="D18" i="11"/>
  <c r="D16" i="11"/>
  <c r="F15" i="11"/>
  <c r="D15" i="11"/>
  <c r="D14" i="11"/>
  <c r="J13" i="11"/>
  <c r="D13" i="11"/>
  <c r="AD12" i="11"/>
  <c r="AC12" i="11"/>
  <c r="AB12" i="11"/>
  <c r="AA12" i="11"/>
  <c r="J12" i="11"/>
  <c r="D12" i="11"/>
  <c r="AD11" i="11"/>
  <c r="AC11" i="11"/>
  <c r="AB11" i="11"/>
  <c r="AA11" i="11"/>
  <c r="K11" i="11"/>
  <c r="J11" i="11"/>
  <c r="D11" i="11"/>
  <c r="J10" i="11"/>
  <c r="D10" i="11"/>
  <c r="AD9" i="11"/>
  <c r="AC9" i="11"/>
  <c r="AB9" i="11"/>
  <c r="AA9" i="11"/>
  <c r="J9" i="11"/>
  <c r="F9" i="11"/>
  <c r="F11" i="11" s="1"/>
  <c r="D9" i="11"/>
  <c r="AB32" i="11" s="1"/>
  <c r="K8" i="11"/>
  <c r="J8" i="11"/>
  <c r="C8" i="11"/>
  <c r="K7" i="11"/>
  <c r="K12" i="11" s="1"/>
  <c r="C7" i="11"/>
  <c r="C6" i="11"/>
  <c r="C5" i="11"/>
  <c r="C4" i="11"/>
  <c r="C3" i="11"/>
  <c r="I295" i="10"/>
  <c r="H295" i="10"/>
  <c r="K292" i="10"/>
  <c r="J292" i="10"/>
  <c r="J289" i="10"/>
  <c r="I289" i="10"/>
  <c r="H286" i="10"/>
  <c r="G286" i="10"/>
  <c r="AT283" i="10"/>
  <c r="AS283" i="10"/>
  <c r="J283" i="10"/>
  <c r="I283" i="10"/>
  <c r="J280" i="10"/>
  <c r="I280" i="10"/>
  <c r="L277" i="10"/>
  <c r="K277" i="10"/>
  <c r="J274" i="10"/>
  <c r="I274" i="10"/>
  <c r="L271" i="10"/>
  <c r="K271" i="10"/>
  <c r="K268" i="10"/>
  <c r="J268" i="10"/>
  <c r="L265" i="10"/>
  <c r="K265" i="10"/>
  <c r="K262" i="10"/>
  <c r="J262" i="10"/>
  <c r="K259" i="10"/>
  <c r="J259" i="10"/>
  <c r="J256" i="10"/>
  <c r="I256" i="10"/>
  <c r="L253" i="10"/>
  <c r="K253" i="10"/>
  <c r="M250" i="10"/>
  <c r="L250" i="10"/>
  <c r="M247" i="10"/>
  <c r="L247" i="10"/>
  <c r="M244" i="10"/>
  <c r="L244" i="10"/>
  <c r="N241" i="10"/>
  <c r="M241" i="10"/>
  <c r="I238" i="10"/>
  <c r="H238" i="10"/>
  <c r="K235" i="10"/>
  <c r="J235" i="10"/>
  <c r="J232" i="10"/>
  <c r="I232" i="10"/>
  <c r="J229" i="10"/>
  <c r="I229" i="10"/>
  <c r="J226" i="10"/>
  <c r="I226" i="10"/>
  <c r="G223" i="10"/>
  <c r="F223" i="10"/>
  <c r="I220" i="10"/>
  <c r="H220" i="10"/>
  <c r="I217" i="10"/>
  <c r="H217" i="10"/>
  <c r="H214" i="10"/>
  <c r="G214" i="10"/>
  <c r="L211" i="10"/>
  <c r="K211" i="10"/>
  <c r="K208" i="10"/>
  <c r="J208" i="10"/>
  <c r="J205" i="10"/>
  <c r="I205" i="10"/>
  <c r="L202" i="10"/>
  <c r="K202" i="10"/>
  <c r="N199" i="10"/>
  <c r="M199" i="10"/>
  <c r="K196" i="10"/>
  <c r="J196" i="10"/>
  <c r="AW193" i="10"/>
  <c r="K193" i="10"/>
  <c r="J193" i="10"/>
  <c r="K190" i="10"/>
  <c r="J190" i="10"/>
  <c r="J187" i="10"/>
  <c r="I187" i="10"/>
  <c r="J184" i="10"/>
  <c r="I184" i="10"/>
  <c r="K181" i="10"/>
  <c r="J181" i="10"/>
  <c r="K178" i="10"/>
  <c r="J178" i="10"/>
  <c r="I175" i="10"/>
  <c r="H175" i="10"/>
  <c r="K172" i="10"/>
  <c r="J172" i="10"/>
  <c r="G169" i="10"/>
  <c r="X129" i="10"/>
  <c r="W129" i="10"/>
  <c r="V129" i="10"/>
  <c r="U129" i="10"/>
  <c r="X128" i="10"/>
  <c r="W128" i="10"/>
  <c r="V128" i="10"/>
  <c r="U128" i="10"/>
  <c r="X127" i="10"/>
  <c r="W127" i="10"/>
  <c r="V127" i="10"/>
  <c r="U127" i="10"/>
  <c r="X126" i="10"/>
  <c r="W126" i="10"/>
  <c r="V126" i="10"/>
  <c r="U126" i="10"/>
  <c r="X125" i="10"/>
  <c r="W125" i="10"/>
  <c r="V125" i="10"/>
  <c r="U125" i="10"/>
  <c r="X124" i="10"/>
  <c r="W124" i="10"/>
  <c r="V124" i="10"/>
  <c r="U124" i="10"/>
  <c r="X123" i="10"/>
  <c r="W123" i="10"/>
  <c r="V123" i="10"/>
  <c r="U123" i="10"/>
  <c r="X122" i="10"/>
  <c r="W122" i="10"/>
  <c r="V122" i="10"/>
  <c r="U122" i="10"/>
  <c r="X121" i="10"/>
  <c r="W121" i="10"/>
  <c r="V121" i="10"/>
  <c r="U121" i="10"/>
  <c r="X120" i="10"/>
  <c r="W120" i="10"/>
  <c r="V120" i="10"/>
  <c r="U120" i="10"/>
  <c r="X119" i="10"/>
  <c r="W119" i="10"/>
  <c r="V119" i="10"/>
  <c r="U119" i="10"/>
  <c r="X118" i="10"/>
  <c r="W118" i="10"/>
  <c r="V118" i="10"/>
  <c r="U118" i="10"/>
  <c r="X117" i="10"/>
  <c r="V117" i="10"/>
  <c r="U117" i="10"/>
  <c r="X116" i="10"/>
  <c r="V116" i="10"/>
  <c r="U116" i="10"/>
  <c r="X115" i="10"/>
  <c r="W115" i="10"/>
  <c r="V115" i="10"/>
  <c r="F96" i="10"/>
  <c r="E96" i="10"/>
  <c r="F95" i="10"/>
  <c r="E95" i="10"/>
  <c r="F94" i="10"/>
  <c r="E94" i="10"/>
  <c r="F93" i="10"/>
  <c r="E93" i="10"/>
  <c r="F92" i="10"/>
  <c r="E92" i="10"/>
  <c r="F91" i="10"/>
  <c r="E91" i="10"/>
  <c r="F90" i="10"/>
  <c r="E90" i="10"/>
  <c r="F89" i="10"/>
  <c r="E89" i="10"/>
  <c r="F88" i="10"/>
  <c r="E88" i="10"/>
  <c r="F87" i="10"/>
  <c r="E87" i="10"/>
  <c r="C86" i="10"/>
  <c r="C58" i="10"/>
  <c r="C57" i="10"/>
  <c r="C56" i="10"/>
  <c r="D12" i="10" s="1"/>
  <c r="C55" i="10"/>
  <c r="C54" i="10"/>
  <c r="C53" i="10"/>
  <c r="C52" i="10"/>
  <c r="C51" i="10"/>
  <c r="C50" i="10"/>
  <c r="C49" i="10"/>
  <c r="C48" i="10"/>
  <c r="C47" i="10"/>
  <c r="C46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D20" i="10"/>
  <c r="D18" i="10"/>
  <c r="D16" i="10"/>
  <c r="F15" i="10"/>
  <c r="D15" i="10"/>
  <c r="D14" i="10"/>
  <c r="J13" i="10"/>
  <c r="D13" i="10"/>
  <c r="AD12" i="10"/>
  <c r="AC12" i="10"/>
  <c r="AB12" i="10"/>
  <c r="AA12" i="10"/>
  <c r="J12" i="10"/>
  <c r="AD11" i="10"/>
  <c r="AC11" i="10"/>
  <c r="AB11" i="10"/>
  <c r="AA11" i="10"/>
  <c r="J11" i="10"/>
  <c r="D11" i="10"/>
  <c r="J10" i="10"/>
  <c r="D10" i="10"/>
  <c r="AD9" i="10"/>
  <c r="AC9" i="10"/>
  <c r="AB9" i="10"/>
  <c r="AA9" i="10"/>
  <c r="J9" i="10"/>
  <c r="F9" i="10"/>
  <c r="F14" i="10" s="1"/>
  <c r="D9" i="10"/>
  <c r="AB32" i="10" s="1"/>
  <c r="J8" i="10"/>
  <c r="C8" i="10"/>
  <c r="K7" i="10"/>
  <c r="K12" i="10" s="1"/>
  <c r="C7" i="10"/>
  <c r="C6" i="10"/>
  <c r="C5" i="10"/>
  <c r="C4" i="10"/>
  <c r="C3" i="10"/>
  <c r="I295" i="9"/>
  <c r="H295" i="9"/>
  <c r="K292" i="9"/>
  <c r="J292" i="9"/>
  <c r="J289" i="9"/>
  <c r="I289" i="9"/>
  <c r="H286" i="9"/>
  <c r="G286" i="9"/>
  <c r="AT283" i="9"/>
  <c r="AS283" i="9"/>
  <c r="J283" i="9"/>
  <c r="I283" i="9"/>
  <c r="J280" i="9"/>
  <c r="I280" i="9"/>
  <c r="L277" i="9"/>
  <c r="K277" i="9"/>
  <c r="J274" i="9"/>
  <c r="I274" i="9"/>
  <c r="L271" i="9"/>
  <c r="K271" i="9"/>
  <c r="K268" i="9"/>
  <c r="J268" i="9"/>
  <c r="L265" i="9"/>
  <c r="K265" i="9"/>
  <c r="K262" i="9"/>
  <c r="J262" i="9"/>
  <c r="K259" i="9"/>
  <c r="J259" i="9"/>
  <c r="J256" i="9"/>
  <c r="I256" i="9"/>
  <c r="L253" i="9"/>
  <c r="K253" i="9"/>
  <c r="M250" i="9"/>
  <c r="L250" i="9"/>
  <c r="M247" i="9"/>
  <c r="L247" i="9"/>
  <c r="M244" i="9"/>
  <c r="L244" i="9"/>
  <c r="N241" i="9"/>
  <c r="M241" i="9"/>
  <c r="I238" i="9"/>
  <c r="H238" i="9"/>
  <c r="K235" i="9"/>
  <c r="J235" i="9"/>
  <c r="J232" i="9"/>
  <c r="I232" i="9"/>
  <c r="J229" i="9"/>
  <c r="I229" i="9"/>
  <c r="J226" i="9"/>
  <c r="I226" i="9"/>
  <c r="G223" i="9"/>
  <c r="F223" i="9"/>
  <c r="I220" i="9"/>
  <c r="H220" i="9"/>
  <c r="I217" i="9"/>
  <c r="H217" i="9"/>
  <c r="H214" i="9"/>
  <c r="G214" i="9"/>
  <c r="L211" i="9"/>
  <c r="K211" i="9"/>
  <c r="K208" i="9"/>
  <c r="J208" i="9"/>
  <c r="J205" i="9"/>
  <c r="I205" i="9"/>
  <c r="L202" i="9"/>
  <c r="K202" i="9"/>
  <c r="N199" i="9"/>
  <c r="M199" i="9"/>
  <c r="K196" i="9"/>
  <c r="J196" i="9"/>
  <c r="AW193" i="9"/>
  <c r="K193" i="9"/>
  <c r="J193" i="9"/>
  <c r="K190" i="9"/>
  <c r="J190" i="9"/>
  <c r="J187" i="9"/>
  <c r="I187" i="9"/>
  <c r="J184" i="9"/>
  <c r="I184" i="9"/>
  <c r="K181" i="9"/>
  <c r="J181" i="9"/>
  <c r="K178" i="9"/>
  <c r="J178" i="9"/>
  <c r="I175" i="9"/>
  <c r="H175" i="9"/>
  <c r="K172" i="9"/>
  <c r="J172" i="9"/>
  <c r="G169" i="9"/>
  <c r="X129" i="9"/>
  <c r="W129" i="9"/>
  <c r="V129" i="9"/>
  <c r="U129" i="9"/>
  <c r="X128" i="9"/>
  <c r="W128" i="9"/>
  <c r="V128" i="9"/>
  <c r="U128" i="9"/>
  <c r="X127" i="9"/>
  <c r="W127" i="9"/>
  <c r="V127" i="9"/>
  <c r="U127" i="9"/>
  <c r="X126" i="9"/>
  <c r="W126" i="9"/>
  <c r="V126" i="9"/>
  <c r="U126" i="9"/>
  <c r="X125" i="9"/>
  <c r="W125" i="9"/>
  <c r="V125" i="9"/>
  <c r="U125" i="9"/>
  <c r="X124" i="9"/>
  <c r="W124" i="9"/>
  <c r="V124" i="9"/>
  <c r="U124" i="9"/>
  <c r="X123" i="9"/>
  <c r="W123" i="9"/>
  <c r="V123" i="9"/>
  <c r="U123" i="9"/>
  <c r="X122" i="9"/>
  <c r="W122" i="9"/>
  <c r="V122" i="9"/>
  <c r="U122" i="9"/>
  <c r="X121" i="9"/>
  <c r="W121" i="9"/>
  <c r="V121" i="9"/>
  <c r="U121" i="9"/>
  <c r="X120" i="9"/>
  <c r="W120" i="9"/>
  <c r="V120" i="9"/>
  <c r="U120" i="9"/>
  <c r="X119" i="9"/>
  <c r="W119" i="9"/>
  <c r="V119" i="9"/>
  <c r="U119" i="9"/>
  <c r="X118" i="9"/>
  <c r="W118" i="9"/>
  <c r="V118" i="9"/>
  <c r="U118" i="9"/>
  <c r="X117" i="9"/>
  <c r="V117" i="9"/>
  <c r="U117" i="9"/>
  <c r="X116" i="9"/>
  <c r="V116" i="9"/>
  <c r="U116" i="9"/>
  <c r="X115" i="9"/>
  <c r="W115" i="9"/>
  <c r="V115" i="9"/>
  <c r="F96" i="9"/>
  <c r="F95" i="9"/>
  <c r="F94" i="9"/>
  <c r="F93" i="9"/>
  <c r="F92" i="9"/>
  <c r="F91" i="9"/>
  <c r="F90" i="9"/>
  <c r="F89" i="9"/>
  <c r="F88" i="9"/>
  <c r="F87" i="9"/>
  <c r="C86" i="9"/>
  <c r="S68" i="9"/>
  <c r="R68" i="9"/>
  <c r="Q68" i="9"/>
  <c r="P68" i="9"/>
  <c r="S67" i="9"/>
  <c r="R67" i="9"/>
  <c r="Q67" i="9"/>
  <c r="P67" i="9"/>
  <c r="Y67" i="9"/>
  <c r="X67" i="9"/>
  <c r="W67" i="9"/>
  <c r="V67" i="9"/>
  <c r="S66" i="9"/>
  <c r="R66" i="9"/>
  <c r="Q66" i="9"/>
  <c r="P66" i="9"/>
  <c r="Y66" i="9"/>
  <c r="X66" i="9"/>
  <c r="W66" i="9"/>
  <c r="V66" i="9"/>
  <c r="L63" i="9"/>
  <c r="K63" i="9"/>
  <c r="J63" i="9"/>
  <c r="C58" i="9"/>
  <c r="C57" i="9"/>
  <c r="C56" i="9"/>
  <c r="C55" i="9"/>
  <c r="D11" i="9" s="1"/>
  <c r="C54" i="9"/>
  <c r="D10" i="9" s="1"/>
  <c r="J32" i="9" s="1"/>
  <c r="C53" i="9"/>
  <c r="C52" i="9"/>
  <c r="C51" i="9"/>
  <c r="C50" i="9"/>
  <c r="C49" i="9"/>
  <c r="C48" i="9"/>
  <c r="C47" i="9"/>
  <c r="C46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D20" i="9"/>
  <c r="L64" i="9" s="1"/>
  <c r="D18" i="9"/>
  <c r="D17" i="9"/>
  <c r="D16" i="9"/>
  <c r="F15" i="9"/>
  <c r="Y64" i="9" s="1"/>
  <c r="D15" i="9"/>
  <c r="D14" i="9"/>
  <c r="J13" i="9"/>
  <c r="D13" i="9"/>
  <c r="AD12" i="9"/>
  <c r="AC12" i="9"/>
  <c r="AB12" i="9"/>
  <c r="AA12" i="9"/>
  <c r="J12" i="9"/>
  <c r="D12" i="9"/>
  <c r="AD11" i="9"/>
  <c r="AC11" i="9"/>
  <c r="AB11" i="9"/>
  <c r="AA11" i="9"/>
  <c r="J11" i="9"/>
  <c r="J10" i="9"/>
  <c r="AD9" i="9"/>
  <c r="AC9" i="9"/>
  <c r="AB9" i="9"/>
  <c r="K9" i="9"/>
  <c r="J9" i="9"/>
  <c r="F9" i="9"/>
  <c r="F11" i="9" s="1"/>
  <c r="D9" i="9"/>
  <c r="AB32" i="9" s="1"/>
  <c r="J8" i="9"/>
  <c r="C8" i="9"/>
  <c r="K7" i="9"/>
  <c r="K12" i="9" s="1"/>
  <c r="C7" i="9"/>
  <c r="C6" i="9"/>
  <c r="C5" i="9"/>
  <c r="C4" i="9"/>
  <c r="C3" i="9"/>
  <c r="I256" i="6"/>
  <c r="J256" i="6"/>
  <c r="C3" i="6"/>
  <c r="C6" i="6"/>
  <c r="C5" i="6"/>
  <c r="D5" i="6" s="1"/>
  <c r="C4" i="6"/>
  <c r="D4" i="6" s="1"/>
  <c r="AW193" i="6"/>
  <c r="J13" i="6"/>
  <c r="J11" i="6"/>
  <c r="J9" i="6"/>
  <c r="J12" i="6"/>
  <c r="D20" i="6"/>
  <c r="D12" i="6"/>
  <c r="C8" i="6"/>
  <c r="C7" i="6"/>
  <c r="AT283" i="6"/>
  <c r="AS283" i="6"/>
  <c r="X125" i="6"/>
  <c r="X126" i="6"/>
  <c r="X127" i="6"/>
  <c r="X128" i="6"/>
  <c r="X129" i="6"/>
  <c r="X124" i="6"/>
  <c r="X123" i="6"/>
  <c r="X122" i="6"/>
  <c r="X121" i="6"/>
  <c r="X119" i="6"/>
  <c r="X118" i="6"/>
  <c r="X120" i="6"/>
  <c r="X117" i="6"/>
  <c r="X116" i="6"/>
  <c r="X115" i="6"/>
  <c r="W123" i="6"/>
  <c r="W124" i="6"/>
  <c r="W125" i="6"/>
  <c r="W126" i="6"/>
  <c r="W127" i="6"/>
  <c r="W128" i="6"/>
  <c r="W129" i="6"/>
  <c r="W122" i="6"/>
  <c r="W121" i="6"/>
  <c r="W120" i="6"/>
  <c r="W119" i="6"/>
  <c r="W118" i="6"/>
  <c r="W115" i="6"/>
  <c r="V125" i="6"/>
  <c r="V126" i="6"/>
  <c r="V127" i="6"/>
  <c r="V128" i="6"/>
  <c r="V129" i="6"/>
  <c r="V124" i="6"/>
  <c r="V123" i="6"/>
  <c r="V122" i="6"/>
  <c r="V121" i="6"/>
  <c r="V120" i="6"/>
  <c r="V119" i="6"/>
  <c r="V118" i="6"/>
  <c r="V117" i="6"/>
  <c r="V116" i="6"/>
  <c r="V115" i="6"/>
  <c r="U129" i="6"/>
  <c r="U128" i="6"/>
  <c r="U127" i="6"/>
  <c r="U126" i="6"/>
  <c r="U125" i="6"/>
  <c r="U124" i="6"/>
  <c r="U120" i="6"/>
  <c r="U121" i="6"/>
  <c r="U122" i="6"/>
  <c r="U123" i="6"/>
  <c r="U119" i="6"/>
  <c r="U118" i="6"/>
  <c r="U117" i="6"/>
  <c r="U116" i="6"/>
  <c r="I295" i="6"/>
  <c r="H295" i="6"/>
  <c r="H286" i="6"/>
  <c r="G286" i="6"/>
  <c r="L277" i="6"/>
  <c r="K277" i="6"/>
  <c r="L271" i="6"/>
  <c r="K271" i="6"/>
  <c r="J283" i="6"/>
  <c r="I283" i="6"/>
  <c r="J274" i="6"/>
  <c r="I274" i="6"/>
  <c r="M244" i="6"/>
  <c r="L244" i="6"/>
  <c r="M250" i="6"/>
  <c r="L250" i="6"/>
  <c r="M247" i="6"/>
  <c r="L247" i="6"/>
  <c r="K292" i="6"/>
  <c r="J292" i="6"/>
  <c r="K193" i="6"/>
  <c r="J193" i="6"/>
  <c r="L265" i="6"/>
  <c r="K265" i="6"/>
  <c r="L202" i="6"/>
  <c r="K202" i="6"/>
  <c r="J280" i="6"/>
  <c r="I280" i="6"/>
  <c r="K235" i="6"/>
  <c r="J235" i="6"/>
  <c r="N199" i="6"/>
  <c r="M199" i="6"/>
  <c r="J289" i="6"/>
  <c r="I289" i="6"/>
  <c r="K190" i="6"/>
  <c r="J190" i="6"/>
  <c r="K268" i="6"/>
  <c r="J268" i="6"/>
  <c r="N241" i="6"/>
  <c r="M241" i="6"/>
  <c r="K259" i="6"/>
  <c r="J259" i="6"/>
  <c r="K262" i="6"/>
  <c r="J262" i="6"/>
  <c r="L253" i="6"/>
  <c r="K253" i="6"/>
  <c r="I238" i="6"/>
  <c r="H238" i="6"/>
  <c r="J232" i="6"/>
  <c r="I232" i="6"/>
  <c r="J229" i="6"/>
  <c r="I229" i="6"/>
  <c r="J226" i="6"/>
  <c r="I226" i="6"/>
  <c r="G223" i="6"/>
  <c r="F223" i="6"/>
  <c r="I220" i="6"/>
  <c r="H220" i="6"/>
  <c r="I217" i="6"/>
  <c r="H217" i="6"/>
  <c r="G214" i="6"/>
  <c r="H214" i="6"/>
  <c r="L211" i="6"/>
  <c r="K211" i="6"/>
  <c r="J205" i="6"/>
  <c r="I205" i="6"/>
  <c r="K196" i="6"/>
  <c r="J196" i="6"/>
  <c r="J187" i="6"/>
  <c r="I187" i="6"/>
  <c r="J184" i="6"/>
  <c r="I184" i="6"/>
  <c r="I175" i="6"/>
  <c r="H175" i="6"/>
  <c r="K178" i="6"/>
  <c r="K181" i="6"/>
  <c r="K208" i="6"/>
  <c r="J178" i="6"/>
  <c r="J181" i="6"/>
  <c r="J208" i="6"/>
  <c r="K172" i="6"/>
  <c r="J172" i="6"/>
  <c r="G169" i="6"/>
  <c r="AC9" i="6"/>
  <c r="AD9" i="6"/>
  <c r="AC11" i="6"/>
  <c r="AD11" i="6"/>
  <c r="AC12" i="6"/>
  <c r="AD12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C86" i="6"/>
  <c r="C58" i="6"/>
  <c r="C57" i="6"/>
  <c r="D19" i="6" s="1"/>
  <c r="C56" i="6"/>
  <c r="C55" i="6"/>
  <c r="D11" i="6" s="1"/>
  <c r="C54" i="6"/>
  <c r="D10" i="6" s="1"/>
  <c r="C53" i="6"/>
  <c r="C52" i="6"/>
  <c r="C51" i="6"/>
  <c r="C50" i="6"/>
  <c r="C49" i="6"/>
  <c r="C48" i="6"/>
  <c r="C47" i="6"/>
  <c r="C46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AB12" i="6"/>
  <c r="AA12" i="6"/>
  <c r="AB11" i="6"/>
  <c r="AA11" i="6"/>
  <c r="AB9" i="6"/>
  <c r="AA9" i="6"/>
  <c r="D18" i="6"/>
  <c r="D17" i="6"/>
  <c r="D16" i="6"/>
  <c r="F15" i="6"/>
  <c r="D15" i="6"/>
  <c r="D14" i="6"/>
  <c r="D13" i="6"/>
  <c r="J10" i="6"/>
  <c r="J8" i="6"/>
  <c r="F9" i="6"/>
  <c r="F12" i="6" s="1"/>
  <c r="D9" i="6"/>
  <c r="AB32" i="6" s="1"/>
  <c r="K7" i="6"/>
  <c r="K12" i="6" s="1"/>
  <c r="AB19" i="31" l="1"/>
  <c r="Y58" i="31"/>
  <c r="D8" i="24"/>
  <c r="V34" i="30"/>
  <c r="P32" i="30"/>
  <c r="AA10" i="30"/>
  <c r="AA4" i="30" s="1"/>
  <c r="AA16" i="30" s="1"/>
  <c r="V68" i="30"/>
  <c r="AB10" i="30"/>
  <c r="AB4" i="30" s="1"/>
  <c r="AB16" i="30" s="1"/>
  <c r="Q29" i="30"/>
  <c r="P30" i="30"/>
  <c r="K32" i="30"/>
  <c r="M32" i="30"/>
  <c r="J34" i="30"/>
  <c r="K34" i="30"/>
  <c r="L34" i="30"/>
  <c r="M34" i="30"/>
  <c r="AD34" i="30"/>
  <c r="T34" i="30"/>
  <c r="Q30" i="30"/>
  <c r="V30" i="30"/>
  <c r="J30" i="30"/>
  <c r="Y29" i="30"/>
  <c r="T29" i="30"/>
  <c r="X68" i="30"/>
  <c r="L30" i="30"/>
  <c r="AA29" i="30"/>
  <c r="P29" i="30"/>
  <c r="P19" i="30" s="1"/>
  <c r="P50" i="30" s="1"/>
  <c r="S30" i="30"/>
  <c r="AB29" i="30"/>
  <c r="U30" i="30"/>
  <c r="Z30" i="30"/>
  <c r="J29" i="30"/>
  <c r="R29" i="30"/>
  <c r="V29" i="30"/>
  <c r="K29" i="30"/>
  <c r="AD30" i="30"/>
  <c r="M30" i="30"/>
  <c r="W29" i="30"/>
  <c r="T30" i="30"/>
  <c r="R30" i="30"/>
  <c r="AB30" i="30"/>
  <c r="Q69" i="30"/>
  <c r="Q57" i="30" s="1"/>
  <c r="X29" i="30"/>
  <c r="L29" i="30"/>
  <c r="AC29" i="30"/>
  <c r="AD29" i="30"/>
  <c r="S29" i="30"/>
  <c r="N29" i="30"/>
  <c r="Z29" i="30"/>
  <c r="U29" i="30"/>
  <c r="N30" i="30"/>
  <c r="Y34" i="30"/>
  <c r="N34" i="30"/>
  <c r="Z34" i="30"/>
  <c r="O34" i="30"/>
  <c r="Y58" i="30"/>
  <c r="P34" i="30"/>
  <c r="AB34" i="30"/>
  <c r="Q34" i="30"/>
  <c r="AC34" i="30"/>
  <c r="AA30" i="30"/>
  <c r="W30" i="30"/>
  <c r="AC30" i="30"/>
  <c r="O30" i="30"/>
  <c r="R69" i="30"/>
  <c r="R57" i="30" s="1"/>
  <c r="Y30" i="30"/>
  <c r="W68" i="30"/>
  <c r="W58" i="30" s="1"/>
  <c r="S69" i="30"/>
  <c r="S57" i="30" s="1"/>
  <c r="X30" i="30"/>
  <c r="AA34" i="30"/>
  <c r="W34" i="30"/>
  <c r="W19" i="30" s="1"/>
  <c r="W52" i="30" s="1"/>
  <c r="P69" i="30"/>
  <c r="P57" i="30" s="1"/>
  <c r="X34" i="30"/>
  <c r="R34" i="30"/>
  <c r="K33" i="30"/>
  <c r="Z33" i="30"/>
  <c r="U33" i="30"/>
  <c r="U19" i="30" s="1"/>
  <c r="U50" i="30" s="1"/>
  <c r="AC33" i="30"/>
  <c r="Q33" i="30"/>
  <c r="AA33" i="30"/>
  <c r="X33" i="30"/>
  <c r="O33" i="30"/>
  <c r="L33" i="30"/>
  <c r="T33" i="30"/>
  <c r="AD33" i="30"/>
  <c r="R33" i="30"/>
  <c r="R19" i="30" s="1"/>
  <c r="R50" i="30" s="1"/>
  <c r="V33" i="30"/>
  <c r="V19" i="30" s="1"/>
  <c r="AB33" i="30"/>
  <c r="Y33" i="30"/>
  <c r="J33" i="30"/>
  <c r="S34" i="30"/>
  <c r="S19" i="30" s="1"/>
  <c r="S52" i="30" s="1"/>
  <c r="U30" i="33"/>
  <c r="R30" i="33"/>
  <c r="X30" i="33"/>
  <c r="M31" i="33"/>
  <c r="Y68" i="33"/>
  <c r="Y58" i="33" s="1"/>
  <c r="Y31" i="33"/>
  <c r="AA31" i="33"/>
  <c r="P30" i="33"/>
  <c r="AB30" i="33"/>
  <c r="V68" i="33"/>
  <c r="Z30" i="33"/>
  <c r="AD10" i="33"/>
  <c r="AD4" i="33" s="1"/>
  <c r="AD16" i="33" s="1"/>
  <c r="Z31" i="33"/>
  <c r="X31" i="33"/>
  <c r="P31" i="33"/>
  <c r="AB31" i="33"/>
  <c r="AC31" i="33"/>
  <c r="R31" i="33"/>
  <c r="L31" i="33"/>
  <c r="AD31" i="33"/>
  <c r="K31" i="33"/>
  <c r="S31" i="33"/>
  <c r="W31" i="33"/>
  <c r="T31" i="33"/>
  <c r="Q31" i="33"/>
  <c r="N31" i="33"/>
  <c r="U31" i="33"/>
  <c r="O31" i="33"/>
  <c r="L33" i="33"/>
  <c r="AC30" i="33"/>
  <c r="W30" i="33"/>
  <c r="K30" i="33"/>
  <c r="M30" i="33"/>
  <c r="O30" i="33"/>
  <c r="P69" i="33"/>
  <c r="P57" i="33" s="1"/>
  <c r="S30" i="33"/>
  <c r="S69" i="33"/>
  <c r="S57" i="33" s="1"/>
  <c r="Q69" i="33"/>
  <c r="Q57" i="33" s="1"/>
  <c r="W68" i="33"/>
  <c r="Q30" i="33"/>
  <c r="N30" i="33"/>
  <c r="L30" i="33"/>
  <c r="T30" i="33"/>
  <c r="R69" i="33"/>
  <c r="R57" i="33" s="1"/>
  <c r="Y19" i="33"/>
  <c r="Y50" i="33" s="1"/>
  <c r="V30" i="33"/>
  <c r="J30" i="33"/>
  <c r="AD30" i="33"/>
  <c r="AA30" i="33"/>
  <c r="Y30" i="33"/>
  <c r="AB10" i="33"/>
  <c r="AA10" i="33"/>
  <c r="X65" i="33"/>
  <c r="X58" i="33" s="1"/>
  <c r="V65" i="33"/>
  <c r="AC10" i="33"/>
  <c r="AD10" i="32"/>
  <c r="AD4" i="32" s="1"/>
  <c r="AD16" i="32" s="1"/>
  <c r="W65" i="32"/>
  <c r="T34" i="32"/>
  <c r="P34" i="32"/>
  <c r="P19" i="32" s="1"/>
  <c r="P50" i="32" s="1"/>
  <c r="P52" i="32" s="1"/>
  <c r="L34" i="32"/>
  <c r="AB34" i="32"/>
  <c r="AB19" i="32" s="1"/>
  <c r="X34" i="32"/>
  <c r="Q34" i="32"/>
  <c r="W34" i="32"/>
  <c r="W19" i="32" s="1"/>
  <c r="R34" i="32"/>
  <c r="R19" i="32" s="1"/>
  <c r="M34" i="32"/>
  <c r="M19" i="32" s="1"/>
  <c r="M50" i="32" s="1"/>
  <c r="AD34" i="32"/>
  <c r="AD19" i="32" s="1"/>
  <c r="Y34" i="32"/>
  <c r="Y19" i="32" s="1"/>
  <c r="V34" i="32"/>
  <c r="U34" i="32"/>
  <c r="S34" i="32"/>
  <c r="N19" i="32"/>
  <c r="Y65" i="32"/>
  <c r="Y58" i="32" s="1"/>
  <c r="X58" i="32"/>
  <c r="AB10" i="32"/>
  <c r="AB4" i="32" s="1"/>
  <c r="AB16" i="32" s="1"/>
  <c r="AA10" i="32"/>
  <c r="AA4" i="32" s="1"/>
  <c r="AA16" i="32" s="1"/>
  <c r="AC10" i="32"/>
  <c r="AC4" i="32" s="1"/>
  <c r="AC16" i="32" s="1"/>
  <c r="V65" i="32"/>
  <c r="V58" i="32" s="1"/>
  <c r="T19" i="32"/>
  <c r="T50" i="32" s="1"/>
  <c r="D4" i="22"/>
  <c r="W68" i="22" s="1"/>
  <c r="Y64" i="22"/>
  <c r="X64" i="22"/>
  <c r="W64" i="22"/>
  <c r="V64" i="22"/>
  <c r="D6" i="22"/>
  <c r="W33" i="22" s="1"/>
  <c r="L64" i="22"/>
  <c r="L58" i="22" s="1"/>
  <c r="L57" i="22" s="1"/>
  <c r="K64" i="22"/>
  <c r="K58" i="22" s="1"/>
  <c r="K57" i="22" s="1"/>
  <c r="J64" i="22"/>
  <c r="J58" i="22" s="1"/>
  <c r="J57" i="22" s="1"/>
  <c r="D8" i="22"/>
  <c r="AC10" i="22" s="1"/>
  <c r="AC4" i="22" s="1"/>
  <c r="AC16" i="22" s="1"/>
  <c r="R33" i="28"/>
  <c r="Z33" i="28"/>
  <c r="AA10" i="28"/>
  <c r="AA4" i="28" s="1"/>
  <c r="AA16" i="28" s="1"/>
  <c r="AB10" i="28"/>
  <c r="AC10" i="28"/>
  <c r="AC4" i="28" s="1"/>
  <c r="AC16" i="28" s="1"/>
  <c r="AD10" i="28"/>
  <c r="AD4" i="28" s="1"/>
  <c r="AD16" i="28" s="1"/>
  <c r="L29" i="28"/>
  <c r="U29" i="28"/>
  <c r="R29" i="28"/>
  <c r="AD33" i="28"/>
  <c r="M33" i="28"/>
  <c r="K33" i="28"/>
  <c r="AA33" i="28"/>
  <c r="O33" i="28"/>
  <c r="AC33" i="28"/>
  <c r="X33" i="28"/>
  <c r="Q33" i="28"/>
  <c r="L33" i="28"/>
  <c r="AB33" i="28"/>
  <c r="N33" i="28"/>
  <c r="V33" i="28"/>
  <c r="S33" i="28"/>
  <c r="P33" i="28"/>
  <c r="U33" i="28"/>
  <c r="X65" i="28"/>
  <c r="J33" i="28"/>
  <c r="Y33" i="28"/>
  <c r="W33" i="28"/>
  <c r="AD29" i="28"/>
  <c r="W29" i="28"/>
  <c r="X29" i="28"/>
  <c r="M29" i="28"/>
  <c r="Y29" i="28"/>
  <c r="W65" i="28"/>
  <c r="O29" i="28"/>
  <c r="V65" i="28"/>
  <c r="AB29" i="28"/>
  <c r="Q29" i="28"/>
  <c r="AC29" i="28"/>
  <c r="N30" i="26"/>
  <c r="J30" i="26"/>
  <c r="P30" i="26"/>
  <c r="W30" i="26"/>
  <c r="AB30" i="26"/>
  <c r="L30" i="26"/>
  <c r="X30" i="26"/>
  <c r="AC30" i="26"/>
  <c r="M30" i="26"/>
  <c r="AD30" i="26"/>
  <c r="T30" i="26"/>
  <c r="N29" i="26"/>
  <c r="X29" i="26"/>
  <c r="Y68" i="26"/>
  <c r="Y58" i="26" s="1"/>
  <c r="T29" i="26"/>
  <c r="AB29" i="26"/>
  <c r="J29" i="26"/>
  <c r="J19" i="26" s="1"/>
  <c r="J50" i="26" s="1"/>
  <c r="U29" i="26"/>
  <c r="AA29" i="26"/>
  <c r="X68" i="26"/>
  <c r="AC29" i="26"/>
  <c r="O29" i="26"/>
  <c r="R29" i="26"/>
  <c r="L29" i="26"/>
  <c r="AD10" i="26"/>
  <c r="AD4" i="26" s="1"/>
  <c r="AD16" i="26" s="1"/>
  <c r="W65" i="26"/>
  <c r="W58" i="26" s="1"/>
  <c r="P29" i="26"/>
  <c r="S29" i="26"/>
  <c r="W29" i="26"/>
  <c r="K29" i="26"/>
  <c r="K19" i="26" s="1"/>
  <c r="Q29" i="26"/>
  <c r="Z29" i="26"/>
  <c r="Y29" i="26"/>
  <c r="M29" i="26"/>
  <c r="V68" i="26"/>
  <c r="AD29" i="26"/>
  <c r="R69" i="26"/>
  <c r="R57" i="26" s="1"/>
  <c r="Q69" i="26"/>
  <c r="Q57" i="26" s="1"/>
  <c r="P69" i="26"/>
  <c r="P57" i="26" s="1"/>
  <c r="AA10" i="26"/>
  <c r="AA4" i="26" s="1"/>
  <c r="AA16" i="26" s="1"/>
  <c r="AB10" i="26"/>
  <c r="AB4" i="26" s="1"/>
  <c r="AB16" i="26" s="1"/>
  <c r="V65" i="26"/>
  <c r="AC10" i="26"/>
  <c r="AC4" i="26" s="1"/>
  <c r="AC16" i="26" s="1"/>
  <c r="X65" i="26"/>
  <c r="AA10" i="27"/>
  <c r="AD10" i="27"/>
  <c r="AD4" i="27" s="1"/>
  <c r="AD16" i="27" s="1"/>
  <c r="W65" i="27"/>
  <c r="V65" i="27"/>
  <c r="F14" i="19"/>
  <c r="D4" i="19"/>
  <c r="Z30" i="19" s="1"/>
  <c r="V64" i="19"/>
  <c r="Y64" i="19"/>
  <c r="X64" i="19"/>
  <c r="W64" i="19"/>
  <c r="L64" i="19"/>
  <c r="L58" i="19" s="1"/>
  <c r="L57" i="19" s="1"/>
  <c r="K64" i="19"/>
  <c r="K58" i="19" s="1"/>
  <c r="K57" i="19" s="1"/>
  <c r="J64" i="19"/>
  <c r="J58" i="19" s="1"/>
  <c r="J57" i="19" s="1"/>
  <c r="F11" i="19"/>
  <c r="L64" i="20"/>
  <c r="L58" i="20" s="1"/>
  <c r="L57" i="20" s="1"/>
  <c r="K64" i="20"/>
  <c r="K58" i="20" s="1"/>
  <c r="K57" i="20" s="1"/>
  <c r="J64" i="20"/>
  <c r="J58" i="20" s="1"/>
  <c r="J57" i="20" s="1"/>
  <c r="V64" i="20"/>
  <c r="W64" i="20"/>
  <c r="Y64" i="20"/>
  <c r="X64" i="20"/>
  <c r="D5" i="18"/>
  <c r="K64" i="18"/>
  <c r="K58" i="18" s="1"/>
  <c r="K57" i="18" s="1"/>
  <c r="J64" i="18"/>
  <c r="J58" i="18" s="1"/>
  <c r="J57" i="18" s="1"/>
  <c r="L64" i="18"/>
  <c r="L58" i="18" s="1"/>
  <c r="L57" i="18" s="1"/>
  <c r="R69" i="18"/>
  <c r="R57" i="18" s="1"/>
  <c r="S69" i="18"/>
  <c r="S57" i="18" s="1"/>
  <c r="Q69" i="18"/>
  <c r="Q57" i="18" s="1"/>
  <c r="P69" i="18"/>
  <c r="P57" i="18" s="1"/>
  <c r="Y68" i="18"/>
  <c r="X68" i="18"/>
  <c r="W68" i="18"/>
  <c r="V68" i="18"/>
  <c r="D8" i="18"/>
  <c r="AB10" i="18" s="1"/>
  <c r="AB4" i="18" s="1"/>
  <c r="AB16" i="18" s="1"/>
  <c r="F10" i="18"/>
  <c r="Y64" i="18"/>
  <c r="X64" i="18"/>
  <c r="W64" i="18"/>
  <c r="V64" i="18"/>
  <c r="Y64" i="14"/>
  <c r="X64" i="14"/>
  <c r="W64" i="14"/>
  <c r="V64" i="14"/>
  <c r="L64" i="14"/>
  <c r="L58" i="14" s="1"/>
  <c r="L57" i="14" s="1"/>
  <c r="K64" i="14"/>
  <c r="K58" i="14" s="1"/>
  <c r="K57" i="14" s="1"/>
  <c r="J64" i="14"/>
  <c r="J58" i="14" s="1"/>
  <c r="J57" i="14" s="1"/>
  <c r="D6" i="14"/>
  <c r="T33" i="14" s="1"/>
  <c r="D8" i="14"/>
  <c r="AD10" i="14" s="1"/>
  <c r="AD4" i="14" s="1"/>
  <c r="AD16" i="14" s="1"/>
  <c r="D4" i="15"/>
  <c r="V68" i="15" s="1"/>
  <c r="J64" i="16"/>
  <c r="J58" i="16" s="1"/>
  <c r="J57" i="16" s="1"/>
  <c r="K64" i="16"/>
  <c r="K58" i="16" s="1"/>
  <c r="K57" i="16" s="1"/>
  <c r="L64" i="16"/>
  <c r="L58" i="16" s="1"/>
  <c r="L57" i="16" s="1"/>
  <c r="Y64" i="16"/>
  <c r="X64" i="16"/>
  <c r="W64" i="16"/>
  <c r="V64" i="16"/>
  <c r="F10" i="12"/>
  <c r="J64" i="12"/>
  <c r="J58" i="12" s="1"/>
  <c r="J57" i="12" s="1"/>
  <c r="L64" i="12"/>
  <c r="L58" i="12" s="1"/>
  <c r="L57" i="12" s="1"/>
  <c r="K64" i="12"/>
  <c r="K58" i="12" s="1"/>
  <c r="K57" i="12" s="1"/>
  <c r="Y64" i="12"/>
  <c r="X64" i="12"/>
  <c r="W64" i="12"/>
  <c r="V64" i="12"/>
  <c r="W64" i="11"/>
  <c r="X64" i="11"/>
  <c r="V64" i="11"/>
  <c r="Y64" i="11"/>
  <c r="L64" i="11"/>
  <c r="L58" i="11" s="1"/>
  <c r="L57" i="11" s="1"/>
  <c r="K64" i="11"/>
  <c r="K58" i="11" s="1"/>
  <c r="K57" i="11" s="1"/>
  <c r="J64" i="11"/>
  <c r="J58" i="11" s="1"/>
  <c r="J57" i="11" s="1"/>
  <c r="Y64" i="10"/>
  <c r="X64" i="10"/>
  <c r="W64" i="10"/>
  <c r="V64" i="10"/>
  <c r="L64" i="10"/>
  <c r="L58" i="10" s="1"/>
  <c r="L57" i="10" s="1"/>
  <c r="K64" i="10"/>
  <c r="K58" i="10" s="1"/>
  <c r="K57" i="10" s="1"/>
  <c r="J64" i="10"/>
  <c r="J58" i="10" s="1"/>
  <c r="J57" i="10" s="1"/>
  <c r="G134" i="7"/>
  <c r="R16" i="7" s="1"/>
  <c r="V16" i="7" s="1"/>
  <c r="H134" i="7"/>
  <c r="S16" i="7" s="1"/>
  <c r="W16" i="7" s="1"/>
  <c r="F134" i="7"/>
  <c r="Q8" i="41"/>
  <c r="Q13" i="41"/>
  <c r="Q11" i="41"/>
  <c r="Q12" i="41"/>
  <c r="R7" i="41"/>
  <c r="Q9" i="41"/>
  <c r="Q10" i="41"/>
  <c r="P13" i="40"/>
  <c r="P9" i="40"/>
  <c r="P10" i="40"/>
  <c r="P12" i="40"/>
  <c r="Q7" i="40"/>
  <c r="P8" i="40"/>
  <c r="P11" i="40"/>
  <c r="P8" i="39"/>
  <c r="P11" i="39"/>
  <c r="P10" i="39"/>
  <c r="P12" i="39"/>
  <c r="Q7" i="39"/>
  <c r="P13" i="39"/>
  <c r="P9" i="39"/>
  <c r="P10" i="38"/>
  <c r="P11" i="38"/>
  <c r="P12" i="38"/>
  <c r="Q7" i="38"/>
  <c r="P8" i="38"/>
  <c r="P13" i="38"/>
  <c r="P9" i="38"/>
  <c r="H115" i="7"/>
  <c r="F115" i="7"/>
  <c r="G115" i="7"/>
  <c r="D138" i="7" s="1"/>
  <c r="P13" i="37"/>
  <c r="P9" i="37"/>
  <c r="Q7" i="37"/>
  <c r="P10" i="37"/>
  <c r="P8" i="37"/>
  <c r="P11" i="37"/>
  <c r="P12" i="37"/>
  <c r="P12" i="36"/>
  <c r="Q7" i="36"/>
  <c r="P8" i="36"/>
  <c r="P13" i="36"/>
  <c r="P9" i="36"/>
  <c r="P11" i="36"/>
  <c r="P10" i="36"/>
  <c r="P8" i="35"/>
  <c r="P11" i="35"/>
  <c r="Q7" i="35"/>
  <c r="P12" i="35"/>
  <c r="P9" i="35"/>
  <c r="P13" i="35"/>
  <c r="P10" i="35"/>
  <c r="Q8" i="34"/>
  <c r="Q11" i="34"/>
  <c r="Q12" i="34"/>
  <c r="R7" i="34"/>
  <c r="Q9" i="34"/>
  <c r="Q13" i="34"/>
  <c r="Q10" i="34"/>
  <c r="D3" i="22"/>
  <c r="T29" i="22" s="1"/>
  <c r="D5" i="22"/>
  <c r="AB31" i="22" s="1"/>
  <c r="D7" i="22"/>
  <c r="Z34" i="22" s="1"/>
  <c r="Y31" i="30"/>
  <c r="O31" i="30"/>
  <c r="P31" i="30"/>
  <c r="AB31" i="30"/>
  <c r="Q31" i="30"/>
  <c r="AC31" i="30"/>
  <c r="S31" i="30"/>
  <c r="X68" i="29"/>
  <c r="AC33" i="29"/>
  <c r="Q33" i="29"/>
  <c r="R33" i="29"/>
  <c r="AD33" i="29"/>
  <c r="S33" i="29"/>
  <c r="S19" i="29" s="1"/>
  <c r="O33" i="29"/>
  <c r="T33" i="29"/>
  <c r="U33" i="29"/>
  <c r="V33" i="29"/>
  <c r="AA33" i="29"/>
  <c r="W33" i="29"/>
  <c r="X33" i="29"/>
  <c r="Y33" i="29"/>
  <c r="N33" i="29"/>
  <c r="Z33" i="29"/>
  <c r="P33" i="29"/>
  <c r="O34" i="28"/>
  <c r="O19" i="28" s="1"/>
  <c r="AD34" i="28"/>
  <c r="Y34" i="28"/>
  <c r="T34" i="28"/>
  <c r="T19" i="28" s="1"/>
  <c r="T50" i="28" s="1"/>
  <c r="Z34" i="28"/>
  <c r="Z19" i="28" s="1"/>
  <c r="U34" i="28"/>
  <c r="N34" i="28"/>
  <c r="L34" i="28"/>
  <c r="S34" i="28"/>
  <c r="R69" i="28"/>
  <c r="R57" i="28" s="1"/>
  <c r="Q69" i="28"/>
  <c r="Q57" i="28" s="1"/>
  <c r="P69" i="28"/>
  <c r="P57" i="28" s="1"/>
  <c r="Y68" i="28"/>
  <c r="Y58" i="28" s="1"/>
  <c r="X68" i="28"/>
  <c r="W68" i="28"/>
  <c r="V68" i="28"/>
  <c r="S69" i="28"/>
  <c r="S57" i="28" s="1"/>
  <c r="AA34" i="28"/>
  <c r="J34" i="28"/>
  <c r="N29" i="28"/>
  <c r="S29" i="28"/>
  <c r="P34" i="28"/>
  <c r="V34" i="28"/>
  <c r="Z29" i="28"/>
  <c r="T29" i="28"/>
  <c r="AB34" i="28"/>
  <c r="X34" i="28"/>
  <c r="M34" i="28"/>
  <c r="K34" i="28"/>
  <c r="AA29" i="28"/>
  <c r="Q34" i="28"/>
  <c r="W34" i="28"/>
  <c r="AC34" i="28"/>
  <c r="V29" i="28"/>
  <c r="J29" i="28"/>
  <c r="K29" i="28"/>
  <c r="K30" i="27"/>
  <c r="S69" i="27"/>
  <c r="S57" i="27" s="1"/>
  <c r="R69" i="27"/>
  <c r="R57" i="27" s="1"/>
  <c r="Q69" i="27"/>
  <c r="Q57" i="27" s="1"/>
  <c r="P69" i="27"/>
  <c r="P57" i="27" s="1"/>
  <c r="Y68" i="27"/>
  <c r="Y58" i="27" s="1"/>
  <c r="X68" i="27"/>
  <c r="X58" i="27" s="1"/>
  <c r="W68" i="27"/>
  <c r="W58" i="27" s="1"/>
  <c r="V68" i="27"/>
  <c r="M30" i="25"/>
  <c r="S69" i="25"/>
  <c r="S57" i="25" s="1"/>
  <c r="R69" i="25"/>
  <c r="R57" i="25" s="1"/>
  <c r="Q69" i="25"/>
  <c r="Q57" i="25" s="1"/>
  <c r="P69" i="25"/>
  <c r="P57" i="25" s="1"/>
  <c r="Y68" i="25"/>
  <c r="Y58" i="25" s="1"/>
  <c r="X68" i="25"/>
  <c r="X58" i="25" s="1"/>
  <c r="W68" i="25"/>
  <c r="W58" i="25" s="1"/>
  <c r="V68" i="25"/>
  <c r="V58" i="25" s="1"/>
  <c r="Y65" i="13"/>
  <c r="X65" i="13"/>
  <c r="W65" i="13"/>
  <c r="V65" i="13"/>
  <c r="D7" i="12"/>
  <c r="D19" i="12"/>
  <c r="D6" i="12"/>
  <c r="O33" i="12" s="1"/>
  <c r="D3" i="12"/>
  <c r="R29" i="12" s="1"/>
  <c r="Y65" i="21"/>
  <c r="X65" i="21"/>
  <c r="W65" i="21"/>
  <c r="V65" i="21"/>
  <c r="D6" i="24"/>
  <c r="U33" i="24" s="1"/>
  <c r="U30" i="29"/>
  <c r="X30" i="29"/>
  <c r="V68" i="29"/>
  <c r="V58" i="29" s="1"/>
  <c r="V30" i="29"/>
  <c r="V34" i="29"/>
  <c r="M34" i="29"/>
  <c r="Z34" i="29"/>
  <c r="Z19" i="29" s="1"/>
  <c r="AA34" i="29"/>
  <c r="J30" i="29"/>
  <c r="P31" i="29"/>
  <c r="K30" i="29"/>
  <c r="L30" i="29"/>
  <c r="W30" i="29"/>
  <c r="M30" i="29"/>
  <c r="N30" i="29"/>
  <c r="Z30" i="29"/>
  <c r="Q69" i="29"/>
  <c r="Q57" i="29" s="1"/>
  <c r="R30" i="29"/>
  <c r="O30" i="29"/>
  <c r="AA30" i="29"/>
  <c r="R69" i="29"/>
  <c r="R57" i="29" s="1"/>
  <c r="S69" i="29"/>
  <c r="S57" i="29" s="1"/>
  <c r="P30" i="29"/>
  <c r="O34" i="29"/>
  <c r="P34" i="29"/>
  <c r="AB34" i="29"/>
  <c r="AB19" i="29" s="1"/>
  <c r="T34" i="29"/>
  <c r="R34" i="29"/>
  <c r="R19" i="29" s="1"/>
  <c r="U34" i="29"/>
  <c r="X34" i="29"/>
  <c r="J34" i="29"/>
  <c r="Y68" i="29"/>
  <c r="Y58" i="29" s="1"/>
  <c r="Q30" i="29"/>
  <c r="Y34" i="29"/>
  <c r="Y19" i="29" s="1"/>
  <c r="K34" i="29"/>
  <c r="Y30" i="29"/>
  <c r="T30" i="29"/>
  <c r="N34" i="29"/>
  <c r="W34" i="29"/>
  <c r="P69" i="29"/>
  <c r="P57" i="29" s="1"/>
  <c r="AB30" i="29"/>
  <c r="AA31" i="30"/>
  <c r="N31" i="30"/>
  <c r="R31" i="30"/>
  <c r="AD31" i="30"/>
  <c r="U31" i="30"/>
  <c r="Z31" i="30"/>
  <c r="V31" i="30"/>
  <c r="W31" i="30"/>
  <c r="T31" i="30"/>
  <c r="L31" i="30"/>
  <c r="J31" i="30"/>
  <c r="X31" i="30"/>
  <c r="K31" i="30"/>
  <c r="L31" i="29"/>
  <c r="W68" i="29"/>
  <c r="W58" i="29" s="1"/>
  <c r="AC30" i="29"/>
  <c r="W31" i="29"/>
  <c r="U31" i="29"/>
  <c r="O31" i="29"/>
  <c r="AA31" i="29"/>
  <c r="AB31" i="29"/>
  <c r="Q34" i="29"/>
  <c r="Q19" i="29" s="1"/>
  <c r="AD34" i="29"/>
  <c r="AD19" i="29" s="1"/>
  <c r="AC34" i="29"/>
  <c r="AC19" i="29" s="1"/>
  <c r="AC50" i="29" s="1"/>
  <c r="L34" i="29"/>
  <c r="Q31" i="29"/>
  <c r="R31" i="29"/>
  <c r="AC31" i="29"/>
  <c r="S31" i="29"/>
  <c r="AD31" i="29"/>
  <c r="T31" i="29"/>
  <c r="J31" i="29"/>
  <c r="K31" i="29"/>
  <c r="AD30" i="29"/>
  <c r="V31" i="29"/>
  <c r="X31" i="29"/>
  <c r="N31" i="29"/>
  <c r="Z31" i="29"/>
  <c r="M31" i="29"/>
  <c r="X29" i="29"/>
  <c r="AB29" i="29"/>
  <c r="AC29" i="29"/>
  <c r="R29" i="29"/>
  <c r="Y29" i="29"/>
  <c r="AD29" i="29"/>
  <c r="AA29" i="29"/>
  <c r="S29" i="29"/>
  <c r="U29" i="29"/>
  <c r="T29" i="29"/>
  <c r="J29" i="29"/>
  <c r="V29" i="29"/>
  <c r="K29" i="29"/>
  <c r="W29" i="29"/>
  <c r="L29" i="29"/>
  <c r="O29" i="29"/>
  <c r="M29" i="29"/>
  <c r="N29" i="29"/>
  <c r="P29" i="29"/>
  <c r="Q29" i="29"/>
  <c r="X58" i="29"/>
  <c r="AA4" i="29"/>
  <c r="AA16" i="29" s="1"/>
  <c r="X58" i="31"/>
  <c r="Y19" i="31"/>
  <c r="Y50" i="31" s="1"/>
  <c r="AA19" i="31"/>
  <c r="AA50" i="31" s="1"/>
  <c r="O19" i="31"/>
  <c r="O50" i="31" s="1"/>
  <c r="L64" i="15"/>
  <c r="L58" i="15" s="1"/>
  <c r="L57" i="15" s="1"/>
  <c r="K64" i="15"/>
  <c r="K58" i="15" s="1"/>
  <c r="K57" i="15" s="1"/>
  <c r="J64" i="15"/>
  <c r="J58" i="15" s="1"/>
  <c r="J57" i="15" s="1"/>
  <c r="F10" i="15"/>
  <c r="W68" i="15"/>
  <c r="Y64" i="15"/>
  <c r="X64" i="15"/>
  <c r="W64" i="15"/>
  <c r="V64" i="15"/>
  <c r="AA19" i="32"/>
  <c r="AA50" i="32" s="1"/>
  <c r="O19" i="32"/>
  <c r="O52" i="32" s="1"/>
  <c r="J19" i="32"/>
  <c r="J52" i="32" s="1"/>
  <c r="L64" i="24"/>
  <c r="L58" i="24" s="1"/>
  <c r="L57" i="24" s="1"/>
  <c r="K64" i="24"/>
  <c r="K58" i="24" s="1"/>
  <c r="K57" i="24" s="1"/>
  <c r="J64" i="24"/>
  <c r="J58" i="24" s="1"/>
  <c r="J57" i="24" s="1"/>
  <c r="Y65" i="24"/>
  <c r="X65" i="24"/>
  <c r="W65" i="24"/>
  <c r="V65" i="24"/>
  <c r="X64" i="24"/>
  <c r="W64" i="24"/>
  <c r="V64" i="24"/>
  <c r="Y64" i="24"/>
  <c r="T19" i="31"/>
  <c r="T50" i="31" s="1"/>
  <c r="V58" i="31"/>
  <c r="AC19" i="31"/>
  <c r="AC50" i="31" s="1"/>
  <c r="V19" i="31"/>
  <c r="V52" i="31" s="1"/>
  <c r="M19" i="31"/>
  <c r="M52" i="31" s="1"/>
  <c r="S19" i="32"/>
  <c r="S52" i="32" s="1"/>
  <c r="K19" i="32"/>
  <c r="K50" i="32" s="1"/>
  <c r="K52" i="32" s="1"/>
  <c r="U19" i="32"/>
  <c r="U52" i="32" s="1"/>
  <c r="Z19" i="32"/>
  <c r="Z50" i="32" s="1"/>
  <c r="R19" i="33"/>
  <c r="R52" i="33" s="1"/>
  <c r="AD19" i="33"/>
  <c r="AD50" i="33" s="1"/>
  <c r="S29" i="33"/>
  <c r="J29" i="33"/>
  <c r="J19" i="33" s="1"/>
  <c r="V29" i="33"/>
  <c r="AD29" i="33"/>
  <c r="W29" i="33"/>
  <c r="L29" i="33"/>
  <c r="L19" i="33" s="1"/>
  <c r="L50" i="33" s="1"/>
  <c r="L52" i="33" s="1"/>
  <c r="X29" i="33"/>
  <c r="R29" i="33"/>
  <c r="M29" i="33"/>
  <c r="M19" i="33" s="1"/>
  <c r="Y29" i="33"/>
  <c r="Q29" i="33"/>
  <c r="N29" i="33"/>
  <c r="AC29" i="33"/>
  <c r="Z29" i="33"/>
  <c r="T29" i="33"/>
  <c r="O29" i="33"/>
  <c r="U29" i="33"/>
  <c r="AA29" i="33"/>
  <c r="P29" i="33"/>
  <c r="K29" i="33"/>
  <c r="K19" i="33" s="1"/>
  <c r="K50" i="33" s="1"/>
  <c r="K52" i="33" s="1"/>
  <c r="O19" i="33"/>
  <c r="O52" i="33" s="1"/>
  <c r="AA19" i="33"/>
  <c r="AA50" i="33" s="1"/>
  <c r="Q19" i="33"/>
  <c r="Q52" i="33" s="1"/>
  <c r="T19" i="33"/>
  <c r="T52" i="33" s="1"/>
  <c r="P19" i="33"/>
  <c r="P50" i="33" s="1"/>
  <c r="P52" i="33" s="1"/>
  <c r="AB19" i="33"/>
  <c r="AB52" i="33" s="1"/>
  <c r="Z19" i="33"/>
  <c r="Z50" i="33" s="1"/>
  <c r="N19" i="33"/>
  <c r="N50" i="33" s="1"/>
  <c r="W19" i="33"/>
  <c r="W50" i="33" s="1"/>
  <c r="AC9" i="33"/>
  <c r="AB9" i="33"/>
  <c r="AA9" i="33"/>
  <c r="W58" i="33"/>
  <c r="M8" i="33"/>
  <c r="M11" i="33"/>
  <c r="M12" i="33"/>
  <c r="N7" i="33"/>
  <c r="M13" i="33"/>
  <c r="M9" i="33"/>
  <c r="M10" i="33"/>
  <c r="U19" i="33"/>
  <c r="AC19" i="33"/>
  <c r="S19" i="33"/>
  <c r="X19" i="33"/>
  <c r="V19" i="33"/>
  <c r="AB50" i="32"/>
  <c r="AB52" i="32"/>
  <c r="AC19" i="32"/>
  <c r="V19" i="32"/>
  <c r="Q19" i="32"/>
  <c r="N50" i="32"/>
  <c r="N52" i="32"/>
  <c r="X19" i="32"/>
  <c r="L19" i="32"/>
  <c r="L50" i="32" s="1"/>
  <c r="L52" i="32" s="1"/>
  <c r="W58" i="32"/>
  <c r="L8" i="32"/>
  <c r="L11" i="32"/>
  <c r="L12" i="32"/>
  <c r="M7" i="32"/>
  <c r="L13" i="32"/>
  <c r="L9" i="32"/>
  <c r="L10" i="32"/>
  <c r="AB50" i="31"/>
  <c r="AB52" i="31"/>
  <c r="J19" i="31"/>
  <c r="AD19" i="31"/>
  <c r="R19" i="31"/>
  <c r="W19" i="31"/>
  <c r="L12" i="31"/>
  <c r="M7" i="31"/>
  <c r="L13" i="31"/>
  <c r="L9" i="31"/>
  <c r="L10" i="31"/>
  <c r="L8" i="31"/>
  <c r="L11" i="31"/>
  <c r="K19" i="31"/>
  <c r="K50" i="31" s="1"/>
  <c r="K52" i="31" s="1"/>
  <c r="Z19" i="31"/>
  <c r="N19" i="31"/>
  <c r="N50" i="31" s="1"/>
  <c r="N52" i="31" s="1"/>
  <c r="U19" i="31"/>
  <c r="X19" i="31"/>
  <c r="S19" i="31"/>
  <c r="Q19" i="31"/>
  <c r="L19" i="31"/>
  <c r="X58" i="30"/>
  <c r="V58" i="30"/>
  <c r="M13" i="30"/>
  <c r="M9" i="30"/>
  <c r="M10" i="30"/>
  <c r="M8" i="30"/>
  <c r="M11" i="30"/>
  <c r="M12" i="30"/>
  <c r="N7" i="30"/>
  <c r="L12" i="29"/>
  <c r="M7" i="29"/>
  <c r="L13" i="29"/>
  <c r="L9" i="29"/>
  <c r="L10" i="29"/>
  <c r="L8" i="29"/>
  <c r="L11" i="29"/>
  <c r="K8" i="10"/>
  <c r="K11" i="10"/>
  <c r="AA32" i="10"/>
  <c r="AD32" i="10"/>
  <c r="D19" i="10"/>
  <c r="C76" i="10" s="1"/>
  <c r="D17" i="10" s="1"/>
  <c r="M32" i="10" s="1"/>
  <c r="Q32" i="10"/>
  <c r="R32" i="10"/>
  <c r="U34" i="25"/>
  <c r="Y34" i="25"/>
  <c r="Y19" i="25" s="1"/>
  <c r="N34" i="25"/>
  <c r="P34" i="25"/>
  <c r="Z34" i="25"/>
  <c r="AB34" i="25"/>
  <c r="AB19" i="25" s="1"/>
  <c r="O34" i="25"/>
  <c r="Q34" i="25"/>
  <c r="AA34" i="25"/>
  <c r="AA19" i="25" s="1"/>
  <c r="AC34" i="25"/>
  <c r="AC19" i="25" s="1"/>
  <c r="R34" i="25"/>
  <c r="AD34" i="25"/>
  <c r="AD19" i="25" s="1"/>
  <c r="T34" i="25"/>
  <c r="S34" i="25"/>
  <c r="J34" i="25"/>
  <c r="V34" i="25"/>
  <c r="K34" i="25"/>
  <c r="W34" i="25"/>
  <c r="L34" i="25"/>
  <c r="AB31" i="25"/>
  <c r="R31" i="25"/>
  <c r="AD31" i="25"/>
  <c r="X34" i="25"/>
  <c r="X19" i="25" s="1"/>
  <c r="T31" i="25"/>
  <c r="U31" i="25"/>
  <c r="K31" i="25"/>
  <c r="W31" i="25"/>
  <c r="J31" i="25"/>
  <c r="V31" i="25"/>
  <c r="L31" i="25"/>
  <c r="X31" i="25"/>
  <c r="M31" i="25"/>
  <c r="Y31" i="25"/>
  <c r="N31" i="25"/>
  <c r="S31" i="25"/>
  <c r="Z31" i="25"/>
  <c r="O31" i="25"/>
  <c r="AA31" i="25"/>
  <c r="AC31" i="25"/>
  <c r="P31" i="25"/>
  <c r="U30" i="25"/>
  <c r="L30" i="25"/>
  <c r="V30" i="25"/>
  <c r="AB30" i="25"/>
  <c r="Y30" i="25"/>
  <c r="Z30" i="25"/>
  <c r="P30" i="25"/>
  <c r="J30" i="25"/>
  <c r="N30" i="25"/>
  <c r="Q30" i="25"/>
  <c r="AC30" i="25"/>
  <c r="K30" i="25"/>
  <c r="O30" i="25"/>
  <c r="R30" i="25"/>
  <c r="W30" i="25"/>
  <c r="AA30" i="25"/>
  <c r="AD30" i="25"/>
  <c r="X30" i="25"/>
  <c r="T30" i="25"/>
  <c r="S30" i="25"/>
  <c r="Y29" i="25"/>
  <c r="R29" i="25"/>
  <c r="AD29" i="25"/>
  <c r="T29" i="25"/>
  <c r="M29" i="25"/>
  <c r="M19" i="25" s="1"/>
  <c r="M50" i="25" s="1"/>
  <c r="M52" i="25" s="1"/>
  <c r="S29" i="25"/>
  <c r="N29" i="25"/>
  <c r="U29" i="25"/>
  <c r="Z29" i="25"/>
  <c r="J29" i="25"/>
  <c r="AA29" i="25"/>
  <c r="K29" i="25"/>
  <c r="K19" i="25" s="1"/>
  <c r="K50" i="25" s="1"/>
  <c r="K52" i="25" s="1"/>
  <c r="O29" i="25"/>
  <c r="W29" i="25"/>
  <c r="Q29" i="25"/>
  <c r="V29" i="25"/>
  <c r="AC29" i="25"/>
  <c r="L29" i="25"/>
  <c r="P29" i="25"/>
  <c r="X29" i="25"/>
  <c r="D6" i="20"/>
  <c r="S33" i="20" s="1"/>
  <c r="J30" i="28"/>
  <c r="V30" i="28"/>
  <c r="L30" i="28"/>
  <c r="AB4" i="28"/>
  <c r="AB16" i="28" s="1"/>
  <c r="N30" i="28"/>
  <c r="O30" i="28"/>
  <c r="R19" i="28"/>
  <c r="U30" i="28"/>
  <c r="S31" i="28"/>
  <c r="T31" i="28"/>
  <c r="O31" i="28"/>
  <c r="U31" i="28"/>
  <c r="J31" i="28"/>
  <c r="V31" i="28"/>
  <c r="L31" i="28"/>
  <c r="Q31" i="28"/>
  <c r="X31" i="28"/>
  <c r="R31" i="28"/>
  <c r="M31" i="28"/>
  <c r="AD31" i="28"/>
  <c r="Y31" i="28"/>
  <c r="AA31" i="28"/>
  <c r="N31" i="28"/>
  <c r="P31" i="28"/>
  <c r="Z31" i="28"/>
  <c r="AA30" i="28"/>
  <c r="K30" i="28"/>
  <c r="W30" i="28"/>
  <c r="M30" i="28"/>
  <c r="AC31" i="28"/>
  <c r="K31" i="28"/>
  <c r="Q30" i="28"/>
  <c r="AB31" i="28"/>
  <c r="AC30" i="28"/>
  <c r="R30" i="28"/>
  <c r="AD30" i="28"/>
  <c r="X30" i="28"/>
  <c r="Z30" i="28"/>
  <c r="S30" i="28"/>
  <c r="P30" i="28"/>
  <c r="Y30" i="28"/>
  <c r="AB30" i="28"/>
  <c r="T30" i="28"/>
  <c r="X19" i="26"/>
  <c r="V19" i="26"/>
  <c r="AD19" i="26"/>
  <c r="S19" i="26"/>
  <c r="AC34" i="27"/>
  <c r="AC19" i="27" s="1"/>
  <c r="W30" i="27"/>
  <c r="AB29" i="27"/>
  <c r="Q29" i="27"/>
  <c r="AC29" i="27"/>
  <c r="R29" i="27"/>
  <c r="Q34" i="27"/>
  <c r="Q19" i="27" s="1"/>
  <c r="AD29" i="27"/>
  <c r="S34" i="27"/>
  <c r="S19" i="27" s="1"/>
  <c r="T34" i="27"/>
  <c r="T19" i="27" s="1"/>
  <c r="U34" i="27"/>
  <c r="U19" i="27" s="1"/>
  <c r="J34" i="27"/>
  <c r="V34" i="27"/>
  <c r="V19" i="27" s="1"/>
  <c r="K34" i="27"/>
  <c r="W34" i="27"/>
  <c r="W19" i="27" s="1"/>
  <c r="T29" i="27"/>
  <c r="U29" i="27"/>
  <c r="K29" i="27"/>
  <c r="W29" i="27"/>
  <c r="L29" i="27"/>
  <c r="X29" i="27"/>
  <c r="M29" i="27"/>
  <c r="Y29" i="27"/>
  <c r="S29" i="27"/>
  <c r="N29" i="27"/>
  <c r="Z29" i="27"/>
  <c r="J29" i="27"/>
  <c r="O29" i="27"/>
  <c r="V29" i="27"/>
  <c r="AA29" i="27"/>
  <c r="L34" i="27"/>
  <c r="M34" i="27"/>
  <c r="Y34" i="27"/>
  <c r="Y19" i="27" s="1"/>
  <c r="X34" i="27"/>
  <c r="X19" i="27" s="1"/>
  <c r="N34" i="27"/>
  <c r="N19" i="27" s="1"/>
  <c r="N50" i="27" s="1"/>
  <c r="N52" i="27" s="1"/>
  <c r="Z34" i="27"/>
  <c r="Z19" i="27" s="1"/>
  <c r="O34" i="27"/>
  <c r="O19" i="27" s="1"/>
  <c r="AA34" i="27"/>
  <c r="AA19" i="27" s="1"/>
  <c r="P34" i="27"/>
  <c r="P19" i="27" s="1"/>
  <c r="P50" i="27" s="1"/>
  <c r="P52" i="27" s="1"/>
  <c r="AB34" i="27"/>
  <c r="AB19" i="27" s="1"/>
  <c r="Q31" i="27"/>
  <c r="L31" i="27"/>
  <c r="R34" i="27"/>
  <c r="R19" i="27" s="1"/>
  <c r="T31" i="27"/>
  <c r="U31" i="27"/>
  <c r="J31" i="27"/>
  <c r="V31" i="27"/>
  <c r="K31" i="27"/>
  <c r="W31" i="27"/>
  <c r="X31" i="27"/>
  <c r="N31" i="27"/>
  <c r="M31" i="27"/>
  <c r="P31" i="27"/>
  <c r="AB31" i="27"/>
  <c r="Y31" i="27"/>
  <c r="O31" i="27"/>
  <c r="Z31" i="27"/>
  <c r="AC31" i="27"/>
  <c r="AA31" i="27"/>
  <c r="R31" i="27"/>
  <c r="AD31" i="27"/>
  <c r="AA30" i="27"/>
  <c r="AB30" i="27"/>
  <c r="AA4" i="27"/>
  <c r="AA16" i="27" s="1"/>
  <c r="AC30" i="27"/>
  <c r="R30" i="27"/>
  <c r="AD30" i="27"/>
  <c r="Y30" i="27"/>
  <c r="L30" i="27"/>
  <c r="Z30" i="27"/>
  <c r="O30" i="27"/>
  <c r="AD19" i="27"/>
  <c r="X30" i="27"/>
  <c r="V30" i="27"/>
  <c r="N30" i="27"/>
  <c r="S30" i="27"/>
  <c r="T30" i="27"/>
  <c r="P30" i="27"/>
  <c r="U30" i="27"/>
  <c r="M30" i="27"/>
  <c r="Q30" i="27"/>
  <c r="J30" i="27"/>
  <c r="R19" i="26"/>
  <c r="Y19" i="26"/>
  <c r="W19" i="26"/>
  <c r="L19" i="26"/>
  <c r="H97" i="28"/>
  <c r="H98" i="28" s="1"/>
  <c r="L10" i="28"/>
  <c r="L9" i="28"/>
  <c r="L8" i="28"/>
  <c r="L11" i="28"/>
  <c r="L13" i="28"/>
  <c r="L12" i="28"/>
  <c r="M7" i="28"/>
  <c r="H97" i="27"/>
  <c r="H98" i="27" s="1"/>
  <c r="L11" i="27"/>
  <c r="L12" i="27"/>
  <c r="M7" i="27"/>
  <c r="L13" i="27"/>
  <c r="L9" i="27"/>
  <c r="L8" i="27"/>
  <c r="L10" i="27"/>
  <c r="Z19" i="26"/>
  <c r="N19" i="26"/>
  <c r="N50" i="26" s="1"/>
  <c r="N52" i="26" s="1"/>
  <c r="M19" i="26"/>
  <c r="U19" i="26"/>
  <c r="AA19" i="26"/>
  <c r="O19" i="26"/>
  <c r="AB19" i="26"/>
  <c r="J97" i="26"/>
  <c r="J98" i="26" s="1"/>
  <c r="P19" i="26"/>
  <c r="P50" i="26" s="1"/>
  <c r="P52" i="26" s="1"/>
  <c r="AC19" i="26"/>
  <c r="L10" i="26"/>
  <c r="L8" i="26"/>
  <c r="L11" i="26"/>
  <c r="L9" i="26"/>
  <c r="L12" i="26"/>
  <c r="M7" i="26"/>
  <c r="L13" i="26"/>
  <c r="T19" i="26"/>
  <c r="H97" i="26"/>
  <c r="H98" i="26" s="1"/>
  <c r="Q19" i="26"/>
  <c r="H97" i="25"/>
  <c r="H98" i="25" s="1"/>
  <c r="M13" i="25"/>
  <c r="M9" i="25"/>
  <c r="M10" i="25"/>
  <c r="M8" i="25"/>
  <c r="M11" i="25"/>
  <c r="N7" i="25"/>
  <c r="M12" i="25"/>
  <c r="Z19" i="25"/>
  <c r="D6" i="21"/>
  <c r="Z33" i="21" s="1"/>
  <c r="D5" i="24"/>
  <c r="M31" i="24" s="1"/>
  <c r="D4" i="24"/>
  <c r="L33" i="22"/>
  <c r="X33" i="22"/>
  <c r="D4" i="21"/>
  <c r="D3" i="21"/>
  <c r="L29" i="21" s="1"/>
  <c r="D7" i="21"/>
  <c r="Y34" i="21" s="1"/>
  <c r="S31" i="21"/>
  <c r="D3" i="24"/>
  <c r="AB29" i="24" s="1"/>
  <c r="D7" i="24"/>
  <c r="J34" i="24" s="1"/>
  <c r="D17" i="24"/>
  <c r="K32" i="24" s="1"/>
  <c r="AB10" i="24"/>
  <c r="AB4" i="24" s="1"/>
  <c r="AB16" i="24" s="1"/>
  <c r="AA10" i="24"/>
  <c r="AD10" i="24"/>
  <c r="AD4" i="24" s="1"/>
  <c r="AD16" i="24" s="1"/>
  <c r="AC10" i="24"/>
  <c r="AC4" i="24" s="1"/>
  <c r="AC16" i="24" s="1"/>
  <c r="F12" i="24"/>
  <c r="AA9" i="24" s="1"/>
  <c r="U32" i="24"/>
  <c r="L33" i="24"/>
  <c r="X33" i="24"/>
  <c r="J32" i="24"/>
  <c r="V32" i="24"/>
  <c r="M33" i="24"/>
  <c r="Y33" i="24"/>
  <c r="W33" i="24"/>
  <c r="L7" i="24"/>
  <c r="K12" i="24"/>
  <c r="F14" i="24"/>
  <c r="W32" i="24"/>
  <c r="N33" i="24"/>
  <c r="Z33" i="24"/>
  <c r="F11" i="24"/>
  <c r="L32" i="24"/>
  <c r="X32" i="24"/>
  <c r="O33" i="24"/>
  <c r="AA33" i="24"/>
  <c r="V33" i="24"/>
  <c r="M32" i="24"/>
  <c r="Y32" i="24"/>
  <c r="P33" i="24"/>
  <c r="AB33" i="24"/>
  <c r="K11" i="24"/>
  <c r="N32" i="24"/>
  <c r="Z32" i="24"/>
  <c r="Q33" i="24"/>
  <c r="AC33" i="24"/>
  <c r="J33" i="24"/>
  <c r="K33" i="24"/>
  <c r="K8" i="24"/>
  <c r="F10" i="24"/>
  <c r="O32" i="24"/>
  <c r="AA32" i="24"/>
  <c r="R33" i="24"/>
  <c r="AD33" i="24"/>
  <c r="P32" i="24"/>
  <c r="AB32" i="24"/>
  <c r="S33" i="24"/>
  <c r="Q32" i="24"/>
  <c r="AC32" i="24"/>
  <c r="T33" i="24"/>
  <c r="R32" i="24"/>
  <c r="M7" i="22"/>
  <c r="F11" i="22"/>
  <c r="L12" i="22"/>
  <c r="P30" i="22"/>
  <c r="AB30" i="22"/>
  <c r="J32" i="22"/>
  <c r="V32" i="22"/>
  <c r="M33" i="22"/>
  <c r="Y33" i="22"/>
  <c r="Q30" i="22"/>
  <c r="AC30" i="22"/>
  <c r="K32" i="22"/>
  <c r="W32" i="22"/>
  <c r="N33" i="22"/>
  <c r="Z33" i="22"/>
  <c r="K11" i="22"/>
  <c r="R30" i="22"/>
  <c r="AD30" i="22"/>
  <c r="L32" i="22"/>
  <c r="X32" i="22"/>
  <c r="O33" i="22"/>
  <c r="AA33" i="22"/>
  <c r="K8" i="22"/>
  <c r="F10" i="22"/>
  <c r="L11" i="22"/>
  <c r="S30" i="22"/>
  <c r="M32" i="22"/>
  <c r="Y32" i="22"/>
  <c r="P33" i="22"/>
  <c r="AB33" i="22"/>
  <c r="L8" i="22"/>
  <c r="T30" i="22"/>
  <c r="N32" i="22"/>
  <c r="Z32" i="22"/>
  <c r="Q33" i="22"/>
  <c r="AC33" i="22"/>
  <c r="K10" i="22"/>
  <c r="U30" i="22"/>
  <c r="O32" i="22"/>
  <c r="AA32" i="22"/>
  <c r="R33" i="22"/>
  <c r="AD33" i="22"/>
  <c r="L10" i="22"/>
  <c r="F13" i="22"/>
  <c r="J30" i="22"/>
  <c r="V30" i="22"/>
  <c r="P32" i="22"/>
  <c r="AB32" i="22"/>
  <c r="S33" i="22"/>
  <c r="K30" i="22"/>
  <c r="W30" i="22"/>
  <c r="Q32" i="22"/>
  <c r="AC32" i="22"/>
  <c r="T33" i="22"/>
  <c r="AA30" i="22"/>
  <c r="K9" i="22"/>
  <c r="L30" i="22"/>
  <c r="X30" i="22"/>
  <c r="R32" i="22"/>
  <c r="AD32" i="22"/>
  <c r="U33" i="22"/>
  <c r="O30" i="22"/>
  <c r="L9" i="22"/>
  <c r="M30" i="22"/>
  <c r="Y30" i="22"/>
  <c r="S32" i="22"/>
  <c r="J33" i="22"/>
  <c r="V33" i="22"/>
  <c r="N30" i="22"/>
  <c r="K33" i="22"/>
  <c r="U31" i="21"/>
  <c r="L32" i="21"/>
  <c r="X32" i="21"/>
  <c r="J31" i="21"/>
  <c r="V31" i="21"/>
  <c r="M32" i="21"/>
  <c r="Y32" i="21"/>
  <c r="F13" i="21"/>
  <c r="K31" i="21"/>
  <c r="W31" i="21"/>
  <c r="N32" i="21"/>
  <c r="Z32" i="21"/>
  <c r="AA10" i="21"/>
  <c r="L31" i="21"/>
  <c r="X31" i="21"/>
  <c r="O32" i="21"/>
  <c r="AA32" i="21"/>
  <c r="K9" i="21"/>
  <c r="AB10" i="21"/>
  <c r="AB4" i="21" s="1"/>
  <c r="AB16" i="21" s="1"/>
  <c r="K13" i="21"/>
  <c r="M31" i="21"/>
  <c r="Y31" i="21"/>
  <c r="P32" i="21"/>
  <c r="AB32" i="21"/>
  <c r="AC10" i="21"/>
  <c r="AC4" i="21" s="1"/>
  <c r="AC16" i="21" s="1"/>
  <c r="F12" i="21"/>
  <c r="AA9" i="21" s="1"/>
  <c r="N31" i="21"/>
  <c r="Z31" i="21"/>
  <c r="Q32" i="21"/>
  <c r="AC32" i="21"/>
  <c r="AD10" i="21"/>
  <c r="AD4" i="21" s="1"/>
  <c r="AD16" i="21" s="1"/>
  <c r="O31" i="21"/>
  <c r="AA31" i="21"/>
  <c r="R32" i="21"/>
  <c r="AD32" i="21"/>
  <c r="L7" i="21"/>
  <c r="K12" i="21"/>
  <c r="F14" i="21"/>
  <c r="P31" i="21"/>
  <c r="AB31" i="21"/>
  <c r="S32" i="21"/>
  <c r="F11" i="21"/>
  <c r="Q31" i="21"/>
  <c r="AC31" i="21"/>
  <c r="T32" i="21"/>
  <c r="R31" i="21"/>
  <c r="AD31" i="21"/>
  <c r="U32" i="21"/>
  <c r="K32" i="21"/>
  <c r="D8" i="19"/>
  <c r="AD10" i="19" s="1"/>
  <c r="AD4" i="19" s="1"/>
  <c r="AD16" i="19" s="1"/>
  <c r="D7" i="19"/>
  <c r="T34" i="19" s="1"/>
  <c r="D6" i="19"/>
  <c r="S33" i="19" s="1"/>
  <c r="D7" i="20"/>
  <c r="T34" i="20" s="1"/>
  <c r="D4" i="20"/>
  <c r="D3" i="20"/>
  <c r="Z29" i="20" s="1"/>
  <c r="D5" i="20"/>
  <c r="Y31" i="20" s="1"/>
  <c r="D3" i="18"/>
  <c r="U29" i="18" s="1"/>
  <c r="D7" i="18"/>
  <c r="J34" i="18" s="1"/>
  <c r="K33" i="18"/>
  <c r="P33" i="18"/>
  <c r="W33" i="18"/>
  <c r="AB33" i="18"/>
  <c r="D5" i="17"/>
  <c r="T31" i="17" s="1"/>
  <c r="D8" i="17"/>
  <c r="T33" i="17"/>
  <c r="M32" i="18"/>
  <c r="F10" i="20"/>
  <c r="U33" i="20"/>
  <c r="D8" i="20"/>
  <c r="K33" i="20"/>
  <c r="K11" i="20"/>
  <c r="Q32" i="20"/>
  <c r="AC32" i="20"/>
  <c r="S32" i="20"/>
  <c r="J33" i="20"/>
  <c r="F13" i="20"/>
  <c r="U32" i="20"/>
  <c r="X33" i="20"/>
  <c r="T32" i="20"/>
  <c r="J32" i="20"/>
  <c r="V32" i="20"/>
  <c r="K9" i="20"/>
  <c r="K13" i="20"/>
  <c r="K32" i="20"/>
  <c r="W32" i="20"/>
  <c r="N33" i="20"/>
  <c r="F12" i="20"/>
  <c r="L32" i="20"/>
  <c r="X32" i="20"/>
  <c r="M32" i="20"/>
  <c r="Y32" i="20"/>
  <c r="P33" i="20"/>
  <c r="L7" i="20"/>
  <c r="F14" i="20"/>
  <c r="N32" i="20"/>
  <c r="Z32" i="20"/>
  <c r="Q33" i="20"/>
  <c r="O32" i="20"/>
  <c r="AA32" i="20"/>
  <c r="P32" i="20"/>
  <c r="T29" i="19"/>
  <c r="S29" i="19"/>
  <c r="AD29" i="19"/>
  <c r="R29" i="19"/>
  <c r="M29" i="19"/>
  <c r="AC29" i="19"/>
  <c r="Q29" i="19"/>
  <c r="AB29" i="19"/>
  <c r="P29" i="19"/>
  <c r="AA29" i="19"/>
  <c r="O29" i="19"/>
  <c r="Z29" i="19"/>
  <c r="N29" i="19"/>
  <c r="W29" i="19"/>
  <c r="K29" i="19"/>
  <c r="V29" i="19"/>
  <c r="J29" i="19"/>
  <c r="X29" i="19"/>
  <c r="U29" i="19"/>
  <c r="Y29" i="19"/>
  <c r="L29" i="19"/>
  <c r="Z31" i="19"/>
  <c r="N31" i="19"/>
  <c r="Y31" i="19"/>
  <c r="M31" i="19"/>
  <c r="X31" i="19"/>
  <c r="L31" i="19"/>
  <c r="S31" i="19"/>
  <c r="W31" i="19"/>
  <c r="K31" i="19"/>
  <c r="V31" i="19"/>
  <c r="J31" i="19"/>
  <c r="U31" i="19"/>
  <c r="T31" i="19"/>
  <c r="AD31" i="19"/>
  <c r="AC31" i="19"/>
  <c r="Q31" i="19"/>
  <c r="AB31" i="19"/>
  <c r="P31" i="19"/>
  <c r="AA31" i="19"/>
  <c r="O31" i="19"/>
  <c r="R31" i="19"/>
  <c r="L12" i="19"/>
  <c r="K9" i="19"/>
  <c r="K13" i="19"/>
  <c r="L30" i="19"/>
  <c r="X30" i="19"/>
  <c r="R32" i="19"/>
  <c r="AD32" i="19"/>
  <c r="L9" i="19"/>
  <c r="F12" i="19"/>
  <c r="L13" i="19"/>
  <c r="M30" i="19"/>
  <c r="Y30" i="19"/>
  <c r="S32" i="19"/>
  <c r="N30" i="19"/>
  <c r="T32" i="19"/>
  <c r="O30" i="19"/>
  <c r="Q30" i="19"/>
  <c r="AC30" i="19"/>
  <c r="K32" i="19"/>
  <c r="W32" i="19"/>
  <c r="K11" i="19"/>
  <c r="R30" i="19"/>
  <c r="AD30" i="19"/>
  <c r="L32" i="19"/>
  <c r="X32" i="19"/>
  <c r="AB30" i="19"/>
  <c r="K8" i="19"/>
  <c r="F10" i="19"/>
  <c r="L11" i="19"/>
  <c r="S30" i="19"/>
  <c r="M32" i="19"/>
  <c r="Y32" i="19"/>
  <c r="L8" i="19"/>
  <c r="T30" i="19"/>
  <c r="N32" i="19"/>
  <c r="Z32" i="19"/>
  <c r="AA30" i="19"/>
  <c r="M7" i="19"/>
  <c r="U30" i="19"/>
  <c r="O32" i="19"/>
  <c r="AA32" i="19"/>
  <c r="J30" i="19"/>
  <c r="P32" i="19"/>
  <c r="AB32" i="19"/>
  <c r="P30" i="19"/>
  <c r="K30" i="19"/>
  <c r="Q32" i="19"/>
  <c r="Y30" i="18"/>
  <c r="M30" i="18"/>
  <c r="X30" i="18"/>
  <c r="L30" i="18"/>
  <c r="S30" i="18"/>
  <c r="W30" i="18"/>
  <c r="K30" i="18"/>
  <c r="V30" i="18"/>
  <c r="J30" i="18"/>
  <c r="U30" i="18"/>
  <c r="T30" i="18"/>
  <c r="AD30" i="18"/>
  <c r="R30" i="18"/>
  <c r="AC30" i="18"/>
  <c r="Q30" i="18"/>
  <c r="Z30" i="18"/>
  <c r="AB30" i="18"/>
  <c r="P30" i="18"/>
  <c r="AA30" i="18"/>
  <c r="O30" i="18"/>
  <c r="N30" i="18"/>
  <c r="AB31" i="18"/>
  <c r="P31" i="18"/>
  <c r="AA31" i="18"/>
  <c r="O31" i="18"/>
  <c r="V31" i="18"/>
  <c r="Z31" i="18"/>
  <c r="N31" i="18"/>
  <c r="J31" i="18"/>
  <c r="Y31" i="18"/>
  <c r="M31" i="18"/>
  <c r="X31" i="18"/>
  <c r="L31" i="18"/>
  <c r="W31" i="18"/>
  <c r="K31" i="18"/>
  <c r="U31" i="18"/>
  <c r="AC31" i="18"/>
  <c r="T31" i="18"/>
  <c r="Q31" i="18"/>
  <c r="S31" i="18"/>
  <c r="AD31" i="18"/>
  <c r="R31" i="18"/>
  <c r="L7" i="18"/>
  <c r="K12" i="18"/>
  <c r="F14" i="18"/>
  <c r="U32" i="18"/>
  <c r="L33" i="18"/>
  <c r="X33" i="18"/>
  <c r="F11" i="18"/>
  <c r="J32" i="18"/>
  <c r="V32" i="18"/>
  <c r="M33" i="18"/>
  <c r="Y33" i="18"/>
  <c r="K32" i="18"/>
  <c r="W32" i="18"/>
  <c r="N33" i="18"/>
  <c r="Z33" i="18"/>
  <c r="K11" i="18"/>
  <c r="L32" i="18"/>
  <c r="X32" i="18"/>
  <c r="O33" i="18"/>
  <c r="AA33" i="18"/>
  <c r="K8" i="18"/>
  <c r="N32" i="18"/>
  <c r="Z32" i="18"/>
  <c r="Q33" i="18"/>
  <c r="AC33" i="18"/>
  <c r="K10" i="18"/>
  <c r="O32" i="18"/>
  <c r="AA32" i="18"/>
  <c r="R33" i="18"/>
  <c r="AD33" i="18"/>
  <c r="F13" i="18"/>
  <c r="P32" i="18"/>
  <c r="AB32" i="18"/>
  <c r="S33" i="18"/>
  <c r="Q32" i="18"/>
  <c r="AC32" i="18"/>
  <c r="T33" i="18"/>
  <c r="K9" i="18"/>
  <c r="R32" i="18"/>
  <c r="AD32" i="18"/>
  <c r="U33" i="18"/>
  <c r="J33" i="18"/>
  <c r="AC30" i="17"/>
  <c r="Q30" i="17"/>
  <c r="AB30" i="17"/>
  <c r="P30" i="17"/>
  <c r="W30" i="17"/>
  <c r="AA30" i="17"/>
  <c r="O30" i="17"/>
  <c r="Z30" i="17"/>
  <c r="N30" i="17"/>
  <c r="Y30" i="17"/>
  <c r="M30" i="17"/>
  <c r="X30" i="17"/>
  <c r="L30" i="17"/>
  <c r="V30" i="17"/>
  <c r="J30" i="17"/>
  <c r="U30" i="17"/>
  <c r="T30" i="17"/>
  <c r="S30" i="17"/>
  <c r="K30" i="17"/>
  <c r="AD30" i="17"/>
  <c r="R30" i="17"/>
  <c r="O29" i="17"/>
  <c r="AA29" i="17"/>
  <c r="L32" i="17"/>
  <c r="X32" i="17"/>
  <c r="O33" i="17"/>
  <c r="AA33" i="17"/>
  <c r="R34" i="17"/>
  <c r="AD34" i="17"/>
  <c r="W34" i="17"/>
  <c r="K10" i="17"/>
  <c r="P29" i="17"/>
  <c r="AB29" i="17"/>
  <c r="M32" i="17"/>
  <c r="Y32" i="17"/>
  <c r="P33" i="17"/>
  <c r="AB33" i="17"/>
  <c r="S34" i="17"/>
  <c r="F13" i="17"/>
  <c r="Q29" i="17"/>
  <c r="AC29" i="17"/>
  <c r="N32" i="17"/>
  <c r="Z32" i="17"/>
  <c r="Q33" i="17"/>
  <c r="AC33" i="17"/>
  <c r="AC19" i="17" s="1"/>
  <c r="T34" i="17"/>
  <c r="R29" i="17"/>
  <c r="AD29" i="17"/>
  <c r="O32" i="17"/>
  <c r="AA32" i="17"/>
  <c r="R33" i="17"/>
  <c r="AD33" i="17"/>
  <c r="U34" i="17"/>
  <c r="K9" i="17"/>
  <c r="K13" i="17"/>
  <c r="S29" i="17"/>
  <c r="P32" i="17"/>
  <c r="AB32" i="17"/>
  <c r="S33" i="17"/>
  <c r="J34" i="17"/>
  <c r="V34" i="17"/>
  <c r="U29" i="17"/>
  <c r="R32" i="17"/>
  <c r="AD32" i="17"/>
  <c r="U33" i="17"/>
  <c r="L34" i="17"/>
  <c r="X34" i="17"/>
  <c r="L7" i="17"/>
  <c r="K12" i="17"/>
  <c r="F14" i="17"/>
  <c r="J29" i="17"/>
  <c r="V29" i="17"/>
  <c r="S32" i="17"/>
  <c r="J33" i="17"/>
  <c r="V33" i="17"/>
  <c r="M34" i="17"/>
  <c r="Y34" i="17"/>
  <c r="K29" i="17"/>
  <c r="W29" i="17"/>
  <c r="K33" i="17"/>
  <c r="W33" i="17"/>
  <c r="N34" i="17"/>
  <c r="Z34" i="17"/>
  <c r="Z19" i="17" s="1"/>
  <c r="L29" i="17"/>
  <c r="X29" i="17"/>
  <c r="U32" i="17"/>
  <c r="L33" i="17"/>
  <c r="X33" i="17"/>
  <c r="O34" i="17"/>
  <c r="AA34" i="17"/>
  <c r="K34" i="17"/>
  <c r="K11" i="17"/>
  <c r="M29" i="17"/>
  <c r="Y29" i="17"/>
  <c r="J32" i="17"/>
  <c r="V32" i="17"/>
  <c r="M33" i="17"/>
  <c r="Y33" i="17"/>
  <c r="P34" i="17"/>
  <c r="AB34" i="17"/>
  <c r="T29" i="17"/>
  <c r="N29" i="17"/>
  <c r="K32" i="17"/>
  <c r="N33" i="17"/>
  <c r="Q34" i="17"/>
  <c r="D7" i="15"/>
  <c r="AB34" i="15" s="1"/>
  <c r="D7" i="14"/>
  <c r="X34" i="14" s="1"/>
  <c r="D5" i="14"/>
  <c r="Z31" i="14" s="1"/>
  <c r="D4" i="14"/>
  <c r="D3" i="14"/>
  <c r="AC29" i="14" s="1"/>
  <c r="D6" i="15"/>
  <c r="L44" i="13" s="1"/>
  <c r="D19" i="15"/>
  <c r="C76" i="15" s="1"/>
  <c r="D17" i="15" s="1"/>
  <c r="K32" i="15" s="1"/>
  <c r="D3" i="15"/>
  <c r="P29" i="15" s="1"/>
  <c r="D5" i="15"/>
  <c r="Y31" i="15" s="1"/>
  <c r="D6" i="16"/>
  <c r="M33" i="16" s="1"/>
  <c r="D8" i="16"/>
  <c r="D7" i="16"/>
  <c r="AD34" i="16" s="1"/>
  <c r="D5" i="16"/>
  <c r="Y31" i="16" s="1"/>
  <c r="D3" i="16"/>
  <c r="K29" i="16" s="1"/>
  <c r="D4" i="16"/>
  <c r="D6" i="13"/>
  <c r="P33" i="13" s="1"/>
  <c r="D7" i="13"/>
  <c r="R34" i="13" s="1"/>
  <c r="D4" i="13"/>
  <c r="D3" i="13"/>
  <c r="O29" i="13" s="1"/>
  <c r="X30" i="15"/>
  <c r="L30" i="15"/>
  <c r="D8" i="15"/>
  <c r="K11" i="16"/>
  <c r="Q32" i="16"/>
  <c r="AC32" i="16"/>
  <c r="K8" i="16"/>
  <c r="F10" i="16"/>
  <c r="R32" i="16"/>
  <c r="AD32" i="16"/>
  <c r="S32" i="16"/>
  <c r="F13" i="16"/>
  <c r="U32" i="16"/>
  <c r="J32" i="16"/>
  <c r="V32" i="16"/>
  <c r="T32" i="16"/>
  <c r="K9" i="16"/>
  <c r="K13" i="16"/>
  <c r="K32" i="16"/>
  <c r="W32" i="16"/>
  <c r="F12" i="16"/>
  <c r="AA9" i="16" s="1"/>
  <c r="L32" i="16"/>
  <c r="X32" i="16"/>
  <c r="M32" i="16"/>
  <c r="Y32" i="16"/>
  <c r="L7" i="16"/>
  <c r="F14" i="16"/>
  <c r="N32" i="16"/>
  <c r="Z32" i="16"/>
  <c r="O32" i="16"/>
  <c r="AA32" i="16"/>
  <c r="P32" i="16"/>
  <c r="K11" i="15"/>
  <c r="K30" i="15"/>
  <c r="W30" i="15"/>
  <c r="L8" i="15"/>
  <c r="M30" i="15"/>
  <c r="Y30" i="15"/>
  <c r="S32" i="15"/>
  <c r="K10" i="15"/>
  <c r="N30" i="15"/>
  <c r="Z30" i="15"/>
  <c r="T32" i="15"/>
  <c r="L10" i="15"/>
  <c r="F13" i="15"/>
  <c r="O30" i="15"/>
  <c r="AA30" i="15"/>
  <c r="P30" i="15"/>
  <c r="AB30" i="15"/>
  <c r="J32" i="15"/>
  <c r="V32" i="15"/>
  <c r="K9" i="15"/>
  <c r="Q30" i="15"/>
  <c r="AC30" i="15"/>
  <c r="W32" i="15"/>
  <c r="L9" i="15"/>
  <c r="F12" i="15"/>
  <c r="AA9" i="15" s="1"/>
  <c r="L13" i="15"/>
  <c r="R30" i="15"/>
  <c r="AD30" i="15"/>
  <c r="L32" i="15"/>
  <c r="X32" i="15"/>
  <c r="S30" i="15"/>
  <c r="M32" i="15"/>
  <c r="Y32" i="15"/>
  <c r="F14" i="15"/>
  <c r="T30" i="15"/>
  <c r="M7" i="15"/>
  <c r="U30" i="15"/>
  <c r="O32" i="15"/>
  <c r="AA32" i="15"/>
  <c r="J30" i="15"/>
  <c r="V30" i="15"/>
  <c r="P32" i="15"/>
  <c r="L7" i="14"/>
  <c r="AB9" i="14"/>
  <c r="K12" i="14"/>
  <c r="AC9" i="14"/>
  <c r="F11" i="14"/>
  <c r="J32" i="14"/>
  <c r="V32" i="14"/>
  <c r="K32" i="14"/>
  <c r="W32" i="14"/>
  <c r="K11" i="14"/>
  <c r="L32" i="14"/>
  <c r="X32" i="14"/>
  <c r="K8" i="14"/>
  <c r="F10" i="14"/>
  <c r="M32" i="14"/>
  <c r="Y32" i="14"/>
  <c r="N32" i="14"/>
  <c r="Z32" i="14"/>
  <c r="O32" i="14"/>
  <c r="AA32" i="14"/>
  <c r="P32" i="14"/>
  <c r="AB32" i="14"/>
  <c r="Q32" i="14"/>
  <c r="AD10" i="13"/>
  <c r="AD4" i="13" s="1"/>
  <c r="AD16" i="13" s="1"/>
  <c r="AC10" i="13"/>
  <c r="AC4" i="13" s="1"/>
  <c r="AC16" i="13" s="1"/>
  <c r="AB10" i="13"/>
  <c r="AB4" i="13" s="1"/>
  <c r="AB16" i="13" s="1"/>
  <c r="AA10" i="13"/>
  <c r="V31" i="13"/>
  <c r="K31" i="13"/>
  <c r="L31" i="13"/>
  <c r="X31" i="13"/>
  <c r="O32" i="13"/>
  <c r="AA32" i="13"/>
  <c r="M32" i="13"/>
  <c r="K9" i="13"/>
  <c r="K13" i="13"/>
  <c r="M31" i="13"/>
  <c r="Y31" i="13"/>
  <c r="P32" i="13"/>
  <c r="AB32" i="13"/>
  <c r="Z32" i="13"/>
  <c r="F12" i="13"/>
  <c r="AA9" i="13" s="1"/>
  <c r="N31" i="13"/>
  <c r="Z31" i="13"/>
  <c r="Q32" i="13"/>
  <c r="AC32" i="13"/>
  <c r="F13" i="13"/>
  <c r="W31" i="13"/>
  <c r="O31" i="13"/>
  <c r="AA31" i="13"/>
  <c r="R32" i="13"/>
  <c r="AD32" i="13"/>
  <c r="Y32" i="13"/>
  <c r="N32" i="13"/>
  <c r="L7" i="13"/>
  <c r="K12" i="13"/>
  <c r="F14" i="13"/>
  <c r="P31" i="13"/>
  <c r="AB31" i="13"/>
  <c r="S32" i="13"/>
  <c r="F11" i="13"/>
  <c r="Q31" i="13"/>
  <c r="AC31" i="13"/>
  <c r="T32" i="13"/>
  <c r="R31" i="13"/>
  <c r="AD31" i="13"/>
  <c r="U32" i="13"/>
  <c r="J31" i="13"/>
  <c r="K11" i="13"/>
  <c r="S31" i="13"/>
  <c r="J32" i="13"/>
  <c r="V32" i="13"/>
  <c r="T31" i="13"/>
  <c r="K32" i="13"/>
  <c r="W32" i="13"/>
  <c r="L32" i="13"/>
  <c r="D5" i="12"/>
  <c r="AA31" i="12" s="1"/>
  <c r="D4" i="12"/>
  <c r="D7" i="11"/>
  <c r="S34" i="11" s="1"/>
  <c r="D5" i="11"/>
  <c r="V31" i="11" s="1"/>
  <c r="D4" i="11"/>
  <c r="D19" i="11"/>
  <c r="C76" i="11" s="1"/>
  <c r="D17" i="11" s="1"/>
  <c r="J32" i="11" s="1"/>
  <c r="D6" i="11"/>
  <c r="S33" i="11" s="1"/>
  <c r="D3" i="11"/>
  <c r="Q29" i="11" s="1"/>
  <c r="F10" i="11"/>
  <c r="D8" i="12"/>
  <c r="D8" i="11"/>
  <c r="D8" i="10"/>
  <c r="AD10" i="10" s="1"/>
  <c r="AD4" i="10" s="1"/>
  <c r="AD16" i="10" s="1"/>
  <c r="D5" i="10"/>
  <c r="J31" i="10" s="1"/>
  <c r="D6" i="10"/>
  <c r="U33" i="10" s="1"/>
  <c r="D4" i="10"/>
  <c r="AC32" i="10"/>
  <c r="D3" i="10"/>
  <c r="O29" i="10" s="1"/>
  <c r="D7" i="10"/>
  <c r="V34" i="10" s="1"/>
  <c r="J32" i="10"/>
  <c r="O32" i="10"/>
  <c r="S32" i="10"/>
  <c r="V32" i="10"/>
  <c r="F10" i="10"/>
  <c r="F11" i="10"/>
  <c r="K10" i="9"/>
  <c r="K8" i="9"/>
  <c r="K11" i="9"/>
  <c r="V64" i="9"/>
  <c r="F10" i="9"/>
  <c r="Q32" i="9"/>
  <c r="R32" i="9"/>
  <c r="AC32" i="9"/>
  <c r="AD32" i="9"/>
  <c r="V34" i="12"/>
  <c r="J34" i="12"/>
  <c r="Y34" i="12"/>
  <c r="X34" i="12"/>
  <c r="U34" i="12"/>
  <c r="T34" i="12"/>
  <c r="K34" i="12"/>
  <c r="S34" i="12"/>
  <c r="W34" i="12"/>
  <c r="AD34" i="12"/>
  <c r="R34" i="12"/>
  <c r="AC34" i="12"/>
  <c r="Q34" i="12"/>
  <c r="L34" i="12"/>
  <c r="AB34" i="12"/>
  <c r="P34" i="12"/>
  <c r="M34" i="12"/>
  <c r="AA34" i="12"/>
  <c r="O34" i="12"/>
  <c r="Z34" i="12"/>
  <c r="N34" i="12"/>
  <c r="F13" i="12"/>
  <c r="U32" i="12"/>
  <c r="T32" i="12"/>
  <c r="J32" i="12"/>
  <c r="V32" i="12"/>
  <c r="K9" i="12"/>
  <c r="K13" i="12"/>
  <c r="K32" i="12"/>
  <c r="W32" i="12"/>
  <c r="N33" i="12"/>
  <c r="F12" i="12"/>
  <c r="L32" i="12"/>
  <c r="X32" i="12"/>
  <c r="M32" i="12"/>
  <c r="Y32" i="12"/>
  <c r="L7" i="12"/>
  <c r="F14" i="12"/>
  <c r="N32" i="12"/>
  <c r="Z32" i="12"/>
  <c r="O32" i="12"/>
  <c r="AA32" i="12"/>
  <c r="P32" i="12"/>
  <c r="S32" i="11"/>
  <c r="K10" i="11"/>
  <c r="T32" i="11"/>
  <c r="F13" i="11"/>
  <c r="U32" i="11"/>
  <c r="V32" i="11"/>
  <c r="K9" i="11"/>
  <c r="K13" i="11"/>
  <c r="K32" i="11"/>
  <c r="W32" i="11"/>
  <c r="F12" i="11"/>
  <c r="L32" i="11"/>
  <c r="X32" i="11"/>
  <c r="M32" i="11"/>
  <c r="Y32" i="11"/>
  <c r="L7" i="11"/>
  <c r="F14" i="11"/>
  <c r="N32" i="11"/>
  <c r="Z32" i="11"/>
  <c r="O32" i="11"/>
  <c r="AA32" i="11"/>
  <c r="P32" i="11"/>
  <c r="K10" i="10"/>
  <c r="T32" i="10"/>
  <c r="F13" i="10"/>
  <c r="U32" i="10"/>
  <c r="K9" i="10"/>
  <c r="K13" i="10"/>
  <c r="K32" i="10"/>
  <c r="W32" i="10"/>
  <c r="F12" i="10"/>
  <c r="X32" i="10"/>
  <c r="Y32" i="10"/>
  <c r="L7" i="10"/>
  <c r="N32" i="10"/>
  <c r="Z32" i="10"/>
  <c r="L58" i="9"/>
  <c r="L57" i="9" s="1"/>
  <c r="S32" i="9"/>
  <c r="F13" i="9"/>
  <c r="U32" i="9"/>
  <c r="V32" i="9"/>
  <c r="T32" i="9"/>
  <c r="K13" i="9"/>
  <c r="K32" i="9"/>
  <c r="W32" i="9"/>
  <c r="W64" i="9"/>
  <c r="F12" i="9"/>
  <c r="AA9" i="9" s="1"/>
  <c r="L32" i="9"/>
  <c r="X32" i="9"/>
  <c r="X64" i="9"/>
  <c r="M32" i="9"/>
  <c r="Y32" i="9"/>
  <c r="L7" i="9"/>
  <c r="F14" i="9"/>
  <c r="N32" i="9"/>
  <c r="Z32" i="9"/>
  <c r="J64" i="9"/>
  <c r="J58" i="9" s="1"/>
  <c r="O32" i="9"/>
  <c r="AA32" i="9"/>
  <c r="K64" i="9"/>
  <c r="K58" i="9" s="1"/>
  <c r="K57" i="9" s="1"/>
  <c r="P32" i="9"/>
  <c r="K9" i="6"/>
  <c r="K11" i="6"/>
  <c r="K13" i="6"/>
  <c r="D3" i="6"/>
  <c r="D6" i="6"/>
  <c r="W33" i="6" s="1"/>
  <c r="D8" i="6"/>
  <c r="D7" i="6"/>
  <c r="Z34" i="6" s="1"/>
  <c r="Y31" i="6"/>
  <c r="F11" i="6"/>
  <c r="K10" i="6"/>
  <c r="M32" i="6"/>
  <c r="U32" i="6"/>
  <c r="AC32" i="6"/>
  <c r="F14" i="6"/>
  <c r="N32" i="6"/>
  <c r="V32" i="6"/>
  <c r="AD32" i="6"/>
  <c r="F10" i="6"/>
  <c r="O32" i="6"/>
  <c r="W32" i="6"/>
  <c r="L7" i="6"/>
  <c r="P32" i="6"/>
  <c r="X32" i="6"/>
  <c r="AD34" i="6"/>
  <c r="Q32" i="6"/>
  <c r="Y32" i="6"/>
  <c r="J32" i="6"/>
  <c r="R32" i="6"/>
  <c r="Z32" i="6"/>
  <c r="X34" i="6"/>
  <c r="F13" i="6"/>
  <c r="K8" i="6"/>
  <c r="K32" i="6"/>
  <c r="S32" i="6"/>
  <c r="AA32" i="6"/>
  <c r="Q34" i="6"/>
  <c r="L32" i="6"/>
  <c r="T32" i="6"/>
  <c r="R34" i="6"/>
  <c r="G210" i="4"/>
  <c r="C8" i="4"/>
  <c r="C7" i="4"/>
  <c r="C6" i="4"/>
  <c r="C5" i="4"/>
  <c r="C4" i="4"/>
  <c r="C3" i="4"/>
  <c r="F96" i="4"/>
  <c r="E96" i="4"/>
  <c r="F95" i="4"/>
  <c r="E95" i="4"/>
  <c r="F94" i="4"/>
  <c r="E94" i="4"/>
  <c r="F93" i="4"/>
  <c r="E93" i="4"/>
  <c r="F91" i="4"/>
  <c r="E91" i="4"/>
  <c r="F88" i="4"/>
  <c r="E88" i="4"/>
  <c r="F92" i="4"/>
  <c r="E92" i="4"/>
  <c r="F89" i="4"/>
  <c r="E89" i="4"/>
  <c r="F90" i="4"/>
  <c r="E90" i="4"/>
  <c r="F87" i="4"/>
  <c r="E87" i="4"/>
  <c r="C86" i="4"/>
  <c r="J67" i="4"/>
  <c r="C58" i="4"/>
  <c r="D20" i="4" s="1"/>
  <c r="K68" i="4" s="1"/>
  <c r="C57" i="4"/>
  <c r="C56" i="4"/>
  <c r="D12" i="4" s="1"/>
  <c r="C55" i="4"/>
  <c r="D11" i="4" s="1"/>
  <c r="C54" i="4"/>
  <c r="D10" i="4" s="1"/>
  <c r="C53" i="4"/>
  <c r="C52" i="4"/>
  <c r="C51" i="4"/>
  <c r="C47" i="4"/>
  <c r="C50" i="4"/>
  <c r="C49" i="4"/>
  <c r="C48" i="4"/>
  <c r="C46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M20" i="4"/>
  <c r="L20" i="4"/>
  <c r="K20" i="4"/>
  <c r="J20" i="4"/>
  <c r="M19" i="4"/>
  <c r="L19" i="4"/>
  <c r="K19" i="4"/>
  <c r="J19" i="4"/>
  <c r="S18" i="4"/>
  <c r="R18" i="4"/>
  <c r="Q18" i="4"/>
  <c r="P18" i="4"/>
  <c r="M18" i="4"/>
  <c r="J18" i="4"/>
  <c r="D18" i="4"/>
  <c r="AD17" i="4"/>
  <c r="AC17" i="4"/>
  <c r="AB17" i="4"/>
  <c r="AA17" i="4"/>
  <c r="Z17" i="4"/>
  <c r="Y17" i="4"/>
  <c r="X17" i="4"/>
  <c r="W17" i="4"/>
  <c r="V17" i="4"/>
  <c r="S17" i="4"/>
  <c r="R17" i="4"/>
  <c r="Q17" i="4"/>
  <c r="P17" i="4"/>
  <c r="D17" i="4"/>
  <c r="AD16" i="4"/>
  <c r="AC16" i="4"/>
  <c r="AB16" i="4"/>
  <c r="AA16" i="4"/>
  <c r="Z16" i="4"/>
  <c r="Y16" i="4"/>
  <c r="X16" i="4"/>
  <c r="W16" i="4"/>
  <c r="V16" i="4"/>
  <c r="D16" i="4"/>
  <c r="F15" i="4"/>
  <c r="S15" i="4" s="1"/>
  <c r="D15" i="4"/>
  <c r="AD14" i="4"/>
  <c r="AC14" i="4"/>
  <c r="AB14" i="4"/>
  <c r="AA14" i="4"/>
  <c r="Z14" i="4"/>
  <c r="Y14" i="4"/>
  <c r="X14" i="4"/>
  <c r="W14" i="4"/>
  <c r="V14" i="4"/>
  <c r="D14" i="4"/>
  <c r="D13" i="4"/>
  <c r="F9" i="4"/>
  <c r="F13" i="4" s="1"/>
  <c r="D9" i="4"/>
  <c r="AD40" i="4" s="1"/>
  <c r="M19" i="30" l="1"/>
  <c r="M50" i="30" s="1"/>
  <c r="N19" i="30"/>
  <c r="AD19" i="30"/>
  <c r="AD52" i="30" s="1"/>
  <c r="K19" i="30"/>
  <c r="K50" i="30" s="1"/>
  <c r="K52" i="30" s="1"/>
  <c r="Y19" i="30"/>
  <c r="Y50" i="30" s="1"/>
  <c r="Q19" i="30"/>
  <c r="T19" i="30"/>
  <c r="T52" i="30" s="1"/>
  <c r="J19" i="30"/>
  <c r="L19" i="30"/>
  <c r="L50" i="30" s="1"/>
  <c r="O19" i="30"/>
  <c r="O50" i="30" s="1"/>
  <c r="AA19" i="30"/>
  <c r="AA52" i="30" s="1"/>
  <c r="Z19" i="30"/>
  <c r="Z52" i="30" s="1"/>
  <c r="S50" i="30"/>
  <c r="AB19" i="30"/>
  <c r="AB52" i="30" s="1"/>
  <c r="AC19" i="30"/>
  <c r="AC50" i="30" s="1"/>
  <c r="X19" i="30"/>
  <c r="X50" i="30" s="1"/>
  <c r="P52" i="30"/>
  <c r="V58" i="33"/>
  <c r="AB4" i="33"/>
  <c r="AB16" i="33" s="1"/>
  <c r="R50" i="33"/>
  <c r="AC4" i="33"/>
  <c r="AC16" i="33" s="1"/>
  <c r="Y52" i="33"/>
  <c r="AA4" i="33"/>
  <c r="AA16" i="33" s="1"/>
  <c r="O50" i="32"/>
  <c r="AA52" i="32"/>
  <c r="Z52" i="32"/>
  <c r="T52" i="32"/>
  <c r="U50" i="32"/>
  <c r="M52" i="32"/>
  <c r="S50" i="32"/>
  <c r="Y65" i="22"/>
  <c r="V65" i="22"/>
  <c r="S69" i="22"/>
  <c r="S57" i="22" s="1"/>
  <c r="X68" i="22"/>
  <c r="Z30" i="22"/>
  <c r="Q31" i="22"/>
  <c r="M29" i="22"/>
  <c r="X29" i="22"/>
  <c r="O29" i="22"/>
  <c r="P29" i="22"/>
  <c r="P19" i="22" s="1"/>
  <c r="V34" i="22"/>
  <c r="V19" i="22" s="1"/>
  <c r="K34" i="22"/>
  <c r="AB29" i="22"/>
  <c r="L29" i="22"/>
  <c r="P34" i="22"/>
  <c r="Q29" i="22"/>
  <c r="AB34" i="22"/>
  <c r="AC29" i="22"/>
  <c r="U34" i="22"/>
  <c r="U19" i="22" s="1"/>
  <c r="R29" i="22"/>
  <c r="AD29" i="22"/>
  <c r="T34" i="22"/>
  <c r="T19" i="22" s="1"/>
  <c r="J34" i="22"/>
  <c r="Q34" i="22"/>
  <c r="Q19" i="22" s="1"/>
  <c r="W34" i="22"/>
  <c r="W19" i="22" s="1"/>
  <c r="AC34" i="22"/>
  <c r="AC19" i="22" s="1"/>
  <c r="L34" i="22"/>
  <c r="R34" i="22"/>
  <c r="X34" i="22"/>
  <c r="AD34" i="22"/>
  <c r="M34" i="22"/>
  <c r="M19" i="22" s="1"/>
  <c r="AA34" i="22"/>
  <c r="Y34" i="22"/>
  <c r="Y19" i="22" s="1"/>
  <c r="S34" i="22"/>
  <c r="S19" i="22" s="1"/>
  <c r="N34" i="22"/>
  <c r="N19" i="22" s="1"/>
  <c r="N50" i="22" s="1"/>
  <c r="N52" i="22" s="1"/>
  <c r="O34" i="22"/>
  <c r="AC31" i="22"/>
  <c r="W31" i="22"/>
  <c r="L31" i="22"/>
  <c r="X31" i="22"/>
  <c r="R31" i="22"/>
  <c r="U29" i="22"/>
  <c r="J29" i="22"/>
  <c r="Y29" i="22"/>
  <c r="V29" i="22"/>
  <c r="K29" i="22"/>
  <c r="AA29" i="22"/>
  <c r="Y68" i="22"/>
  <c r="Y58" i="22" s="1"/>
  <c r="P69" i="22"/>
  <c r="P57" i="22" s="1"/>
  <c r="Q69" i="22"/>
  <c r="Q57" i="22" s="1"/>
  <c r="R69" i="22"/>
  <c r="R57" i="22" s="1"/>
  <c r="W29" i="22"/>
  <c r="W65" i="22"/>
  <c r="W58" i="22" s="1"/>
  <c r="AA10" i="22"/>
  <c r="AA4" i="22" s="1"/>
  <c r="AA16" i="22" s="1"/>
  <c r="AD10" i="22"/>
  <c r="AD4" i="22" s="1"/>
  <c r="AD16" i="22" s="1"/>
  <c r="N29" i="22"/>
  <c r="S29" i="22"/>
  <c r="V68" i="22"/>
  <c r="V58" i="22" s="1"/>
  <c r="S31" i="22"/>
  <c r="Z29" i="22"/>
  <c r="M31" i="22"/>
  <c r="AB10" i="22"/>
  <c r="AB4" i="22" s="1"/>
  <c r="AB16" i="22" s="1"/>
  <c r="X65" i="22"/>
  <c r="X58" i="22" s="1"/>
  <c r="Y31" i="22"/>
  <c r="T31" i="22"/>
  <c r="N31" i="22"/>
  <c r="U31" i="22"/>
  <c r="Z31" i="22"/>
  <c r="J31" i="22"/>
  <c r="O31" i="22"/>
  <c r="V31" i="22"/>
  <c r="AA31" i="22"/>
  <c r="AD31" i="22"/>
  <c r="P31" i="22"/>
  <c r="K31" i="22"/>
  <c r="Q19" i="28"/>
  <c r="W58" i="28"/>
  <c r="AB19" i="28"/>
  <c r="AB52" i="28" s="1"/>
  <c r="AD19" i="28"/>
  <c r="AD52" i="28" s="1"/>
  <c r="V58" i="28"/>
  <c r="N19" i="28"/>
  <c r="N50" i="28" s="1"/>
  <c r="N52" i="28" s="1"/>
  <c r="L19" i="28"/>
  <c r="L52" i="28" s="1"/>
  <c r="X58" i="28"/>
  <c r="Y19" i="28"/>
  <c r="Y50" i="28" s="1"/>
  <c r="AC19" i="28"/>
  <c r="AC50" i="28" s="1"/>
  <c r="S19" i="28"/>
  <c r="S50" i="28" s="1"/>
  <c r="U19" i="28"/>
  <c r="U50" i="28" s="1"/>
  <c r="M19" i="28"/>
  <c r="M50" i="28" s="1"/>
  <c r="X19" i="28"/>
  <c r="X50" i="28" s="1"/>
  <c r="P19" i="28"/>
  <c r="P50" i="28" s="1"/>
  <c r="P52" i="28" s="1"/>
  <c r="AA19" i="28"/>
  <c r="AA50" i="28" s="1"/>
  <c r="W19" i="28"/>
  <c r="W50" i="28" s="1"/>
  <c r="J19" i="28"/>
  <c r="J52" i="28" s="1"/>
  <c r="V19" i="28"/>
  <c r="V50" i="28" s="1"/>
  <c r="X58" i="26"/>
  <c r="V58" i="26"/>
  <c r="V58" i="27"/>
  <c r="V30" i="19"/>
  <c r="N33" i="19"/>
  <c r="X33" i="19"/>
  <c r="K33" i="19"/>
  <c r="W33" i="19"/>
  <c r="L33" i="19"/>
  <c r="Z33" i="19"/>
  <c r="M33" i="19"/>
  <c r="Y33" i="19"/>
  <c r="J33" i="19"/>
  <c r="J19" i="19" s="1"/>
  <c r="V33" i="19"/>
  <c r="Q34" i="19"/>
  <c r="AA10" i="19"/>
  <c r="AD34" i="19"/>
  <c r="Y34" i="19"/>
  <c r="V34" i="19"/>
  <c r="U34" i="19"/>
  <c r="J34" i="19"/>
  <c r="AB34" i="19"/>
  <c r="K34" i="19"/>
  <c r="K19" i="19" s="1"/>
  <c r="K50" i="19" s="1"/>
  <c r="K52" i="19" s="1"/>
  <c r="L34" i="19"/>
  <c r="X34" i="19"/>
  <c r="N34" i="19"/>
  <c r="N19" i="19" s="1"/>
  <c r="W34" i="19"/>
  <c r="Z34" i="19"/>
  <c r="AB10" i="19"/>
  <c r="AC34" i="19"/>
  <c r="AA34" i="19"/>
  <c r="AC10" i="19"/>
  <c r="O34" i="19"/>
  <c r="R34" i="19"/>
  <c r="Y65" i="19"/>
  <c r="X65" i="19"/>
  <c r="X58" i="19" s="1"/>
  <c r="W65" i="19"/>
  <c r="W58" i="19" s="1"/>
  <c r="V65" i="19"/>
  <c r="W30" i="19"/>
  <c r="S69" i="19"/>
  <c r="S57" i="19" s="1"/>
  <c r="R69" i="19"/>
  <c r="R57" i="19" s="1"/>
  <c r="Q69" i="19"/>
  <c r="Q57" i="19" s="1"/>
  <c r="P69" i="19"/>
  <c r="P57" i="19" s="1"/>
  <c r="Y68" i="19"/>
  <c r="X68" i="19"/>
  <c r="W68" i="19"/>
  <c r="V68" i="19"/>
  <c r="AB33" i="20"/>
  <c r="V33" i="20"/>
  <c r="V30" i="20"/>
  <c r="S69" i="20"/>
  <c r="S57" i="20" s="1"/>
  <c r="R69" i="20"/>
  <c r="R57" i="20" s="1"/>
  <c r="Q69" i="20"/>
  <c r="Q57" i="20" s="1"/>
  <c r="P69" i="20"/>
  <c r="P57" i="20" s="1"/>
  <c r="Y68" i="20"/>
  <c r="X68" i="20"/>
  <c r="W68" i="20"/>
  <c r="V68" i="20"/>
  <c r="AD33" i="20"/>
  <c r="R33" i="20"/>
  <c r="Y33" i="20"/>
  <c r="T33" i="20"/>
  <c r="AA33" i="20"/>
  <c r="M33" i="20"/>
  <c r="O33" i="20"/>
  <c r="AC33" i="20"/>
  <c r="AD10" i="20"/>
  <c r="AD4" i="20" s="1"/>
  <c r="AD16" i="20" s="1"/>
  <c r="Y65" i="20"/>
  <c r="Y58" i="20" s="1"/>
  <c r="X65" i="20"/>
  <c r="X58" i="20" s="1"/>
  <c r="W65" i="20"/>
  <c r="V65" i="20"/>
  <c r="Z33" i="20"/>
  <c r="L33" i="20"/>
  <c r="W33" i="20"/>
  <c r="W34" i="18"/>
  <c r="AD34" i="18"/>
  <c r="L34" i="18"/>
  <c r="X34" i="18"/>
  <c r="P34" i="18"/>
  <c r="AC34" i="18"/>
  <c r="T34" i="18"/>
  <c r="V34" i="18"/>
  <c r="N34" i="18"/>
  <c r="M34" i="18"/>
  <c r="AA34" i="18"/>
  <c r="AA19" i="18" s="1"/>
  <c r="AB34" i="18"/>
  <c r="AB19" i="18" s="1"/>
  <c r="Z34" i="18"/>
  <c r="S34" i="18"/>
  <c r="O34" i="18"/>
  <c r="K34" i="18"/>
  <c r="Q34" i="18"/>
  <c r="R34" i="18"/>
  <c r="Y34" i="18"/>
  <c r="U34" i="18"/>
  <c r="U19" i="18" s="1"/>
  <c r="J29" i="18"/>
  <c r="J19" i="18" s="1"/>
  <c r="Y65" i="18"/>
  <c r="Y58" i="18" s="1"/>
  <c r="X65" i="18"/>
  <c r="X58" i="18" s="1"/>
  <c r="W65" i="18"/>
  <c r="W58" i="18" s="1"/>
  <c r="V65" i="18"/>
  <c r="V58" i="18" s="1"/>
  <c r="AD10" i="18"/>
  <c r="AD4" i="18" s="1"/>
  <c r="AD16" i="18" s="1"/>
  <c r="AA10" i="18"/>
  <c r="AA4" i="18" s="1"/>
  <c r="AA16" i="18" s="1"/>
  <c r="AC10" i="18"/>
  <c r="AC4" i="18" s="1"/>
  <c r="AC16" i="18" s="1"/>
  <c r="AD33" i="14"/>
  <c r="R33" i="14"/>
  <c r="M33" i="14"/>
  <c r="S33" i="14"/>
  <c r="P33" i="14"/>
  <c r="Y33" i="14"/>
  <c r="AA33" i="14"/>
  <c r="U33" i="14"/>
  <c r="AC33" i="14"/>
  <c r="K33" i="14"/>
  <c r="O33" i="14"/>
  <c r="Q33" i="14"/>
  <c r="X33" i="14"/>
  <c r="J33" i="14"/>
  <c r="L33" i="14"/>
  <c r="Z33" i="14"/>
  <c r="W33" i="14"/>
  <c r="AB33" i="14"/>
  <c r="N33" i="14"/>
  <c r="V33" i="14"/>
  <c r="AA10" i="14"/>
  <c r="AA4" i="14" s="1"/>
  <c r="AA16" i="14" s="1"/>
  <c r="AC10" i="14"/>
  <c r="AC4" i="14" s="1"/>
  <c r="AC16" i="14" s="1"/>
  <c r="AB10" i="14"/>
  <c r="AB4" i="14" s="1"/>
  <c r="AB16" i="14" s="1"/>
  <c r="Y65" i="14"/>
  <c r="X65" i="14"/>
  <c r="V65" i="14"/>
  <c r="W65" i="14"/>
  <c r="AC34" i="14"/>
  <c r="Z34" i="14"/>
  <c r="T34" i="14"/>
  <c r="T19" i="14" s="1"/>
  <c r="M34" i="14"/>
  <c r="V30" i="14"/>
  <c r="S69" i="14"/>
  <c r="S57" i="14" s="1"/>
  <c r="R69" i="14"/>
  <c r="R57" i="14" s="1"/>
  <c r="Q69" i="14"/>
  <c r="Q57" i="14" s="1"/>
  <c r="P69" i="14"/>
  <c r="P57" i="14" s="1"/>
  <c r="Y68" i="14"/>
  <c r="X68" i="14"/>
  <c r="W68" i="14"/>
  <c r="V68" i="14"/>
  <c r="X68" i="15"/>
  <c r="Y68" i="15"/>
  <c r="R69" i="15"/>
  <c r="R57" i="15" s="1"/>
  <c r="P69" i="15"/>
  <c r="P57" i="15" s="1"/>
  <c r="Q69" i="15"/>
  <c r="Q57" i="15" s="1"/>
  <c r="S69" i="15"/>
  <c r="S57" i="15" s="1"/>
  <c r="Q33" i="12"/>
  <c r="K33" i="12"/>
  <c r="J33" i="12"/>
  <c r="L33" i="12"/>
  <c r="W33" i="12"/>
  <c r="Z33" i="12"/>
  <c r="S29" i="12"/>
  <c r="AC33" i="12"/>
  <c r="X33" i="12"/>
  <c r="V33" i="12"/>
  <c r="S33" i="12"/>
  <c r="U33" i="12"/>
  <c r="P33" i="12"/>
  <c r="T33" i="12"/>
  <c r="T19" i="12" s="1"/>
  <c r="AB33" i="12"/>
  <c r="AB19" i="12" s="1"/>
  <c r="AD33" i="12"/>
  <c r="AD19" i="12" s="1"/>
  <c r="R33" i="12"/>
  <c r="R19" i="12" s="1"/>
  <c r="Y33" i="12"/>
  <c r="Y19" i="12" s="1"/>
  <c r="AA33" i="12"/>
  <c r="AA19" i="12" s="1"/>
  <c r="M33" i="12"/>
  <c r="AD29" i="12"/>
  <c r="U29" i="12"/>
  <c r="AA29" i="12"/>
  <c r="M29" i="12"/>
  <c r="Y29" i="12"/>
  <c r="Z29" i="12"/>
  <c r="N29" i="12"/>
  <c r="K29" i="12"/>
  <c r="K19" i="12" s="1"/>
  <c r="K50" i="12" s="1"/>
  <c r="K52" i="12" s="1"/>
  <c r="O29" i="12"/>
  <c r="AA9" i="12"/>
  <c r="AB9" i="12"/>
  <c r="AC9" i="12"/>
  <c r="P29" i="12"/>
  <c r="J29" i="12"/>
  <c r="J19" i="12" s="1"/>
  <c r="AB29" i="12"/>
  <c r="L29" i="12"/>
  <c r="L19" i="12" s="1"/>
  <c r="L50" i="12" s="1"/>
  <c r="L52" i="12" s="1"/>
  <c r="T29" i="12"/>
  <c r="X29" i="12"/>
  <c r="Q29" i="12"/>
  <c r="V29" i="12"/>
  <c r="AC29" i="12"/>
  <c r="W29" i="12"/>
  <c r="Q16" i="7"/>
  <c r="U16" i="7" s="1"/>
  <c r="C118" i="7"/>
  <c r="E137" i="7"/>
  <c r="C137" i="7"/>
  <c r="B137" i="7"/>
  <c r="B120" i="7"/>
  <c r="E139" i="7"/>
  <c r="C139" i="7"/>
  <c r="B139" i="7"/>
  <c r="D139" i="7"/>
  <c r="C138" i="7"/>
  <c r="E138" i="7"/>
  <c r="B138" i="7"/>
  <c r="D137" i="7"/>
  <c r="R8" i="41"/>
  <c r="R11" i="41"/>
  <c r="R12" i="41"/>
  <c r="S7" i="41"/>
  <c r="R13" i="41"/>
  <c r="R9" i="41"/>
  <c r="R10" i="41"/>
  <c r="Q13" i="40"/>
  <c r="Q9" i="40"/>
  <c r="Q12" i="40"/>
  <c r="Q10" i="40"/>
  <c r="Q8" i="40"/>
  <c r="Q11" i="40"/>
  <c r="R7" i="40"/>
  <c r="Q8" i="39"/>
  <c r="Q11" i="39"/>
  <c r="Q12" i="39"/>
  <c r="R7" i="39"/>
  <c r="Q13" i="39"/>
  <c r="Q9" i="39"/>
  <c r="Q10" i="39"/>
  <c r="Q10" i="38"/>
  <c r="Q8" i="38"/>
  <c r="Q12" i="38"/>
  <c r="R7" i="38"/>
  <c r="Q13" i="38"/>
  <c r="Q9" i="38"/>
  <c r="Q11" i="38"/>
  <c r="B118" i="7"/>
  <c r="E118" i="7"/>
  <c r="D120" i="7"/>
  <c r="E120" i="7"/>
  <c r="C120" i="7"/>
  <c r="S18" i="7"/>
  <c r="W18" i="7" s="1"/>
  <c r="Q18" i="7"/>
  <c r="U18" i="7" s="1"/>
  <c r="D118" i="7"/>
  <c r="R18" i="7"/>
  <c r="V18" i="7" s="1"/>
  <c r="C119" i="7"/>
  <c r="D119" i="7"/>
  <c r="E119" i="7"/>
  <c r="B119" i="7"/>
  <c r="Q13" i="37"/>
  <c r="Q10" i="37"/>
  <c r="Q9" i="37"/>
  <c r="Q8" i="37"/>
  <c r="Q11" i="37"/>
  <c r="Q12" i="37"/>
  <c r="R7" i="37"/>
  <c r="Q13" i="36"/>
  <c r="Q9" i="36"/>
  <c r="Q10" i="36"/>
  <c r="Q11" i="36"/>
  <c r="Q8" i="36"/>
  <c r="Q12" i="36"/>
  <c r="R7" i="36"/>
  <c r="Q8" i="35"/>
  <c r="Q11" i="35"/>
  <c r="Q12" i="35"/>
  <c r="R7" i="35"/>
  <c r="Q10" i="35"/>
  <c r="Q13" i="35"/>
  <c r="Q9" i="35"/>
  <c r="R10" i="34"/>
  <c r="R8" i="34"/>
  <c r="S7" i="34"/>
  <c r="R11" i="34"/>
  <c r="R12" i="34"/>
  <c r="R13" i="34"/>
  <c r="R9" i="34"/>
  <c r="AD50" i="30"/>
  <c r="AA19" i="29"/>
  <c r="AA50" i="29" s="1"/>
  <c r="P19" i="29"/>
  <c r="P50" i="29" s="1"/>
  <c r="P52" i="29" s="1"/>
  <c r="U19" i="29"/>
  <c r="U50" i="29" s="1"/>
  <c r="T19" i="29"/>
  <c r="T52" i="29" s="1"/>
  <c r="V19" i="29"/>
  <c r="V50" i="29" s="1"/>
  <c r="W19" i="29"/>
  <c r="W52" i="29" s="1"/>
  <c r="X19" i="29"/>
  <c r="X50" i="29" s="1"/>
  <c r="T52" i="28"/>
  <c r="K19" i="28"/>
  <c r="K50" i="28" s="1"/>
  <c r="K52" i="28" s="1"/>
  <c r="Z52" i="28"/>
  <c r="Z50" i="28"/>
  <c r="Q52" i="28"/>
  <c r="Q50" i="28"/>
  <c r="O52" i="28"/>
  <c r="O50" i="28"/>
  <c r="AD50" i="28"/>
  <c r="R52" i="28"/>
  <c r="R50" i="28"/>
  <c r="AA52" i="26"/>
  <c r="AA50" i="26"/>
  <c r="U50" i="26"/>
  <c r="U52" i="26"/>
  <c r="J52" i="26"/>
  <c r="Y50" i="26"/>
  <c r="Y52" i="26"/>
  <c r="K52" i="26"/>
  <c r="K50" i="26"/>
  <c r="R52" i="26"/>
  <c r="R50" i="26"/>
  <c r="M50" i="26"/>
  <c r="M52" i="26"/>
  <c r="S52" i="26"/>
  <c r="S50" i="26"/>
  <c r="AD52" i="26"/>
  <c r="AD50" i="26"/>
  <c r="Z50" i="26"/>
  <c r="Z52" i="26"/>
  <c r="V50" i="26"/>
  <c r="V52" i="26"/>
  <c r="X50" i="26"/>
  <c r="X52" i="26"/>
  <c r="AC52" i="26"/>
  <c r="AC50" i="26"/>
  <c r="O52" i="26"/>
  <c r="O50" i="26"/>
  <c r="Q52" i="26"/>
  <c r="Q50" i="26"/>
  <c r="L50" i="26"/>
  <c r="L52" i="26"/>
  <c r="T50" i="26"/>
  <c r="T52" i="26"/>
  <c r="AB52" i="26"/>
  <c r="AB50" i="26"/>
  <c r="W50" i="26"/>
  <c r="W52" i="26"/>
  <c r="O52" i="27"/>
  <c r="O50" i="27"/>
  <c r="V50" i="27"/>
  <c r="V52" i="27"/>
  <c r="AD50" i="27"/>
  <c r="AD52" i="27"/>
  <c r="Z52" i="27"/>
  <c r="Z50" i="27"/>
  <c r="U50" i="27"/>
  <c r="U52" i="27"/>
  <c r="AC50" i="27"/>
  <c r="AC52" i="27"/>
  <c r="X50" i="27"/>
  <c r="X52" i="27"/>
  <c r="T50" i="27"/>
  <c r="T52" i="27"/>
  <c r="Y52" i="27"/>
  <c r="Y50" i="27"/>
  <c r="S50" i="27"/>
  <c r="S52" i="27"/>
  <c r="R50" i="27"/>
  <c r="R52" i="27"/>
  <c r="Q50" i="27"/>
  <c r="Q52" i="27"/>
  <c r="AB52" i="27"/>
  <c r="AB50" i="27"/>
  <c r="W50" i="27"/>
  <c r="W52" i="27"/>
  <c r="AA52" i="27"/>
  <c r="AA50" i="27"/>
  <c r="J19" i="25"/>
  <c r="J50" i="25" s="1"/>
  <c r="N19" i="25"/>
  <c r="N50" i="25" s="1"/>
  <c r="N52" i="25" s="1"/>
  <c r="AD50" i="25"/>
  <c r="AD52" i="25"/>
  <c r="X52" i="25"/>
  <c r="X50" i="25"/>
  <c r="AC50" i="25"/>
  <c r="AC52" i="25"/>
  <c r="U19" i="25"/>
  <c r="AA52" i="25"/>
  <c r="AA50" i="25"/>
  <c r="P19" i="25"/>
  <c r="Z52" i="25"/>
  <c r="Z50" i="25"/>
  <c r="Y52" i="25"/>
  <c r="Y50" i="25"/>
  <c r="AB52" i="25"/>
  <c r="AB50" i="25"/>
  <c r="AD10" i="16"/>
  <c r="AD4" i="16" s="1"/>
  <c r="AD16" i="16" s="1"/>
  <c r="V65" i="16"/>
  <c r="Y65" i="16"/>
  <c r="X65" i="16"/>
  <c r="W65" i="16"/>
  <c r="J30" i="16"/>
  <c r="V68" i="16"/>
  <c r="S69" i="16"/>
  <c r="S57" i="16" s="1"/>
  <c r="R69" i="16"/>
  <c r="R57" i="16" s="1"/>
  <c r="Q69" i="16"/>
  <c r="Q57" i="16" s="1"/>
  <c r="P69" i="16"/>
  <c r="P57" i="16" s="1"/>
  <c r="Y68" i="16"/>
  <c r="X68" i="16"/>
  <c r="W68" i="16"/>
  <c r="S69" i="13"/>
  <c r="S57" i="13" s="1"/>
  <c r="R69" i="13"/>
  <c r="R57" i="13" s="1"/>
  <c r="Q69" i="13"/>
  <c r="Q57" i="13" s="1"/>
  <c r="P69" i="13"/>
  <c r="P57" i="13" s="1"/>
  <c r="Y68" i="13"/>
  <c r="Y58" i="13" s="1"/>
  <c r="X68" i="13"/>
  <c r="X58" i="13" s="1"/>
  <c r="W68" i="13"/>
  <c r="W58" i="13" s="1"/>
  <c r="V68" i="13"/>
  <c r="V58" i="13" s="1"/>
  <c r="V68" i="12"/>
  <c r="S69" i="12"/>
  <c r="S57" i="12" s="1"/>
  <c r="R69" i="12"/>
  <c r="R57" i="12" s="1"/>
  <c r="Q69" i="12"/>
  <c r="Q57" i="12" s="1"/>
  <c r="P69" i="12"/>
  <c r="P57" i="12" s="1"/>
  <c r="Y68" i="12"/>
  <c r="X68" i="12"/>
  <c r="W68" i="12"/>
  <c r="AA10" i="12"/>
  <c r="AA4" i="12" s="1"/>
  <c r="AA16" i="12" s="1"/>
  <c r="V65" i="12"/>
  <c r="Y65" i="12"/>
  <c r="X65" i="12"/>
  <c r="W65" i="12"/>
  <c r="Z34" i="11"/>
  <c r="M34" i="11"/>
  <c r="N34" i="11"/>
  <c r="O34" i="11"/>
  <c r="AA34" i="11"/>
  <c r="V34" i="11"/>
  <c r="P34" i="11"/>
  <c r="AB34" i="11"/>
  <c r="Q34" i="11"/>
  <c r="AC34" i="11"/>
  <c r="R34" i="11"/>
  <c r="W34" i="11"/>
  <c r="AD34" i="11"/>
  <c r="Y34" i="11"/>
  <c r="K30" i="11"/>
  <c r="S69" i="11"/>
  <c r="S57" i="11" s="1"/>
  <c r="R69" i="11"/>
  <c r="R57" i="11" s="1"/>
  <c r="Q69" i="11"/>
  <c r="Q57" i="11" s="1"/>
  <c r="P69" i="11"/>
  <c r="P57" i="11" s="1"/>
  <c r="Y68" i="11"/>
  <c r="X68" i="11"/>
  <c r="W68" i="11"/>
  <c r="V68" i="11"/>
  <c r="K34" i="11"/>
  <c r="T34" i="11"/>
  <c r="U34" i="11"/>
  <c r="Y65" i="11"/>
  <c r="X65" i="11"/>
  <c r="W65" i="11"/>
  <c r="V65" i="11"/>
  <c r="L34" i="11"/>
  <c r="J34" i="11"/>
  <c r="AB33" i="10"/>
  <c r="P33" i="10"/>
  <c r="N33" i="10"/>
  <c r="AA10" i="10"/>
  <c r="AA4" i="10" s="1"/>
  <c r="AA16" i="10" s="1"/>
  <c r="AB10" i="10"/>
  <c r="AB4" i="10" s="1"/>
  <c r="AB16" i="10" s="1"/>
  <c r="AC10" i="10"/>
  <c r="AC4" i="10" s="1"/>
  <c r="AC16" i="10" s="1"/>
  <c r="Y65" i="10"/>
  <c r="X65" i="10"/>
  <c r="W65" i="10"/>
  <c r="V65" i="10"/>
  <c r="V30" i="10"/>
  <c r="S69" i="10"/>
  <c r="S57" i="10" s="1"/>
  <c r="R69" i="10"/>
  <c r="R57" i="10" s="1"/>
  <c r="Q69" i="10"/>
  <c r="Q57" i="10" s="1"/>
  <c r="P69" i="10"/>
  <c r="P57" i="10" s="1"/>
  <c r="Y68" i="10"/>
  <c r="X68" i="10"/>
  <c r="W68" i="10"/>
  <c r="V68" i="10"/>
  <c r="M44" i="29"/>
  <c r="M33" i="29" s="1"/>
  <c r="M19" i="29" s="1"/>
  <c r="M50" i="29" s="1"/>
  <c r="M52" i="29" s="1"/>
  <c r="L44" i="29"/>
  <c r="L33" i="29" s="1"/>
  <c r="L19" i="29" s="1"/>
  <c r="L50" i="29" s="1"/>
  <c r="K44" i="29"/>
  <c r="K33" i="29" s="1"/>
  <c r="K19" i="29" s="1"/>
  <c r="K50" i="29" s="1"/>
  <c r="K52" i="29" s="1"/>
  <c r="J44" i="29"/>
  <c r="J33" i="29" s="1"/>
  <c r="J19" i="29" s="1"/>
  <c r="J52" i="29" s="1"/>
  <c r="U33" i="21"/>
  <c r="S33" i="21"/>
  <c r="N33" i="21"/>
  <c r="Q69" i="21"/>
  <c r="Q57" i="21" s="1"/>
  <c r="P69" i="21"/>
  <c r="P57" i="21" s="1"/>
  <c r="Y68" i="21"/>
  <c r="Y58" i="21" s="1"/>
  <c r="X68" i="21"/>
  <c r="X58" i="21" s="1"/>
  <c r="W68" i="21"/>
  <c r="W58" i="21" s="1"/>
  <c r="V68" i="21"/>
  <c r="V58" i="21" s="1"/>
  <c r="S69" i="21"/>
  <c r="S57" i="21" s="1"/>
  <c r="R69" i="21"/>
  <c r="R57" i="21" s="1"/>
  <c r="M33" i="21"/>
  <c r="AB33" i="21"/>
  <c r="R33" i="21"/>
  <c r="J50" i="32"/>
  <c r="O52" i="31"/>
  <c r="Y52" i="31"/>
  <c r="O19" i="29"/>
  <c r="O52" i="29" s="1"/>
  <c r="N19" i="29"/>
  <c r="N50" i="29" s="1"/>
  <c r="N52" i="29" s="1"/>
  <c r="U52" i="30"/>
  <c r="M52" i="30"/>
  <c r="T50" i="30"/>
  <c r="R52" i="30"/>
  <c r="W50" i="30"/>
  <c r="AC52" i="29"/>
  <c r="AA52" i="29"/>
  <c r="AC52" i="31"/>
  <c r="AA52" i="31"/>
  <c r="V50" i="31"/>
  <c r="M50" i="31"/>
  <c r="T52" i="31"/>
  <c r="AC10" i="15"/>
  <c r="AC4" i="15" s="1"/>
  <c r="AC16" i="15" s="1"/>
  <c r="Y65" i="15"/>
  <c r="Y58" i="15" s="1"/>
  <c r="X65" i="15"/>
  <c r="X58" i="15" s="1"/>
  <c r="W65" i="15"/>
  <c r="W58" i="15" s="1"/>
  <c r="V65" i="15"/>
  <c r="V58" i="15" s="1"/>
  <c r="V68" i="24"/>
  <c r="V58" i="24" s="1"/>
  <c r="S69" i="24"/>
  <c r="S57" i="24" s="1"/>
  <c r="R69" i="24"/>
  <c r="R57" i="24" s="1"/>
  <c r="Q69" i="24"/>
  <c r="Q57" i="24" s="1"/>
  <c r="P69" i="24"/>
  <c r="P57" i="24" s="1"/>
  <c r="Y68" i="24"/>
  <c r="Y58" i="24" s="1"/>
  <c r="X68" i="24"/>
  <c r="X58" i="24" s="1"/>
  <c r="W68" i="24"/>
  <c r="W58" i="24" s="1"/>
  <c r="AD52" i="33"/>
  <c r="AA52" i="33"/>
  <c r="T50" i="33"/>
  <c r="Q50" i="33"/>
  <c r="O50" i="33"/>
  <c r="N52" i="33"/>
  <c r="Z52" i="33"/>
  <c r="AB50" i="33"/>
  <c r="W52" i="33"/>
  <c r="X50" i="33"/>
  <c r="X52" i="33"/>
  <c r="N8" i="33"/>
  <c r="N10" i="33"/>
  <c r="N11" i="33"/>
  <c r="N12" i="33"/>
  <c r="O7" i="33"/>
  <c r="N13" i="33"/>
  <c r="N9" i="33"/>
  <c r="S50" i="33"/>
  <c r="S52" i="33"/>
  <c r="J50" i="33"/>
  <c r="J52" i="33"/>
  <c r="F97" i="33"/>
  <c r="AC52" i="33"/>
  <c r="AC50" i="33"/>
  <c r="M50" i="33"/>
  <c r="M52" i="33"/>
  <c r="U50" i="33"/>
  <c r="U52" i="33"/>
  <c r="V50" i="33"/>
  <c r="V52" i="33"/>
  <c r="X50" i="32"/>
  <c r="X52" i="32"/>
  <c r="M8" i="32"/>
  <c r="M11" i="32"/>
  <c r="M10" i="32"/>
  <c r="M12" i="32"/>
  <c r="N7" i="32"/>
  <c r="M13" i="32"/>
  <c r="M9" i="32"/>
  <c r="Q52" i="32"/>
  <c r="Q50" i="32"/>
  <c r="V50" i="32"/>
  <c r="V52" i="32"/>
  <c r="AD50" i="32"/>
  <c r="AD52" i="32"/>
  <c r="R50" i="32"/>
  <c r="R52" i="32"/>
  <c r="W50" i="32"/>
  <c r="W52" i="32"/>
  <c r="AC50" i="32"/>
  <c r="AC52" i="32"/>
  <c r="Y50" i="32"/>
  <c r="Y52" i="32"/>
  <c r="F97" i="32"/>
  <c r="AD50" i="31"/>
  <c r="AD52" i="31"/>
  <c r="L50" i="31"/>
  <c r="L52" i="31"/>
  <c r="Q50" i="31"/>
  <c r="Q52" i="31"/>
  <c r="S50" i="31"/>
  <c r="S52" i="31"/>
  <c r="X50" i="31"/>
  <c r="X52" i="31"/>
  <c r="M12" i="31"/>
  <c r="N7" i="31"/>
  <c r="M13" i="31"/>
  <c r="M9" i="31"/>
  <c r="M10" i="31"/>
  <c r="M8" i="31"/>
  <c r="M11" i="31"/>
  <c r="U50" i="31"/>
  <c r="U52" i="31"/>
  <c r="J50" i="31"/>
  <c r="J52" i="31" s="1"/>
  <c r="F97" i="31"/>
  <c r="W50" i="31"/>
  <c r="W52" i="31"/>
  <c r="Z52" i="31"/>
  <c r="Z50" i="31"/>
  <c r="R50" i="31"/>
  <c r="R52" i="31"/>
  <c r="J50" i="30"/>
  <c r="J52" i="30"/>
  <c r="Q50" i="30"/>
  <c r="Q52" i="30"/>
  <c r="N10" i="30"/>
  <c r="N8" i="30"/>
  <c r="N9" i="30"/>
  <c r="N11" i="30"/>
  <c r="N13" i="30"/>
  <c r="N12" i="30"/>
  <c r="O7" i="30"/>
  <c r="V50" i="30"/>
  <c r="V52" i="30"/>
  <c r="N50" i="30"/>
  <c r="N52" i="30"/>
  <c r="M12" i="29"/>
  <c r="N7" i="29"/>
  <c r="M13" i="29"/>
  <c r="M9" i="29"/>
  <c r="M10" i="29"/>
  <c r="M8" i="29"/>
  <c r="M11" i="29"/>
  <c r="Q50" i="29"/>
  <c r="Q52" i="29"/>
  <c r="Z50" i="29"/>
  <c r="Z52" i="29"/>
  <c r="AD50" i="29"/>
  <c r="AD52" i="29"/>
  <c r="AB50" i="29"/>
  <c r="AB52" i="29"/>
  <c r="Y50" i="29"/>
  <c r="Y52" i="29"/>
  <c r="R50" i="29"/>
  <c r="R52" i="29"/>
  <c r="S50" i="29"/>
  <c r="S52" i="29"/>
  <c r="L32" i="10"/>
  <c r="P32" i="10"/>
  <c r="S33" i="10"/>
  <c r="O33" i="10"/>
  <c r="X33" i="10"/>
  <c r="AD33" i="10"/>
  <c r="Z33" i="10"/>
  <c r="AA33" i="10"/>
  <c r="Y33" i="10"/>
  <c r="W19" i="25"/>
  <c r="R19" i="25"/>
  <c r="R50" i="25" s="1"/>
  <c r="R52" i="25" s="1"/>
  <c r="T19" i="25"/>
  <c r="T50" i="25" s="1"/>
  <c r="T52" i="25" s="1"/>
  <c r="V19" i="25"/>
  <c r="O19" i="25"/>
  <c r="L19" i="25"/>
  <c r="Q19" i="25"/>
  <c r="S19" i="25"/>
  <c r="S50" i="25" s="1"/>
  <c r="S52" i="25" s="1"/>
  <c r="J97" i="25"/>
  <c r="J98" i="25" s="1"/>
  <c r="M34" i="20"/>
  <c r="M19" i="20" s="1"/>
  <c r="AA34" i="20"/>
  <c r="U34" i="20"/>
  <c r="U19" i="20" s="1"/>
  <c r="Y34" i="20"/>
  <c r="J34" i="20"/>
  <c r="O34" i="20"/>
  <c r="V34" i="20"/>
  <c r="V19" i="20" s="1"/>
  <c r="Z34" i="20"/>
  <c r="Z19" i="20" s="1"/>
  <c r="P34" i="20"/>
  <c r="P19" i="20" s="1"/>
  <c r="P50" i="20" s="1"/>
  <c r="P52" i="20" s="1"/>
  <c r="AB34" i="20"/>
  <c r="Q34" i="20"/>
  <c r="K34" i="20"/>
  <c r="AC34" i="20"/>
  <c r="AC19" i="20" s="1"/>
  <c r="W34" i="20"/>
  <c r="R34" i="20"/>
  <c r="L34" i="20"/>
  <c r="AD34" i="20"/>
  <c r="X34" i="20"/>
  <c r="X19" i="20" s="1"/>
  <c r="N34" i="20"/>
  <c r="N19" i="20" s="1"/>
  <c r="N50" i="20" s="1"/>
  <c r="N52" i="20" s="1"/>
  <c r="J97" i="28"/>
  <c r="J98" i="28" s="1"/>
  <c r="K19" i="27"/>
  <c r="M19" i="27"/>
  <c r="L19" i="27"/>
  <c r="J19" i="27"/>
  <c r="J50" i="27" s="1"/>
  <c r="J97" i="27"/>
  <c r="J98" i="27" s="1"/>
  <c r="F97" i="26"/>
  <c r="M10" i="28"/>
  <c r="M8" i="28"/>
  <c r="M11" i="28"/>
  <c r="M12" i="28"/>
  <c r="N7" i="28"/>
  <c r="M13" i="28"/>
  <c r="M9" i="28"/>
  <c r="M12" i="27"/>
  <c r="N7" i="27"/>
  <c r="M11" i="27"/>
  <c r="M13" i="27"/>
  <c r="M9" i="27"/>
  <c r="M10" i="27"/>
  <c r="M8" i="27"/>
  <c r="N7" i="26"/>
  <c r="M8" i="26"/>
  <c r="M11" i="26"/>
  <c r="M12" i="26"/>
  <c r="M13" i="26"/>
  <c r="M9" i="26"/>
  <c r="M10" i="26"/>
  <c r="N9" i="25"/>
  <c r="N10" i="25"/>
  <c r="N13" i="25"/>
  <c r="N8" i="25"/>
  <c r="N11" i="25"/>
  <c r="O7" i="25"/>
  <c r="N12" i="25"/>
  <c r="K30" i="21"/>
  <c r="Q30" i="21"/>
  <c r="AA30" i="21"/>
  <c r="P33" i="21"/>
  <c r="Y33" i="21"/>
  <c r="Y19" i="21" s="1"/>
  <c r="X33" i="21"/>
  <c r="V33" i="21"/>
  <c r="L33" i="21"/>
  <c r="J33" i="21"/>
  <c r="T33" i="21"/>
  <c r="AC33" i="21"/>
  <c r="Q33" i="21"/>
  <c r="W33" i="21"/>
  <c r="AA33" i="21"/>
  <c r="K33" i="21"/>
  <c r="AD33" i="21"/>
  <c r="O33" i="21"/>
  <c r="U33" i="13"/>
  <c r="V33" i="13"/>
  <c r="X33" i="13"/>
  <c r="O33" i="13"/>
  <c r="AA33" i="13"/>
  <c r="R33" i="13"/>
  <c r="R19" i="13" s="1"/>
  <c r="AB33" i="13"/>
  <c r="AC33" i="13"/>
  <c r="L33" i="13"/>
  <c r="W30" i="24"/>
  <c r="Z30" i="24"/>
  <c r="L30" i="24"/>
  <c r="S31" i="24"/>
  <c r="T31" i="24"/>
  <c r="K30" i="24"/>
  <c r="U31" i="24"/>
  <c r="P31" i="24"/>
  <c r="Y31" i="24"/>
  <c r="AB31" i="24"/>
  <c r="W31" i="24"/>
  <c r="N31" i="24"/>
  <c r="Z31" i="24"/>
  <c r="O31" i="24"/>
  <c r="V34" i="24"/>
  <c r="V19" i="24" s="1"/>
  <c r="Y30" i="24"/>
  <c r="AA31" i="24"/>
  <c r="J31" i="24"/>
  <c r="O30" i="24"/>
  <c r="V31" i="24"/>
  <c r="AA30" i="24"/>
  <c r="K31" i="24"/>
  <c r="K34" i="24"/>
  <c r="X34" i="24"/>
  <c r="X19" i="24" s="1"/>
  <c r="L31" i="24"/>
  <c r="AC31" i="24"/>
  <c r="X31" i="24"/>
  <c r="R31" i="24"/>
  <c r="Q31" i="24"/>
  <c r="AD31" i="24"/>
  <c r="N30" i="24"/>
  <c r="P30" i="24"/>
  <c r="Q30" i="24"/>
  <c r="AD30" i="24"/>
  <c r="S30" i="24"/>
  <c r="M30" i="24"/>
  <c r="X30" i="24"/>
  <c r="T30" i="24"/>
  <c r="AB30" i="24"/>
  <c r="U30" i="24"/>
  <c r="AC30" i="24"/>
  <c r="J30" i="24"/>
  <c r="V30" i="24"/>
  <c r="R30" i="24"/>
  <c r="W34" i="24"/>
  <c r="W19" i="24" s="1"/>
  <c r="L34" i="24"/>
  <c r="R19" i="22"/>
  <c r="X19" i="22"/>
  <c r="R30" i="21"/>
  <c r="S30" i="21"/>
  <c r="T30" i="21"/>
  <c r="U30" i="21"/>
  <c r="AB30" i="21"/>
  <c r="AC30" i="21"/>
  <c r="J30" i="21"/>
  <c r="V30" i="21"/>
  <c r="W30" i="21"/>
  <c r="AD30" i="21"/>
  <c r="X30" i="21"/>
  <c r="L30" i="21"/>
  <c r="P30" i="21"/>
  <c r="M30" i="21"/>
  <c r="N30" i="21"/>
  <c r="Z30" i="21"/>
  <c r="O30" i="21"/>
  <c r="Y30" i="21"/>
  <c r="T34" i="21"/>
  <c r="Z34" i="21"/>
  <c r="Z19" i="21" s="1"/>
  <c r="K29" i="21"/>
  <c r="P34" i="21"/>
  <c r="O34" i="21"/>
  <c r="U34" i="21"/>
  <c r="AA34" i="21"/>
  <c r="J34" i="21"/>
  <c r="Q34" i="21"/>
  <c r="V34" i="21"/>
  <c r="AC34" i="21"/>
  <c r="AB34" i="21"/>
  <c r="K34" i="21"/>
  <c r="W34" i="21"/>
  <c r="L34" i="21"/>
  <c r="X34" i="21"/>
  <c r="R34" i="21"/>
  <c r="M34" i="21"/>
  <c r="AD34" i="21"/>
  <c r="N34" i="21"/>
  <c r="X29" i="21"/>
  <c r="W29" i="21"/>
  <c r="M29" i="21"/>
  <c r="Y29" i="21"/>
  <c r="N29" i="21"/>
  <c r="Z29" i="21"/>
  <c r="O29" i="21"/>
  <c r="P29" i="21"/>
  <c r="AB29" i="21"/>
  <c r="AA29" i="21"/>
  <c r="Q29" i="21"/>
  <c r="R29" i="21"/>
  <c r="AD29" i="21"/>
  <c r="AC29" i="21"/>
  <c r="T29" i="21"/>
  <c r="S29" i="21"/>
  <c r="U29" i="21"/>
  <c r="J29" i="21"/>
  <c r="V29" i="21"/>
  <c r="S34" i="21"/>
  <c r="O34" i="24"/>
  <c r="O19" i="24" s="1"/>
  <c r="M34" i="24"/>
  <c r="M19" i="24" s="1"/>
  <c r="Y34" i="24"/>
  <c r="Y19" i="24" s="1"/>
  <c r="N34" i="24"/>
  <c r="N19" i="24" s="1"/>
  <c r="P34" i="24"/>
  <c r="P19" i="24" s="1"/>
  <c r="P50" i="24" s="1"/>
  <c r="P52" i="24" s="1"/>
  <c r="AB34" i="24"/>
  <c r="AB19" i="24" s="1"/>
  <c r="Q34" i="24"/>
  <c r="Q19" i="24" s="1"/>
  <c r="AC34" i="24"/>
  <c r="AC19" i="24" s="1"/>
  <c r="R34" i="24"/>
  <c r="R19" i="24" s="1"/>
  <c r="S34" i="24"/>
  <c r="S19" i="24" s="1"/>
  <c r="AD34" i="24"/>
  <c r="AD19" i="24" s="1"/>
  <c r="T34" i="24"/>
  <c r="T19" i="24" s="1"/>
  <c r="AA34" i="24"/>
  <c r="AA19" i="24" s="1"/>
  <c r="U34" i="24"/>
  <c r="U19" i="24" s="1"/>
  <c r="Z34" i="24"/>
  <c r="Z19" i="24" s="1"/>
  <c r="L29" i="24"/>
  <c r="M29" i="24"/>
  <c r="Q29" i="24"/>
  <c r="R29" i="24"/>
  <c r="X29" i="24"/>
  <c r="AC29" i="24"/>
  <c r="Y29" i="24"/>
  <c r="AD29" i="24"/>
  <c r="W29" i="24"/>
  <c r="S29" i="24"/>
  <c r="N29" i="24"/>
  <c r="J29" i="24"/>
  <c r="J19" i="24" s="1"/>
  <c r="Z29" i="24"/>
  <c r="K29" i="24"/>
  <c r="O29" i="24"/>
  <c r="T29" i="24"/>
  <c r="AA29" i="24"/>
  <c r="U29" i="24"/>
  <c r="V29" i="24"/>
  <c r="P29" i="24"/>
  <c r="L10" i="24"/>
  <c r="L8" i="24"/>
  <c r="L11" i="24"/>
  <c r="L12" i="24"/>
  <c r="M7" i="24"/>
  <c r="L13" i="24"/>
  <c r="L9" i="24"/>
  <c r="H97" i="24"/>
  <c r="H98" i="24" s="1"/>
  <c r="AA4" i="24"/>
  <c r="AA16" i="24" s="1"/>
  <c r="H97" i="22"/>
  <c r="H98" i="22" s="1"/>
  <c r="AA19" i="22"/>
  <c r="AB19" i="22"/>
  <c r="J97" i="22"/>
  <c r="J98" i="22" s="1"/>
  <c r="Z19" i="22"/>
  <c r="AD19" i="22"/>
  <c r="M13" i="22"/>
  <c r="M9" i="22"/>
  <c r="M10" i="22"/>
  <c r="M8" i="22"/>
  <c r="M11" i="22"/>
  <c r="M12" i="22"/>
  <c r="N7" i="22"/>
  <c r="H97" i="21"/>
  <c r="H98" i="21" s="1"/>
  <c r="L11" i="21"/>
  <c r="L12" i="21"/>
  <c r="M7" i="21"/>
  <c r="L13" i="21"/>
  <c r="L9" i="21"/>
  <c r="L10" i="21"/>
  <c r="L8" i="21"/>
  <c r="AA4" i="21"/>
  <c r="AA16" i="21" s="1"/>
  <c r="P34" i="19"/>
  <c r="M34" i="19"/>
  <c r="S34" i="19"/>
  <c r="S19" i="19" s="1"/>
  <c r="O33" i="19"/>
  <c r="O19" i="19" s="1"/>
  <c r="AA33" i="19"/>
  <c r="P33" i="19"/>
  <c r="AB33" i="19"/>
  <c r="AB19" i="19" s="1"/>
  <c r="U33" i="19"/>
  <c r="Q33" i="19"/>
  <c r="AC33" i="19"/>
  <c r="R33" i="19"/>
  <c r="R19" i="19" s="1"/>
  <c r="T33" i="19"/>
  <c r="T19" i="19" s="1"/>
  <c r="AD33" i="19"/>
  <c r="AD19" i="19" s="1"/>
  <c r="J97" i="19"/>
  <c r="J98" i="19" s="1"/>
  <c r="S34" i="20"/>
  <c r="S19" i="20" s="1"/>
  <c r="Q19" i="20"/>
  <c r="W30" i="20"/>
  <c r="M31" i="20"/>
  <c r="AA30" i="20"/>
  <c r="Z30" i="20"/>
  <c r="AD30" i="20"/>
  <c r="P29" i="20"/>
  <c r="Q29" i="20"/>
  <c r="AC29" i="20"/>
  <c r="L30" i="20"/>
  <c r="K30" i="20"/>
  <c r="AA10" i="20"/>
  <c r="AA4" i="20" s="1"/>
  <c r="AA16" i="20" s="1"/>
  <c r="AB10" i="20"/>
  <c r="AB4" i="20" s="1"/>
  <c r="AB16" i="20" s="1"/>
  <c r="S31" i="20"/>
  <c r="J31" i="20"/>
  <c r="T31" i="20"/>
  <c r="R31" i="20"/>
  <c r="W31" i="20"/>
  <c r="AC31" i="20"/>
  <c r="K31" i="20"/>
  <c r="Q30" i="20"/>
  <c r="R30" i="20"/>
  <c r="Z31" i="20"/>
  <c r="U31" i="20"/>
  <c r="X30" i="20"/>
  <c r="M30" i="20"/>
  <c r="S30" i="20"/>
  <c r="X31" i="20"/>
  <c r="Q31" i="20"/>
  <c r="AB31" i="20"/>
  <c r="Y30" i="20"/>
  <c r="L31" i="20"/>
  <c r="P31" i="20"/>
  <c r="O30" i="20"/>
  <c r="T30" i="20"/>
  <c r="V31" i="20"/>
  <c r="P30" i="20"/>
  <c r="U30" i="20"/>
  <c r="N30" i="20"/>
  <c r="AB30" i="20"/>
  <c r="J30" i="20"/>
  <c r="AC30" i="20"/>
  <c r="AB29" i="20"/>
  <c r="T29" i="20"/>
  <c r="U29" i="20"/>
  <c r="J29" i="20"/>
  <c r="V29" i="20"/>
  <c r="L29" i="20"/>
  <c r="AC10" i="20"/>
  <c r="AC4" i="20" s="1"/>
  <c r="AC16" i="20" s="1"/>
  <c r="AD31" i="20"/>
  <c r="N31" i="20"/>
  <c r="O29" i="20"/>
  <c r="AA29" i="20"/>
  <c r="X29" i="20"/>
  <c r="R29" i="20"/>
  <c r="O31" i="20"/>
  <c r="K29" i="20"/>
  <c r="AD29" i="20"/>
  <c r="AA31" i="20"/>
  <c r="M29" i="20"/>
  <c r="W29" i="20"/>
  <c r="Y29" i="20"/>
  <c r="S29" i="20"/>
  <c r="N29" i="20"/>
  <c r="V29" i="18"/>
  <c r="W19" i="18"/>
  <c r="AA29" i="18"/>
  <c r="N29" i="18"/>
  <c r="K29" i="18"/>
  <c r="O29" i="18"/>
  <c r="R29" i="18"/>
  <c r="Q29" i="18"/>
  <c r="AC29" i="18"/>
  <c r="L29" i="18"/>
  <c r="L19" i="18" s="1"/>
  <c r="AD29" i="18"/>
  <c r="X29" i="18"/>
  <c r="P29" i="18"/>
  <c r="P19" i="18" s="1"/>
  <c r="P50" i="18" s="1"/>
  <c r="P52" i="18" s="1"/>
  <c r="M29" i="18"/>
  <c r="S29" i="18"/>
  <c r="Y29" i="18"/>
  <c r="T29" i="18"/>
  <c r="W29" i="18"/>
  <c r="AB29" i="18"/>
  <c r="Z29" i="18"/>
  <c r="S19" i="18"/>
  <c r="K19" i="18"/>
  <c r="K50" i="18" s="1"/>
  <c r="K52" i="18" s="1"/>
  <c r="AA10" i="17"/>
  <c r="AA4" i="17" s="1"/>
  <c r="T19" i="17"/>
  <c r="AB10" i="17"/>
  <c r="AB4" i="17" s="1"/>
  <c r="AC10" i="17"/>
  <c r="AC4" i="17" s="1"/>
  <c r="AD10" i="17"/>
  <c r="AD4" i="17" s="1"/>
  <c r="M31" i="17"/>
  <c r="AA31" i="17"/>
  <c r="Z31" i="17"/>
  <c r="P31" i="17"/>
  <c r="Q31" i="17"/>
  <c r="AC31" i="17"/>
  <c r="AB31" i="17"/>
  <c r="R31" i="17"/>
  <c r="AD31" i="17"/>
  <c r="N31" i="17"/>
  <c r="U31" i="17"/>
  <c r="J31" i="17"/>
  <c r="Y19" i="17"/>
  <c r="V31" i="17"/>
  <c r="K31" i="17"/>
  <c r="W31" i="17"/>
  <c r="L31" i="17"/>
  <c r="X31" i="17"/>
  <c r="S31" i="17"/>
  <c r="Y31" i="17"/>
  <c r="O31" i="17"/>
  <c r="X19" i="17"/>
  <c r="U19" i="17"/>
  <c r="M19" i="17"/>
  <c r="O19" i="17"/>
  <c r="J19" i="17"/>
  <c r="V19" i="18"/>
  <c r="Z19" i="18"/>
  <c r="R19" i="18"/>
  <c r="T19" i="20"/>
  <c r="H97" i="20"/>
  <c r="H98" i="20" s="1"/>
  <c r="O19" i="20"/>
  <c r="L12" i="20"/>
  <c r="M7" i="20"/>
  <c r="L11" i="20"/>
  <c r="L13" i="20"/>
  <c r="L9" i="20"/>
  <c r="L10" i="20"/>
  <c r="L8" i="20"/>
  <c r="Y19" i="20"/>
  <c r="H97" i="19"/>
  <c r="H98" i="19" s="1"/>
  <c r="M10" i="19"/>
  <c r="M8" i="19"/>
  <c r="M11" i="19"/>
  <c r="M12" i="19"/>
  <c r="N7" i="19"/>
  <c r="M13" i="19"/>
  <c r="M9" i="19"/>
  <c r="AA9" i="19"/>
  <c r="AC9" i="19"/>
  <c r="AC4" i="19" s="1"/>
  <c r="AC16" i="19" s="1"/>
  <c r="AB9" i="19"/>
  <c r="H97" i="18"/>
  <c r="H98" i="18" s="1"/>
  <c r="X19" i="18"/>
  <c r="T19" i="18"/>
  <c r="Q19" i="18"/>
  <c r="L13" i="18"/>
  <c r="L9" i="18"/>
  <c r="L10" i="18"/>
  <c r="L11" i="18"/>
  <c r="L8" i="18"/>
  <c r="L12" i="18"/>
  <c r="M7" i="18"/>
  <c r="AC19" i="18"/>
  <c r="Y19" i="18"/>
  <c r="J97" i="18"/>
  <c r="J98" i="18" s="1"/>
  <c r="AD19" i="18"/>
  <c r="J97" i="17"/>
  <c r="J98" i="17" s="1"/>
  <c r="L19" i="17"/>
  <c r="V19" i="17"/>
  <c r="AD19" i="17"/>
  <c r="R19" i="17"/>
  <c r="AA19" i="17"/>
  <c r="H97" i="17"/>
  <c r="H98" i="17" s="1"/>
  <c r="AB19" i="17"/>
  <c r="N19" i="17"/>
  <c r="P19" i="17"/>
  <c r="W19" i="17"/>
  <c r="S19" i="17"/>
  <c r="K19" i="17"/>
  <c r="L11" i="17"/>
  <c r="L9" i="17"/>
  <c r="L12" i="17"/>
  <c r="M7" i="17"/>
  <c r="L10" i="17"/>
  <c r="L8" i="17"/>
  <c r="L13" i="17"/>
  <c r="Q19" i="17"/>
  <c r="L34" i="15"/>
  <c r="X34" i="15"/>
  <c r="S34" i="15"/>
  <c r="M34" i="15"/>
  <c r="T34" i="15"/>
  <c r="Y34" i="15"/>
  <c r="U34" i="15"/>
  <c r="AC34" i="15"/>
  <c r="R34" i="15"/>
  <c r="AD34" i="15"/>
  <c r="N34" i="15"/>
  <c r="J34" i="15"/>
  <c r="Q34" i="15"/>
  <c r="W34" i="15"/>
  <c r="O34" i="15"/>
  <c r="K34" i="15"/>
  <c r="V34" i="15"/>
  <c r="AA34" i="15"/>
  <c r="Z34" i="15"/>
  <c r="P34" i="15"/>
  <c r="K33" i="15"/>
  <c r="W33" i="15"/>
  <c r="O33" i="15"/>
  <c r="AC33" i="15"/>
  <c r="R33" i="15"/>
  <c r="R34" i="14"/>
  <c r="K34" i="14"/>
  <c r="AD34" i="14"/>
  <c r="AD19" i="14" s="1"/>
  <c r="W34" i="14"/>
  <c r="S34" i="14"/>
  <c r="N34" i="14"/>
  <c r="U34" i="14"/>
  <c r="O34" i="14"/>
  <c r="L34" i="14"/>
  <c r="AA34" i="14"/>
  <c r="Y34" i="14"/>
  <c r="Y19" i="14" s="1"/>
  <c r="P34" i="14"/>
  <c r="J34" i="14"/>
  <c r="AB34" i="14"/>
  <c r="AB19" i="14" s="1"/>
  <c r="V34" i="14"/>
  <c r="Q34" i="14"/>
  <c r="Q31" i="14"/>
  <c r="T31" i="14"/>
  <c r="R31" i="14"/>
  <c r="U31" i="14"/>
  <c r="L31" i="14"/>
  <c r="AA31" i="14"/>
  <c r="V31" i="14"/>
  <c r="P31" i="14"/>
  <c r="M31" i="14"/>
  <c r="Y31" i="14"/>
  <c r="O31" i="14"/>
  <c r="N31" i="14"/>
  <c r="AB30" i="14"/>
  <c r="AD31" i="14"/>
  <c r="P30" i="14"/>
  <c r="AC30" i="14"/>
  <c r="J31" i="14"/>
  <c r="AC31" i="14"/>
  <c r="K31" i="14"/>
  <c r="Y30" i="14"/>
  <c r="W31" i="14"/>
  <c r="N30" i="14"/>
  <c r="S31" i="14"/>
  <c r="X31" i="14"/>
  <c r="S30" i="14"/>
  <c r="T30" i="14"/>
  <c r="AB31" i="14"/>
  <c r="AA30" i="14"/>
  <c r="M30" i="14"/>
  <c r="L30" i="14"/>
  <c r="K30" i="14"/>
  <c r="Q30" i="14"/>
  <c r="W30" i="14"/>
  <c r="U30" i="14"/>
  <c r="R30" i="14"/>
  <c r="X30" i="14"/>
  <c r="Z30" i="14"/>
  <c r="AD30" i="14"/>
  <c r="J30" i="14"/>
  <c r="O30" i="14"/>
  <c r="Y29" i="14"/>
  <c r="U29" i="14"/>
  <c r="J29" i="14"/>
  <c r="K29" i="14"/>
  <c r="R29" i="14"/>
  <c r="W29" i="14"/>
  <c r="T29" i="14"/>
  <c r="L29" i="14"/>
  <c r="N29" i="14"/>
  <c r="O29" i="14"/>
  <c r="Z29" i="14"/>
  <c r="AD29" i="14"/>
  <c r="AA29" i="14"/>
  <c r="S29" i="14"/>
  <c r="V29" i="14"/>
  <c r="P29" i="14"/>
  <c r="AB29" i="14"/>
  <c r="X29" i="14"/>
  <c r="Q29" i="14"/>
  <c r="M29" i="14"/>
  <c r="AD33" i="15"/>
  <c r="S33" i="15"/>
  <c r="T33" i="15"/>
  <c r="U33" i="15"/>
  <c r="J33" i="15"/>
  <c r="V33" i="15"/>
  <c r="K44" i="13"/>
  <c r="K33" i="13" s="1"/>
  <c r="J44" i="13"/>
  <c r="J33" i="13" s="1"/>
  <c r="L33" i="15"/>
  <c r="X33" i="15"/>
  <c r="M33" i="15"/>
  <c r="Y33" i="15"/>
  <c r="N33" i="15"/>
  <c r="Z33" i="15"/>
  <c r="Q44" i="13"/>
  <c r="Q33" i="13" s="1"/>
  <c r="AA33" i="15"/>
  <c r="P33" i="15"/>
  <c r="AB33" i="15"/>
  <c r="AB19" i="15" s="1"/>
  <c r="Q33" i="15"/>
  <c r="AB10" i="15"/>
  <c r="AB4" i="15" s="1"/>
  <c r="AB16" i="15" s="1"/>
  <c r="AD10" i="15"/>
  <c r="AD4" i="15" s="1"/>
  <c r="AD16" i="15" s="1"/>
  <c r="AA10" i="15"/>
  <c r="AA4" i="15" s="1"/>
  <c r="AA16" i="15" s="1"/>
  <c r="O31" i="15"/>
  <c r="P31" i="15"/>
  <c r="AB31" i="15"/>
  <c r="Q31" i="15"/>
  <c r="AC31" i="15"/>
  <c r="S31" i="15"/>
  <c r="V31" i="15"/>
  <c r="K29" i="15"/>
  <c r="L29" i="15"/>
  <c r="AB29" i="15"/>
  <c r="AC29" i="15"/>
  <c r="W29" i="15"/>
  <c r="Q29" i="15"/>
  <c r="X29" i="15"/>
  <c r="R29" i="15"/>
  <c r="M29" i="15"/>
  <c r="AD29" i="15"/>
  <c r="Y29" i="15"/>
  <c r="S29" i="15"/>
  <c r="U29" i="15"/>
  <c r="N29" i="15"/>
  <c r="Z29" i="15"/>
  <c r="T29" i="15"/>
  <c r="O29" i="15"/>
  <c r="J29" i="15"/>
  <c r="AA29" i="15"/>
  <c r="V29" i="15"/>
  <c r="T31" i="15"/>
  <c r="J31" i="15"/>
  <c r="K31" i="15"/>
  <c r="N31" i="15"/>
  <c r="W31" i="15"/>
  <c r="Z31" i="15"/>
  <c r="L31" i="15"/>
  <c r="U31" i="15"/>
  <c r="R31" i="15"/>
  <c r="X31" i="15"/>
  <c r="AD31" i="15"/>
  <c r="M31" i="15"/>
  <c r="AA31" i="15"/>
  <c r="AA33" i="16"/>
  <c r="AC33" i="16"/>
  <c r="Y33" i="16"/>
  <c r="Q33" i="16"/>
  <c r="X33" i="16"/>
  <c r="Z33" i="16"/>
  <c r="L33" i="16"/>
  <c r="N33" i="16"/>
  <c r="T33" i="16"/>
  <c r="AB33" i="16"/>
  <c r="P33" i="16"/>
  <c r="V33" i="16"/>
  <c r="AD33" i="16"/>
  <c r="AD19" i="16" s="1"/>
  <c r="R33" i="16"/>
  <c r="J33" i="16"/>
  <c r="K33" i="16"/>
  <c r="U33" i="16"/>
  <c r="W33" i="16"/>
  <c r="O33" i="16"/>
  <c r="S33" i="16"/>
  <c r="T34" i="16"/>
  <c r="U34" i="16"/>
  <c r="J34" i="16"/>
  <c r="V34" i="16"/>
  <c r="AC10" i="16"/>
  <c r="AC4" i="16" s="1"/>
  <c r="AC16" i="16" s="1"/>
  <c r="AA10" i="16"/>
  <c r="AA4" i="16" s="1"/>
  <c r="AA16" i="16" s="1"/>
  <c r="AB10" i="16"/>
  <c r="AB4" i="16" s="1"/>
  <c r="AB16" i="16" s="1"/>
  <c r="K34" i="16"/>
  <c r="L34" i="16"/>
  <c r="X34" i="16"/>
  <c r="W34" i="16"/>
  <c r="Z34" i="16"/>
  <c r="S34" i="16"/>
  <c r="M34" i="16"/>
  <c r="Y34" i="16"/>
  <c r="O34" i="16"/>
  <c r="AA34" i="16"/>
  <c r="P34" i="16"/>
  <c r="AB34" i="16"/>
  <c r="N34" i="16"/>
  <c r="Q34" i="16"/>
  <c r="AC34" i="16"/>
  <c r="R34" i="16"/>
  <c r="AA31" i="16"/>
  <c r="X31" i="16"/>
  <c r="J31" i="16"/>
  <c r="R31" i="16"/>
  <c r="Q31" i="16"/>
  <c r="L31" i="16"/>
  <c r="O31" i="16"/>
  <c r="V31" i="16"/>
  <c r="AC31" i="16"/>
  <c r="S31" i="16"/>
  <c r="AB31" i="16"/>
  <c r="M31" i="16"/>
  <c r="W31" i="16"/>
  <c r="T31" i="16"/>
  <c r="P31" i="16"/>
  <c r="K31" i="16"/>
  <c r="Z31" i="16"/>
  <c r="U31" i="16"/>
  <c r="AD31" i="16"/>
  <c r="N31" i="16"/>
  <c r="K30" i="16"/>
  <c r="W30" i="16"/>
  <c r="AB30" i="16"/>
  <c r="V30" i="16"/>
  <c r="N29" i="16"/>
  <c r="Z29" i="16"/>
  <c r="Z30" i="16"/>
  <c r="T29" i="16"/>
  <c r="O29" i="16"/>
  <c r="Q30" i="16"/>
  <c r="U29" i="16"/>
  <c r="AA29" i="16"/>
  <c r="L30" i="16"/>
  <c r="AC30" i="16"/>
  <c r="J29" i="16"/>
  <c r="P29" i="16"/>
  <c r="X30" i="16"/>
  <c r="V29" i="16"/>
  <c r="AB29" i="16"/>
  <c r="M30" i="16"/>
  <c r="R30" i="16"/>
  <c r="W29" i="16"/>
  <c r="Q29" i="16"/>
  <c r="Y30" i="16"/>
  <c r="AD30" i="16"/>
  <c r="L29" i="16"/>
  <c r="AC29" i="16"/>
  <c r="O30" i="16"/>
  <c r="X29" i="16"/>
  <c r="R29" i="16"/>
  <c r="AA30" i="16"/>
  <c r="N30" i="16"/>
  <c r="M29" i="16"/>
  <c r="AD29" i="16"/>
  <c r="S30" i="16"/>
  <c r="Y29" i="16"/>
  <c r="S29" i="16"/>
  <c r="P30" i="16"/>
  <c r="T30" i="16"/>
  <c r="U30" i="16"/>
  <c r="U34" i="13"/>
  <c r="L34" i="13"/>
  <c r="S34" i="13"/>
  <c r="M34" i="13"/>
  <c r="Z34" i="13"/>
  <c r="AC34" i="13"/>
  <c r="AD34" i="13"/>
  <c r="W33" i="13"/>
  <c r="AD33" i="13"/>
  <c r="M33" i="13"/>
  <c r="S33" i="13"/>
  <c r="Y33" i="13"/>
  <c r="T33" i="13"/>
  <c r="N33" i="13"/>
  <c r="Z33" i="13"/>
  <c r="Y34" i="13"/>
  <c r="N34" i="13"/>
  <c r="J34" i="13"/>
  <c r="O34" i="13"/>
  <c r="V34" i="13"/>
  <c r="AA34" i="13"/>
  <c r="T34" i="13"/>
  <c r="P34" i="13"/>
  <c r="K34" i="13"/>
  <c r="AB34" i="13"/>
  <c r="W34" i="13"/>
  <c r="Q34" i="13"/>
  <c r="X34" i="13"/>
  <c r="AA29" i="13"/>
  <c r="U30" i="13"/>
  <c r="T30" i="13"/>
  <c r="J30" i="13"/>
  <c r="L30" i="13"/>
  <c r="X30" i="13"/>
  <c r="M30" i="13"/>
  <c r="Y30" i="13"/>
  <c r="N30" i="13"/>
  <c r="Z30" i="13"/>
  <c r="V30" i="13"/>
  <c r="O30" i="13"/>
  <c r="AA30" i="13"/>
  <c r="W30" i="13"/>
  <c r="P30" i="13"/>
  <c r="AB30" i="13"/>
  <c r="S30" i="13"/>
  <c r="Q30" i="13"/>
  <c r="AC30" i="13"/>
  <c r="R30" i="13"/>
  <c r="AD30" i="13"/>
  <c r="K30" i="13"/>
  <c r="AC29" i="13"/>
  <c r="T29" i="13"/>
  <c r="P29" i="13"/>
  <c r="Q29" i="13"/>
  <c r="U29" i="13"/>
  <c r="J29" i="13"/>
  <c r="V29" i="13"/>
  <c r="K29" i="13"/>
  <c r="W29" i="13"/>
  <c r="R29" i="13"/>
  <c r="X29" i="13"/>
  <c r="AD29" i="13"/>
  <c r="M29" i="13"/>
  <c r="S29" i="13"/>
  <c r="Y29" i="13"/>
  <c r="L29" i="13"/>
  <c r="N29" i="13"/>
  <c r="Z29" i="13"/>
  <c r="AB29" i="13"/>
  <c r="L12" i="16"/>
  <c r="M7" i="16"/>
  <c r="L13" i="16"/>
  <c r="L9" i="16"/>
  <c r="L10" i="16"/>
  <c r="L8" i="16"/>
  <c r="L11" i="16"/>
  <c r="H97" i="16"/>
  <c r="H98" i="16" s="1"/>
  <c r="H97" i="15"/>
  <c r="H98" i="15" s="1"/>
  <c r="J97" i="15"/>
  <c r="J98" i="15" s="1"/>
  <c r="M12" i="15"/>
  <c r="N7" i="15"/>
  <c r="M13" i="15"/>
  <c r="M9" i="15"/>
  <c r="M10" i="15"/>
  <c r="M8" i="15"/>
  <c r="M11" i="15"/>
  <c r="H97" i="14"/>
  <c r="H98" i="14" s="1"/>
  <c r="L10" i="14"/>
  <c r="L13" i="14"/>
  <c r="L8" i="14"/>
  <c r="L11" i="14"/>
  <c r="L9" i="14"/>
  <c r="L12" i="14"/>
  <c r="M7" i="14"/>
  <c r="X19" i="14"/>
  <c r="H97" i="13"/>
  <c r="H98" i="13" s="1"/>
  <c r="AA4" i="13"/>
  <c r="AA16" i="13" s="1"/>
  <c r="L8" i="13"/>
  <c r="L11" i="13"/>
  <c r="L12" i="13"/>
  <c r="M7" i="13"/>
  <c r="L13" i="13"/>
  <c r="L9" i="13"/>
  <c r="L10" i="13"/>
  <c r="S19" i="12"/>
  <c r="N31" i="12"/>
  <c r="O31" i="12"/>
  <c r="Q31" i="12"/>
  <c r="J31" i="12"/>
  <c r="K31" i="12"/>
  <c r="R31" i="12"/>
  <c r="W31" i="12"/>
  <c r="AD31" i="12"/>
  <c r="AC31" i="12"/>
  <c r="P31" i="12"/>
  <c r="M31" i="12"/>
  <c r="AB31" i="12"/>
  <c r="Y31" i="12"/>
  <c r="S31" i="12"/>
  <c r="T31" i="12"/>
  <c r="U31" i="12"/>
  <c r="L30" i="12"/>
  <c r="T30" i="12"/>
  <c r="Z30" i="12"/>
  <c r="V31" i="12"/>
  <c r="Z31" i="12"/>
  <c r="Q30" i="12"/>
  <c r="L31" i="12"/>
  <c r="X31" i="12"/>
  <c r="W30" i="12"/>
  <c r="AC19" i="12"/>
  <c r="U30" i="12"/>
  <c r="O30" i="12"/>
  <c r="N30" i="12"/>
  <c r="AC30" i="12"/>
  <c r="X30" i="12"/>
  <c r="AA30" i="12"/>
  <c r="K30" i="12"/>
  <c r="J30" i="12"/>
  <c r="R30" i="12"/>
  <c r="V30" i="12"/>
  <c r="M30" i="12"/>
  <c r="AD30" i="12"/>
  <c r="Y30" i="12"/>
  <c r="P30" i="12"/>
  <c r="S30" i="12"/>
  <c r="AB30" i="12"/>
  <c r="AB10" i="12"/>
  <c r="AC10" i="12"/>
  <c r="AC4" i="12" s="1"/>
  <c r="AC16" i="12" s="1"/>
  <c r="Q19" i="12"/>
  <c r="V19" i="12"/>
  <c r="U19" i="12"/>
  <c r="X34" i="11"/>
  <c r="J33" i="11"/>
  <c r="Z33" i="11"/>
  <c r="Q31" i="11"/>
  <c r="U31" i="11"/>
  <c r="W31" i="11"/>
  <c r="Y33" i="11"/>
  <c r="AA33" i="11"/>
  <c r="M33" i="11"/>
  <c r="O33" i="11"/>
  <c r="O19" i="11" s="1"/>
  <c r="X33" i="11"/>
  <c r="K31" i="11"/>
  <c r="AC33" i="11"/>
  <c r="Q33" i="11"/>
  <c r="L33" i="11"/>
  <c r="L31" i="11"/>
  <c r="W33" i="11"/>
  <c r="X31" i="11"/>
  <c r="AB33" i="11"/>
  <c r="P33" i="11"/>
  <c r="P19" i="11" s="1"/>
  <c r="P50" i="11" s="1"/>
  <c r="P52" i="11" s="1"/>
  <c r="K33" i="11"/>
  <c r="AD33" i="11"/>
  <c r="V33" i="11"/>
  <c r="N31" i="11"/>
  <c r="M31" i="11"/>
  <c r="Y31" i="11"/>
  <c r="Z31" i="11"/>
  <c r="AC31" i="11"/>
  <c r="O31" i="11"/>
  <c r="R31" i="11"/>
  <c r="AD31" i="11"/>
  <c r="S31" i="11"/>
  <c r="AA31" i="11"/>
  <c r="R33" i="11"/>
  <c r="T31" i="11"/>
  <c r="P31" i="11"/>
  <c r="J31" i="11"/>
  <c r="AB31" i="11"/>
  <c r="AC30" i="11"/>
  <c r="M30" i="11"/>
  <c r="S30" i="11"/>
  <c r="N33" i="11"/>
  <c r="U30" i="11"/>
  <c r="J30" i="11"/>
  <c r="Y30" i="11"/>
  <c r="Z30" i="11"/>
  <c r="O30" i="11"/>
  <c r="Q30" i="11"/>
  <c r="L30" i="11"/>
  <c r="R30" i="11"/>
  <c r="N30" i="11"/>
  <c r="AD30" i="11"/>
  <c r="V30" i="11"/>
  <c r="W30" i="11"/>
  <c r="AA30" i="11"/>
  <c r="X30" i="11"/>
  <c r="P30" i="11"/>
  <c r="AB30" i="11"/>
  <c r="T30" i="11"/>
  <c r="U33" i="11"/>
  <c r="T33" i="11"/>
  <c r="T19" i="11" s="1"/>
  <c r="AC29" i="11"/>
  <c r="R29" i="11"/>
  <c r="S29" i="11"/>
  <c r="AA10" i="11"/>
  <c r="AA4" i="11" s="1"/>
  <c r="AA16" i="11" s="1"/>
  <c r="AB10" i="11"/>
  <c r="AB4" i="11" s="1"/>
  <c r="AB16" i="11" s="1"/>
  <c r="AD29" i="11"/>
  <c r="T29" i="11"/>
  <c r="L29" i="11"/>
  <c r="X29" i="11"/>
  <c r="M29" i="11"/>
  <c r="Y29" i="11"/>
  <c r="N29" i="11"/>
  <c r="Z29" i="11"/>
  <c r="U29" i="11"/>
  <c r="O29" i="11"/>
  <c r="J29" i="11"/>
  <c r="AA29" i="11"/>
  <c r="V29" i="11"/>
  <c r="P29" i="11"/>
  <c r="K29" i="11"/>
  <c r="AB29" i="11"/>
  <c r="W29" i="11"/>
  <c r="AC10" i="11"/>
  <c r="AC4" i="11" s="1"/>
  <c r="AC16" i="11" s="1"/>
  <c r="AD10" i="11"/>
  <c r="AD4" i="11" s="1"/>
  <c r="AD16" i="11" s="1"/>
  <c r="AD10" i="12"/>
  <c r="AD4" i="12" s="1"/>
  <c r="AD16" i="12" s="1"/>
  <c r="W19" i="12"/>
  <c r="S19" i="11"/>
  <c r="R33" i="10"/>
  <c r="AC33" i="10"/>
  <c r="Q33" i="10"/>
  <c r="W33" i="10"/>
  <c r="K33" i="10"/>
  <c r="X31" i="10"/>
  <c r="AD31" i="10"/>
  <c r="K31" i="10"/>
  <c r="W31" i="10"/>
  <c r="L31" i="10"/>
  <c r="M31" i="10"/>
  <c r="T33" i="10"/>
  <c r="M33" i="10"/>
  <c r="J33" i="10"/>
  <c r="L33" i="10"/>
  <c r="AA31" i="10"/>
  <c r="Y31" i="10"/>
  <c r="Q34" i="10"/>
  <c r="R34" i="10"/>
  <c r="AD34" i="10"/>
  <c r="V31" i="10"/>
  <c r="V33" i="10"/>
  <c r="V19" i="10" s="1"/>
  <c r="S34" i="10"/>
  <c r="S19" i="10" s="1"/>
  <c r="T34" i="10"/>
  <c r="K34" i="10"/>
  <c r="Q31" i="10"/>
  <c r="O31" i="10"/>
  <c r="AC31" i="10"/>
  <c r="P31" i="10"/>
  <c r="AB31" i="10"/>
  <c r="M34" i="10"/>
  <c r="Y34" i="10"/>
  <c r="N34" i="10"/>
  <c r="P34" i="10"/>
  <c r="AB34" i="10"/>
  <c r="AC34" i="10"/>
  <c r="R31" i="10"/>
  <c r="S31" i="10"/>
  <c r="T31" i="10"/>
  <c r="Z31" i="10"/>
  <c r="U31" i="10"/>
  <c r="N31" i="10"/>
  <c r="V29" i="10"/>
  <c r="U34" i="10"/>
  <c r="U19" i="10" s="1"/>
  <c r="Z34" i="10"/>
  <c r="W34" i="10"/>
  <c r="O34" i="10"/>
  <c r="AA34" i="10"/>
  <c r="L34" i="10"/>
  <c r="K30" i="10"/>
  <c r="Z30" i="10"/>
  <c r="O30" i="10"/>
  <c r="R30" i="10"/>
  <c r="U30" i="10"/>
  <c r="L30" i="10"/>
  <c r="S30" i="10"/>
  <c r="N30" i="10"/>
  <c r="T30" i="10"/>
  <c r="M30" i="10"/>
  <c r="AA30" i="10"/>
  <c r="N29" i="10"/>
  <c r="U29" i="10"/>
  <c r="S29" i="10"/>
  <c r="P30" i="10"/>
  <c r="AB30" i="10"/>
  <c r="W30" i="10"/>
  <c r="Q30" i="10"/>
  <c r="AC30" i="10"/>
  <c r="X34" i="10"/>
  <c r="J34" i="10"/>
  <c r="W29" i="10"/>
  <c r="J30" i="10"/>
  <c r="M29" i="10"/>
  <c r="X30" i="10"/>
  <c r="Y30" i="10"/>
  <c r="AD30" i="10"/>
  <c r="AA29" i="10"/>
  <c r="J29" i="10"/>
  <c r="P29" i="10"/>
  <c r="AB29" i="10"/>
  <c r="K29" i="10"/>
  <c r="T29" i="10"/>
  <c r="L29" i="10"/>
  <c r="Q29" i="10"/>
  <c r="X29" i="10"/>
  <c r="AC29" i="10"/>
  <c r="Y29" i="10"/>
  <c r="R29" i="10"/>
  <c r="Z29" i="10"/>
  <c r="AD29" i="10"/>
  <c r="H97" i="12"/>
  <c r="H98" i="12" s="1"/>
  <c r="M19" i="12"/>
  <c r="M50" i="12" s="1"/>
  <c r="M52" i="12" s="1"/>
  <c r="L12" i="12"/>
  <c r="M7" i="12"/>
  <c r="L8" i="12"/>
  <c r="L11" i="12"/>
  <c r="L13" i="12"/>
  <c r="L9" i="12"/>
  <c r="L10" i="12"/>
  <c r="Z19" i="12"/>
  <c r="X19" i="12"/>
  <c r="N19" i="12"/>
  <c r="P19" i="12"/>
  <c r="P50" i="12" s="1"/>
  <c r="P52" i="12" s="1"/>
  <c r="O19" i="12"/>
  <c r="L12" i="11"/>
  <c r="M7" i="11"/>
  <c r="L11" i="11"/>
  <c r="L13" i="11"/>
  <c r="L9" i="11"/>
  <c r="L10" i="11"/>
  <c r="L8" i="11"/>
  <c r="H97" i="11"/>
  <c r="H98" i="11" s="1"/>
  <c r="H97" i="10"/>
  <c r="H98" i="10" s="1"/>
  <c r="L12" i="10"/>
  <c r="M7" i="10"/>
  <c r="L13" i="10"/>
  <c r="L9" i="10"/>
  <c r="L11" i="10"/>
  <c r="L10" i="10"/>
  <c r="L8" i="10"/>
  <c r="J57" i="9"/>
  <c r="H97" i="9"/>
  <c r="H98" i="9" s="1"/>
  <c r="L12" i="9"/>
  <c r="M7" i="9"/>
  <c r="L13" i="9"/>
  <c r="L9" i="9"/>
  <c r="L10" i="9"/>
  <c r="L11" i="9"/>
  <c r="L8" i="9"/>
  <c r="L12" i="6"/>
  <c r="L13" i="6"/>
  <c r="L11" i="6"/>
  <c r="L9" i="6"/>
  <c r="AC34" i="6"/>
  <c r="AB10" i="6"/>
  <c r="AB4" i="6" s="1"/>
  <c r="J34" i="6"/>
  <c r="W34" i="6"/>
  <c r="T34" i="6"/>
  <c r="Y34" i="6"/>
  <c r="P34" i="6"/>
  <c r="M34" i="6"/>
  <c r="N34" i="6"/>
  <c r="AA34" i="6"/>
  <c r="AB34" i="6"/>
  <c r="S34" i="6"/>
  <c r="AA10" i="6"/>
  <c r="AA4" i="6" s="1"/>
  <c r="V34" i="6"/>
  <c r="U34" i="6"/>
  <c r="L34" i="6"/>
  <c r="K34" i="6"/>
  <c r="O34" i="6"/>
  <c r="AD33" i="6"/>
  <c r="AD19" i="6" s="1"/>
  <c r="R33" i="6"/>
  <c r="R19" i="6" s="1"/>
  <c r="M33" i="6"/>
  <c r="T33" i="6"/>
  <c r="AA33" i="6"/>
  <c r="P33" i="6"/>
  <c r="Y33" i="6"/>
  <c r="AB33" i="6"/>
  <c r="X33" i="6"/>
  <c r="X19" i="6" s="1"/>
  <c r="K33" i="6"/>
  <c r="V33" i="6"/>
  <c r="J33" i="6"/>
  <c r="O33" i="6"/>
  <c r="U33" i="6"/>
  <c r="L33" i="6"/>
  <c r="S33" i="6"/>
  <c r="S19" i="6" s="1"/>
  <c r="Z33" i="6"/>
  <c r="Z19" i="6" s="1"/>
  <c r="N33" i="6"/>
  <c r="AC33" i="6"/>
  <c r="Q33" i="6"/>
  <c r="Q19" i="6" s="1"/>
  <c r="W30" i="6"/>
  <c r="Y30" i="6"/>
  <c r="K30" i="6"/>
  <c r="AB30" i="6"/>
  <c r="M30" i="6"/>
  <c r="R30" i="6"/>
  <c r="Z30" i="6"/>
  <c r="U30" i="6"/>
  <c r="P30" i="6"/>
  <c r="S30" i="6"/>
  <c r="N30" i="6"/>
  <c r="X30" i="6"/>
  <c r="AA30" i="6"/>
  <c r="V30" i="6"/>
  <c r="Q30" i="6"/>
  <c r="T30" i="6"/>
  <c r="AD30" i="6"/>
  <c r="AB31" i="6"/>
  <c r="M31" i="6"/>
  <c r="J31" i="6"/>
  <c r="U31" i="6"/>
  <c r="V31" i="6"/>
  <c r="R31" i="6"/>
  <c r="AC30" i="6"/>
  <c r="Z31" i="6"/>
  <c r="AD31" i="6"/>
  <c r="O30" i="6"/>
  <c r="J30" i="6"/>
  <c r="L30" i="6"/>
  <c r="AA31" i="6"/>
  <c r="O31" i="6"/>
  <c r="T31" i="6"/>
  <c r="L31" i="6"/>
  <c r="W31" i="6"/>
  <c r="P31" i="6"/>
  <c r="X31" i="6"/>
  <c r="K31" i="6"/>
  <c r="AC31" i="6"/>
  <c r="Q31" i="6"/>
  <c r="S31" i="6"/>
  <c r="N31" i="6"/>
  <c r="AC10" i="6"/>
  <c r="AC4" i="6" s="1"/>
  <c r="AD10" i="6"/>
  <c r="AD4" i="6" s="1"/>
  <c r="W19" i="6"/>
  <c r="M7" i="6"/>
  <c r="L8" i="6"/>
  <c r="L10" i="6"/>
  <c r="AA29" i="6"/>
  <c r="S29" i="6"/>
  <c r="K29" i="6"/>
  <c r="Z29" i="6"/>
  <c r="R29" i="6"/>
  <c r="J29" i="6"/>
  <c r="Y29" i="6"/>
  <c r="Q29" i="6"/>
  <c r="X29" i="6"/>
  <c r="P29" i="6"/>
  <c r="W29" i="6"/>
  <c r="O29" i="6"/>
  <c r="AD29" i="6"/>
  <c r="V29" i="6"/>
  <c r="N29" i="6"/>
  <c r="AC29" i="6"/>
  <c r="U29" i="6"/>
  <c r="M29" i="6"/>
  <c r="AB29" i="6"/>
  <c r="T29" i="6"/>
  <c r="L29" i="6"/>
  <c r="D19" i="4"/>
  <c r="Q40" i="4"/>
  <c r="O40" i="4"/>
  <c r="S40" i="4"/>
  <c r="U40" i="4"/>
  <c r="AB40" i="4"/>
  <c r="D5" i="4"/>
  <c r="T39" i="4" s="1"/>
  <c r="AC40" i="4"/>
  <c r="K40" i="4"/>
  <c r="D8" i="4"/>
  <c r="AC15" i="4" s="1"/>
  <c r="AC9" i="4" s="1"/>
  <c r="T40" i="4"/>
  <c r="D7" i="4"/>
  <c r="AC42" i="4" s="1"/>
  <c r="L40" i="4"/>
  <c r="W40" i="4"/>
  <c r="M40" i="4"/>
  <c r="X40" i="4"/>
  <c r="Y40" i="4"/>
  <c r="P40" i="4"/>
  <c r="AA40" i="4"/>
  <c r="D3" i="4"/>
  <c r="AC37" i="4" s="1"/>
  <c r="D6" i="4"/>
  <c r="R41" i="4" s="1"/>
  <c r="D4" i="4"/>
  <c r="L21" i="4" s="1"/>
  <c r="F11" i="4"/>
  <c r="L68" i="4"/>
  <c r="F12" i="4"/>
  <c r="P15" i="4"/>
  <c r="J40" i="4"/>
  <c r="R40" i="4"/>
  <c r="Z40" i="4"/>
  <c r="Q15" i="4"/>
  <c r="R15" i="4"/>
  <c r="K67" i="4"/>
  <c r="K62" i="4" s="1"/>
  <c r="K61" i="4" s="1"/>
  <c r="K18" i="4"/>
  <c r="F10" i="4"/>
  <c r="F14" i="4"/>
  <c r="N40" i="4"/>
  <c r="V40" i="4"/>
  <c r="J68" i="4"/>
  <c r="J62" i="4" s="1"/>
  <c r="J61" i="4" s="1"/>
  <c r="F99" i="31" l="1"/>
  <c r="E98" i="7"/>
  <c r="Y52" i="30"/>
  <c r="AA50" i="30"/>
  <c r="L52" i="30"/>
  <c r="O52" i="30"/>
  <c r="Z50" i="30"/>
  <c r="X52" i="30"/>
  <c r="F97" i="30"/>
  <c r="F99" i="30" s="1"/>
  <c r="AB50" i="30"/>
  <c r="AC52" i="30"/>
  <c r="F101" i="32"/>
  <c r="D79" i="7" s="1"/>
  <c r="O19" i="22"/>
  <c r="L19" i="22"/>
  <c r="J19" i="22"/>
  <c r="J50" i="22" s="1"/>
  <c r="K19" i="22"/>
  <c r="K50" i="22" s="1"/>
  <c r="K52" i="22" s="1"/>
  <c r="L50" i="28"/>
  <c r="AB50" i="28"/>
  <c r="Y52" i="28"/>
  <c r="AC52" i="28"/>
  <c r="S52" i="28"/>
  <c r="M52" i="28"/>
  <c r="U52" i="28"/>
  <c r="X52" i="28"/>
  <c r="J50" i="28"/>
  <c r="F100" i="28" s="1"/>
  <c r="E58" i="7" s="1"/>
  <c r="W52" i="28"/>
  <c r="V52" i="28"/>
  <c r="AA52" i="28"/>
  <c r="V58" i="19"/>
  <c r="M19" i="19"/>
  <c r="M50" i="19" s="1"/>
  <c r="M52" i="19" s="1"/>
  <c r="X19" i="19"/>
  <c r="X50" i="19" s="1"/>
  <c r="W19" i="19"/>
  <c r="W50" i="19" s="1"/>
  <c r="U19" i="19"/>
  <c r="U50" i="19" s="1"/>
  <c r="Z19" i="19"/>
  <c r="Z52" i="19" s="1"/>
  <c r="L19" i="19"/>
  <c r="L50" i="19" s="1"/>
  <c r="L52" i="19" s="1"/>
  <c r="Q19" i="19"/>
  <c r="Q50" i="19" s="1"/>
  <c r="AA4" i="19"/>
  <c r="AA16" i="19" s="1"/>
  <c r="V19" i="19"/>
  <c r="V50" i="19" s="1"/>
  <c r="Y19" i="19"/>
  <c r="Y50" i="19" s="1"/>
  <c r="AC19" i="19"/>
  <c r="AC52" i="19" s="1"/>
  <c r="AB4" i="19"/>
  <c r="AB16" i="19" s="1"/>
  <c r="Y58" i="19"/>
  <c r="P19" i="19"/>
  <c r="P50" i="19" s="1"/>
  <c r="P52" i="19" s="1"/>
  <c r="AA19" i="19"/>
  <c r="AA50" i="19" s="1"/>
  <c r="X52" i="19"/>
  <c r="AD52" i="19"/>
  <c r="AD50" i="19"/>
  <c r="T50" i="19"/>
  <c r="T52" i="19"/>
  <c r="R52" i="19"/>
  <c r="R50" i="19"/>
  <c r="S52" i="19"/>
  <c r="S50" i="19"/>
  <c r="O52" i="19"/>
  <c r="O50" i="19"/>
  <c r="W52" i="19"/>
  <c r="J50" i="19"/>
  <c r="J52" i="19"/>
  <c r="AB52" i="19"/>
  <c r="AB50" i="19"/>
  <c r="N50" i="19"/>
  <c r="N52" i="19"/>
  <c r="V58" i="20"/>
  <c r="AD19" i="20"/>
  <c r="W58" i="20"/>
  <c r="AA19" i="20"/>
  <c r="L19" i="20"/>
  <c r="J19" i="20"/>
  <c r="J50" i="20" s="1"/>
  <c r="J52" i="20" s="1"/>
  <c r="R19" i="20"/>
  <c r="R50" i="20" s="1"/>
  <c r="X52" i="20"/>
  <c r="X50" i="20"/>
  <c r="V50" i="20"/>
  <c r="V52" i="20"/>
  <c r="U50" i="20"/>
  <c r="U52" i="20"/>
  <c r="AC52" i="20"/>
  <c r="AC50" i="20"/>
  <c r="M52" i="20"/>
  <c r="M50" i="20"/>
  <c r="AD50" i="20"/>
  <c r="AD52" i="20"/>
  <c r="Y52" i="20"/>
  <c r="Y50" i="20"/>
  <c r="T50" i="20"/>
  <c r="T52" i="20"/>
  <c r="Z52" i="20"/>
  <c r="Z50" i="20"/>
  <c r="S50" i="20"/>
  <c r="S52" i="20"/>
  <c r="W19" i="20"/>
  <c r="AA52" i="20"/>
  <c r="AA50" i="20"/>
  <c r="O52" i="20"/>
  <c r="O50" i="20"/>
  <c r="L52" i="20"/>
  <c r="L50" i="20"/>
  <c r="Q52" i="20"/>
  <c r="Q50" i="20"/>
  <c r="AB19" i="20"/>
  <c r="O19" i="18"/>
  <c r="O52" i="18" s="1"/>
  <c r="N19" i="18"/>
  <c r="N52" i="18" s="1"/>
  <c r="M19" i="18"/>
  <c r="M50" i="18" s="1"/>
  <c r="AA52" i="18"/>
  <c r="AA50" i="18"/>
  <c r="W50" i="18"/>
  <c r="W52" i="18"/>
  <c r="U50" i="18"/>
  <c r="U52" i="18"/>
  <c r="Q52" i="18"/>
  <c r="Q50" i="18"/>
  <c r="R52" i="18"/>
  <c r="R50" i="18"/>
  <c r="T50" i="18"/>
  <c r="T52" i="18"/>
  <c r="J50" i="18"/>
  <c r="J52" i="18"/>
  <c r="X50" i="18"/>
  <c r="X52" i="18"/>
  <c r="Z52" i="18"/>
  <c r="Z50" i="18"/>
  <c r="S52" i="18"/>
  <c r="S50" i="18"/>
  <c r="L50" i="18"/>
  <c r="L52" i="18"/>
  <c r="AD52" i="18"/>
  <c r="AD50" i="18"/>
  <c r="AC52" i="18"/>
  <c r="AC50" i="18"/>
  <c r="AB52" i="18"/>
  <c r="AB50" i="18"/>
  <c r="Y50" i="18"/>
  <c r="Y52" i="18"/>
  <c r="V50" i="18"/>
  <c r="V52" i="18"/>
  <c r="R19" i="14"/>
  <c r="R52" i="14" s="1"/>
  <c r="AC19" i="14"/>
  <c r="AC52" i="14" s="1"/>
  <c r="S19" i="14"/>
  <c r="S52" i="14" s="1"/>
  <c r="AA19" i="14"/>
  <c r="AA52" i="14" s="1"/>
  <c r="N19" i="14"/>
  <c r="N52" i="14" s="1"/>
  <c r="Z19" i="14"/>
  <c r="Z50" i="14" s="1"/>
  <c r="P19" i="14"/>
  <c r="P50" i="14" s="1"/>
  <c r="P52" i="14" s="1"/>
  <c r="W19" i="14"/>
  <c r="W52" i="14" s="1"/>
  <c r="U19" i="14"/>
  <c r="U52" i="14" s="1"/>
  <c r="V19" i="14"/>
  <c r="V52" i="14" s="1"/>
  <c r="J19" i="14"/>
  <c r="J52" i="14" s="1"/>
  <c r="K19" i="14"/>
  <c r="K50" i="14" s="1"/>
  <c r="K52" i="14" s="1"/>
  <c r="W58" i="14"/>
  <c r="Y58" i="14"/>
  <c r="O19" i="14"/>
  <c r="O50" i="14" s="1"/>
  <c r="Q19" i="14"/>
  <c r="Q50" i="14" s="1"/>
  <c r="V58" i="14"/>
  <c r="X58" i="14"/>
  <c r="AD50" i="14"/>
  <c r="AD52" i="14"/>
  <c r="AB50" i="14"/>
  <c r="AB52" i="14"/>
  <c r="AC50" i="14"/>
  <c r="T52" i="14"/>
  <c r="T50" i="14"/>
  <c r="Y50" i="14"/>
  <c r="Y52" i="14"/>
  <c r="X50" i="14"/>
  <c r="X52" i="14"/>
  <c r="M19" i="14"/>
  <c r="L19" i="15"/>
  <c r="Q19" i="15"/>
  <c r="Z19" i="15"/>
  <c r="Z50" i="15" s="1"/>
  <c r="V19" i="15"/>
  <c r="V52" i="15" s="1"/>
  <c r="R19" i="15"/>
  <c r="R52" i="15" s="1"/>
  <c r="M19" i="15"/>
  <c r="M52" i="15" s="1"/>
  <c r="V58" i="12"/>
  <c r="Y58" i="12"/>
  <c r="AB4" i="12"/>
  <c r="AB16" i="12" s="1"/>
  <c r="X58" i="12"/>
  <c r="AD19" i="11"/>
  <c r="M19" i="11"/>
  <c r="Y19" i="11"/>
  <c r="Y50" i="11" s="1"/>
  <c r="Z19" i="11"/>
  <c r="Z52" i="11" s="1"/>
  <c r="K19" i="11"/>
  <c r="K50" i="11" s="1"/>
  <c r="K52" i="11" s="1"/>
  <c r="AB19" i="10"/>
  <c r="W19" i="10"/>
  <c r="S11" i="41"/>
  <c r="S12" i="41"/>
  <c r="T7" i="41"/>
  <c r="S13" i="41"/>
  <c r="S9" i="41"/>
  <c r="S10" i="41"/>
  <c r="S8" i="41"/>
  <c r="R13" i="40"/>
  <c r="R9" i="40"/>
  <c r="S7" i="40"/>
  <c r="R10" i="40"/>
  <c r="R8" i="40"/>
  <c r="R11" i="40"/>
  <c r="R12" i="40"/>
  <c r="R11" i="39"/>
  <c r="R8" i="39"/>
  <c r="R12" i="39"/>
  <c r="S7" i="39"/>
  <c r="R13" i="39"/>
  <c r="R9" i="39"/>
  <c r="R10" i="39"/>
  <c r="R8" i="38"/>
  <c r="R11" i="38"/>
  <c r="R12" i="38"/>
  <c r="S7" i="38"/>
  <c r="R13" i="38"/>
  <c r="R9" i="38"/>
  <c r="R10" i="38"/>
  <c r="R12" i="37"/>
  <c r="R10" i="37"/>
  <c r="S7" i="37"/>
  <c r="R8" i="37"/>
  <c r="R11" i="37"/>
  <c r="R13" i="37"/>
  <c r="R9" i="37"/>
  <c r="R13" i="36"/>
  <c r="R9" i="36"/>
  <c r="R10" i="36"/>
  <c r="R8" i="36"/>
  <c r="R12" i="36"/>
  <c r="R11" i="36"/>
  <c r="S7" i="36"/>
  <c r="R11" i="35"/>
  <c r="R12" i="35"/>
  <c r="S7" i="35"/>
  <c r="R13" i="35"/>
  <c r="R9" i="35"/>
  <c r="R8" i="35"/>
  <c r="R10" i="35"/>
  <c r="S11" i="34"/>
  <c r="S12" i="34"/>
  <c r="T7" i="34"/>
  <c r="S9" i="34"/>
  <c r="S10" i="34"/>
  <c r="S13" i="34"/>
  <c r="S8" i="34"/>
  <c r="U19" i="21"/>
  <c r="U50" i="21" s="1"/>
  <c r="S19" i="21"/>
  <c r="S52" i="21" s="1"/>
  <c r="O50" i="22"/>
  <c r="O52" i="22"/>
  <c r="Y50" i="22"/>
  <c r="Y52" i="22"/>
  <c r="AA50" i="22"/>
  <c r="AA52" i="22"/>
  <c r="S50" i="22"/>
  <c r="S52" i="22"/>
  <c r="X50" i="22"/>
  <c r="X52" i="22"/>
  <c r="M50" i="22"/>
  <c r="M52" i="22"/>
  <c r="AD50" i="22"/>
  <c r="AD52" i="22"/>
  <c r="R50" i="22"/>
  <c r="R52" i="22"/>
  <c r="Z50" i="22"/>
  <c r="Z52" i="22"/>
  <c r="V52" i="22"/>
  <c r="V50" i="22"/>
  <c r="T52" i="22"/>
  <c r="T50" i="22"/>
  <c r="AC50" i="22"/>
  <c r="AC52" i="22"/>
  <c r="U52" i="22"/>
  <c r="U50" i="22"/>
  <c r="P50" i="22"/>
  <c r="P52" i="22"/>
  <c r="Q50" i="22"/>
  <c r="Q52" i="22"/>
  <c r="AB50" i="22"/>
  <c r="AB52" i="22"/>
  <c r="L50" i="22"/>
  <c r="L52" i="22"/>
  <c r="J52" i="22"/>
  <c r="W52" i="22"/>
  <c r="W50" i="22"/>
  <c r="L19" i="24"/>
  <c r="L50" i="24" s="1"/>
  <c r="L52" i="24" s="1"/>
  <c r="T50" i="29"/>
  <c r="U52" i="29"/>
  <c r="W50" i="29"/>
  <c r="V52" i="29"/>
  <c r="X52" i="29"/>
  <c r="F97" i="28"/>
  <c r="E59" i="7" s="1"/>
  <c r="F100" i="26"/>
  <c r="D58" i="7" s="1"/>
  <c r="F101" i="26"/>
  <c r="D60" i="7" s="1"/>
  <c r="J52" i="27"/>
  <c r="L50" i="27"/>
  <c r="L52" i="27"/>
  <c r="M52" i="27"/>
  <c r="M50" i="27"/>
  <c r="K50" i="27"/>
  <c r="K52" i="27"/>
  <c r="J52" i="25"/>
  <c r="P52" i="25"/>
  <c r="P50" i="25"/>
  <c r="O52" i="25"/>
  <c r="O50" i="25"/>
  <c r="V50" i="25"/>
  <c r="V52" i="25"/>
  <c r="U50" i="25"/>
  <c r="U52" i="25"/>
  <c r="L52" i="25"/>
  <c r="L50" i="25"/>
  <c r="W50" i="25"/>
  <c r="W52" i="25"/>
  <c r="Q50" i="25"/>
  <c r="Q52" i="25"/>
  <c r="Y19" i="16"/>
  <c r="Y50" i="16" s="1"/>
  <c r="W58" i="16"/>
  <c r="X58" i="16"/>
  <c r="Y58" i="16"/>
  <c r="AD50" i="16"/>
  <c r="AD52" i="16"/>
  <c r="V58" i="16"/>
  <c r="O19" i="13"/>
  <c r="X19" i="13"/>
  <c r="X52" i="13" s="1"/>
  <c r="AB19" i="13"/>
  <c r="AB52" i="13" s="1"/>
  <c r="V19" i="13"/>
  <c r="V50" i="13" s="1"/>
  <c r="U19" i="13"/>
  <c r="U50" i="13" s="1"/>
  <c r="R52" i="13"/>
  <c r="R50" i="13"/>
  <c r="O52" i="13"/>
  <c r="O50" i="13"/>
  <c r="S52" i="12"/>
  <c r="S50" i="12"/>
  <c r="AD50" i="12"/>
  <c r="AD52" i="12"/>
  <c r="J50" i="12"/>
  <c r="J52" i="12"/>
  <c r="Y50" i="12"/>
  <c r="Y52" i="12"/>
  <c r="O50" i="12"/>
  <c r="O52" i="12"/>
  <c r="W52" i="12"/>
  <c r="W50" i="12"/>
  <c r="AA50" i="12"/>
  <c r="AA52" i="12"/>
  <c r="AB50" i="12"/>
  <c r="AB52" i="12"/>
  <c r="U52" i="12"/>
  <c r="U50" i="12"/>
  <c r="R50" i="12"/>
  <c r="R52" i="12"/>
  <c r="N50" i="12"/>
  <c r="N52" i="12"/>
  <c r="V52" i="12"/>
  <c r="V50" i="12"/>
  <c r="AC50" i="12"/>
  <c r="AC52" i="12"/>
  <c r="X50" i="12"/>
  <c r="X52" i="12"/>
  <c r="T52" i="12"/>
  <c r="T50" i="12"/>
  <c r="Z50" i="12"/>
  <c r="Z52" i="12"/>
  <c r="Q50" i="12"/>
  <c r="Q52" i="12"/>
  <c r="W58" i="12"/>
  <c r="L19" i="11"/>
  <c r="L50" i="11" s="1"/>
  <c r="AA19" i="11"/>
  <c r="AA50" i="11" s="1"/>
  <c r="N19" i="11"/>
  <c r="N50" i="11" s="1"/>
  <c r="N52" i="11" s="1"/>
  <c r="V19" i="11"/>
  <c r="V50" i="11" s="1"/>
  <c r="Q19" i="11"/>
  <c r="Q50" i="11" s="1"/>
  <c r="AB19" i="11"/>
  <c r="AB52" i="11" s="1"/>
  <c r="AC19" i="11"/>
  <c r="AC50" i="11" s="1"/>
  <c r="R19" i="11"/>
  <c r="R52" i="11" s="1"/>
  <c r="J19" i="11"/>
  <c r="J50" i="11" s="1"/>
  <c r="J52" i="11" s="1"/>
  <c r="W19" i="11"/>
  <c r="W52" i="11" s="1"/>
  <c r="X19" i="11"/>
  <c r="X50" i="11" s="1"/>
  <c r="AD52" i="11"/>
  <c r="AD50" i="11"/>
  <c r="O50" i="11"/>
  <c r="O52" i="11"/>
  <c r="M50" i="11"/>
  <c r="M52" i="11"/>
  <c r="S52" i="11"/>
  <c r="S50" i="11"/>
  <c r="V58" i="11"/>
  <c r="W58" i="11"/>
  <c r="T52" i="11"/>
  <c r="T50" i="11"/>
  <c r="X58" i="11"/>
  <c r="U19" i="11"/>
  <c r="Y58" i="11"/>
  <c r="X19" i="10"/>
  <c r="X50" i="10" s="1"/>
  <c r="AD19" i="10"/>
  <c r="AD52" i="10" s="1"/>
  <c r="AC19" i="10"/>
  <c r="AC52" i="10" s="1"/>
  <c r="Y19" i="10"/>
  <c r="Y50" i="10" s="1"/>
  <c r="V58" i="10"/>
  <c r="AB52" i="10"/>
  <c r="AB50" i="10"/>
  <c r="S52" i="10"/>
  <c r="S50" i="10"/>
  <c r="V50" i="10"/>
  <c r="V52" i="10"/>
  <c r="W58" i="10"/>
  <c r="W50" i="10"/>
  <c r="W52" i="10"/>
  <c r="X58" i="10"/>
  <c r="U50" i="10"/>
  <c r="U52" i="10"/>
  <c r="Y58" i="10"/>
  <c r="R19" i="21"/>
  <c r="R50" i="21" s="1"/>
  <c r="AB19" i="21"/>
  <c r="AB50" i="21" s="1"/>
  <c r="AC19" i="21"/>
  <c r="AC50" i="21" s="1"/>
  <c r="U52" i="21"/>
  <c r="Z52" i="21"/>
  <c r="Z50" i="21"/>
  <c r="Y52" i="21"/>
  <c r="Y50" i="21"/>
  <c r="O50" i="29"/>
  <c r="L52" i="29"/>
  <c r="J50" i="29"/>
  <c r="F97" i="29"/>
  <c r="L52" i="15"/>
  <c r="L50" i="15"/>
  <c r="Q50" i="15"/>
  <c r="Q52" i="15"/>
  <c r="AB50" i="15"/>
  <c r="AB52" i="15"/>
  <c r="Z52" i="15"/>
  <c r="S19" i="15"/>
  <c r="O19" i="15"/>
  <c r="M50" i="24"/>
  <c r="M52" i="24"/>
  <c r="J50" i="24"/>
  <c r="J52" i="24"/>
  <c r="Z50" i="24"/>
  <c r="Z52" i="24"/>
  <c r="Y50" i="24"/>
  <c r="Y52" i="24"/>
  <c r="U50" i="24"/>
  <c r="U52" i="24"/>
  <c r="X50" i="24"/>
  <c r="X52" i="24"/>
  <c r="AA50" i="24"/>
  <c r="AA52" i="24"/>
  <c r="O50" i="24"/>
  <c r="O52" i="24"/>
  <c r="W50" i="24"/>
  <c r="W52" i="24"/>
  <c r="T50" i="24"/>
  <c r="T52" i="24"/>
  <c r="AD52" i="24"/>
  <c r="AD50" i="24"/>
  <c r="N50" i="24"/>
  <c r="N52" i="24"/>
  <c r="S52" i="24"/>
  <c r="S50" i="24"/>
  <c r="R52" i="24"/>
  <c r="R50" i="24"/>
  <c r="AC52" i="24"/>
  <c r="AC50" i="24"/>
  <c r="Q52" i="24"/>
  <c r="Q50" i="24"/>
  <c r="V50" i="24"/>
  <c r="V52" i="24"/>
  <c r="AB52" i="24"/>
  <c r="AB50" i="24"/>
  <c r="F99" i="32"/>
  <c r="D78" i="7"/>
  <c r="F100" i="32"/>
  <c r="D77" i="7" s="1"/>
  <c r="F99" i="33"/>
  <c r="E78" i="7"/>
  <c r="F100" i="33"/>
  <c r="E77" i="7" s="1"/>
  <c r="O11" i="33"/>
  <c r="O12" i="33"/>
  <c r="P7" i="33"/>
  <c r="O13" i="33"/>
  <c r="O9" i="33"/>
  <c r="O10" i="33"/>
  <c r="O8" i="33"/>
  <c r="F101" i="33"/>
  <c r="E79" i="7" s="1"/>
  <c r="N11" i="32"/>
  <c r="N12" i="32"/>
  <c r="O7" i="32"/>
  <c r="N13" i="32"/>
  <c r="N9" i="32"/>
  <c r="N10" i="32"/>
  <c r="N8" i="32"/>
  <c r="N13" i="31"/>
  <c r="N9" i="31"/>
  <c r="N12" i="31"/>
  <c r="N10" i="31"/>
  <c r="N8" i="31"/>
  <c r="N11" i="31"/>
  <c r="O7" i="31"/>
  <c r="F101" i="31"/>
  <c r="E99" i="7" s="1"/>
  <c r="F100" i="31"/>
  <c r="E97" i="7" s="1"/>
  <c r="O10" i="30"/>
  <c r="O8" i="30"/>
  <c r="O11" i="30"/>
  <c r="O12" i="30"/>
  <c r="P7" i="30"/>
  <c r="O13" i="30"/>
  <c r="O9" i="30"/>
  <c r="F101" i="30"/>
  <c r="C99" i="7" s="1"/>
  <c r="F100" i="30"/>
  <c r="C97" i="7" s="1"/>
  <c r="N8" i="29"/>
  <c r="N13" i="29"/>
  <c r="N9" i="29"/>
  <c r="N11" i="29"/>
  <c r="N10" i="29"/>
  <c r="N12" i="29"/>
  <c r="O7" i="29"/>
  <c r="Z19" i="10"/>
  <c r="R19" i="10"/>
  <c r="O19" i="10"/>
  <c r="AA19" i="10"/>
  <c r="P19" i="10"/>
  <c r="Q19" i="10"/>
  <c r="F97" i="25"/>
  <c r="F99" i="25" s="1"/>
  <c r="K19" i="20"/>
  <c r="F97" i="27"/>
  <c r="F99" i="27" s="1"/>
  <c r="F99" i="26"/>
  <c r="D59" i="7"/>
  <c r="N10" i="28"/>
  <c r="N8" i="28"/>
  <c r="N11" i="28"/>
  <c r="N12" i="28"/>
  <c r="O7" i="28"/>
  <c r="N13" i="28"/>
  <c r="N9" i="28"/>
  <c r="N13" i="27"/>
  <c r="N9" i="27"/>
  <c r="N10" i="27"/>
  <c r="N8" i="27"/>
  <c r="O7" i="27"/>
  <c r="N11" i="27"/>
  <c r="N12" i="27"/>
  <c r="N8" i="26"/>
  <c r="N11" i="26"/>
  <c r="N12" i="26"/>
  <c r="O7" i="26"/>
  <c r="N13" i="26"/>
  <c r="N9" i="26"/>
  <c r="N10" i="26"/>
  <c r="O13" i="25"/>
  <c r="O9" i="25"/>
  <c r="O8" i="25"/>
  <c r="O10" i="25"/>
  <c r="O11" i="25"/>
  <c r="P7" i="25"/>
  <c r="O12" i="25"/>
  <c r="AA19" i="21"/>
  <c r="W19" i="21"/>
  <c r="L19" i="21"/>
  <c r="T19" i="21"/>
  <c r="Q19" i="21"/>
  <c r="AD19" i="21"/>
  <c r="P19" i="21"/>
  <c r="P50" i="21" s="1"/>
  <c r="P52" i="21" s="1"/>
  <c r="X19" i="21"/>
  <c r="V19" i="21"/>
  <c r="AA19" i="13"/>
  <c r="AC19" i="13"/>
  <c r="S19" i="13"/>
  <c r="Y19" i="13"/>
  <c r="Z19" i="13"/>
  <c r="K19" i="24"/>
  <c r="K50" i="24" s="1"/>
  <c r="K52" i="24" s="1"/>
  <c r="J97" i="24"/>
  <c r="J98" i="24" s="1"/>
  <c r="J97" i="21"/>
  <c r="J98" i="21" s="1"/>
  <c r="M19" i="21"/>
  <c r="M50" i="21" s="1"/>
  <c r="M52" i="21" s="1"/>
  <c r="O19" i="21"/>
  <c r="K19" i="21"/>
  <c r="K50" i="21" s="1"/>
  <c r="K52" i="21" s="1"/>
  <c r="J19" i="21"/>
  <c r="N19" i="21"/>
  <c r="N50" i="21" s="1"/>
  <c r="N52" i="21" s="1"/>
  <c r="M8" i="24"/>
  <c r="M11" i="24"/>
  <c r="M12" i="24"/>
  <c r="N7" i="24"/>
  <c r="M10" i="24"/>
  <c r="M13" i="24"/>
  <c r="M9" i="24"/>
  <c r="N10" i="22"/>
  <c r="N8" i="22"/>
  <c r="N11" i="22"/>
  <c r="N13" i="22"/>
  <c r="N12" i="22"/>
  <c r="O7" i="22"/>
  <c r="N9" i="22"/>
  <c r="M12" i="21"/>
  <c r="N7" i="21"/>
  <c r="M13" i="21"/>
  <c r="M9" i="21"/>
  <c r="M10" i="21"/>
  <c r="M8" i="21"/>
  <c r="M11" i="21"/>
  <c r="J97" i="20"/>
  <c r="J98" i="20" s="1"/>
  <c r="F97" i="17"/>
  <c r="B39" i="7" s="1"/>
  <c r="M12" i="20"/>
  <c r="N7" i="20"/>
  <c r="M13" i="20"/>
  <c r="M9" i="20"/>
  <c r="M8" i="20"/>
  <c r="M10" i="20"/>
  <c r="M11" i="20"/>
  <c r="N8" i="19"/>
  <c r="N11" i="19"/>
  <c r="N12" i="19"/>
  <c r="O7" i="19"/>
  <c r="N9" i="19"/>
  <c r="N10" i="19"/>
  <c r="N13" i="19"/>
  <c r="F97" i="18"/>
  <c r="M10" i="18"/>
  <c r="M8" i="18"/>
  <c r="M11" i="18"/>
  <c r="M12" i="18"/>
  <c r="N7" i="18"/>
  <c r="M13" i="18"/>
  <c r="M9" i="18"/>
  <c r="M12" i="17"/>
  <c r="N7" i="17"/>
  <c r="M13" i="17"/>
  <c r="M9" i="17"/>
  <c r="M10" i="17"/>
  <c r="M8" i="17"/>
  <c r="M11" i="17"/>
  <c r="AA19" i="15"/>
  <c r="Y19" i="15"/>
  <c r="W19" i="15"/>
  <c r="X19" i="15"/>
  <c r="AC19" i="15"/>
  <c r="P19" i="15"/>
  <c r="P50" i="15" s="1"/>
  <c r="P52" i="15" s="1"/>
  <c r="T19" i="15"/>
  <c r="K19" i="15"/>
  <c r="K50" i="15" s="1"/>
  <c r="K52" i="15" s="1"/>
  <c r="U19" i="15"/>
  <c r="J19" i="15"/>
  <c r="N19" i="15"/>
  <c r="AD19" i="15"/>
  <c r="L19" i="14"/>
  <c r="J97" i="14"/>
  <c r="J98" i="14" s="1"/>
  <c r="R19" i="16"/>
  <c r="AA19" i="16"/>
  <c r="X19" i="16"/>
  <c r="U19" i="16"/>
  <c r="Q19" i="16"/>
  <c r="K19" i="16"/>
  <c r="K50" i="16" s="1"/>
  <c r="K52" i="16" s="1"/>
  <c r="AC19" i="16"/>
  <c r="W19" i="16"/>
  <c r="T19" i="16"/>
  <c r="Z19" i="16"/>
  <c r="N19" i="16"/>
  <c r="V19" i="16"/>
  <c r="AB19" i="16"/>
  <c r="P19" i="16"/>
  <c r="P50" i="16" s="1"/>
  <c r="P52" i="16" s="1"/>
  <c r="O19" i="16"/>
  <c r="S19" i="16"/>
  <c r="J19" i="16"/>
  <c r="J50" i="16" s="1"/>
  <c r="L19" i="16"/>
  <c r="M19" i="16"/>
  <c r="J97" i="16"/>
  <c r="J98" i="16" s="1"/>
  <c r="L19" i="13"/>
  <c r="AD19" i="13"/>
  <c r="M19" i="13"/>
  <c r="M50" i="13" s="1"/>
  <c r="M52" i="13" s="1"/>
  <c r="J19" i="13"/>
  <c r="W19" i="13"/>
  <c r="N19" i="13"/>
  <c r="N50" i="13" s="1"/>
  <c r="N52" i="13" s="1"/>
  <c r="T19" i="13"/>
  <c r="P19" i="13"/>
  <c r="P50" i="13" s="1"/>
  <c r="P52" i="13" s="1"/>
  <c r="Q19" i="13"/>
  <c r="K19" i="13"/>
  <c r="K50" i="13" s="1"/>
  <c r="K52" i="13" s="1"/>
  <c r="J97" i="13"/>
  <c r="J98" i="13" s="1"/>
  <c r="F97" i="12"/>
  <c r="M12" i="16"/>
  <c r="N7" i="16"/>
  <c r="M13" i="16"/>
  <c r="M9" i="16"/>
  <c r="M8" i="16"/>
  <c r="M10" i="16"/>
  <c r="M11" i="16"/>
  <c r="N13" i="15"/>
  <c r="N9" i="15"/>
  <c r="N10" i="15"/>
  <c r="N8" i="15"/>
  <c r="N11" i="15"/>
  <c r="N12" i="15"/>
  <c r="O7" i="15"/>
  <c r="M10" i="14"/>
  <c r="M13" i="14"/>
  <c r="M9" i="14"/>
  <c r="M8" i="14"/>
  <c r="M11" i="14"/>
  <c r="M12" i="14"/>
  <c r="N7" i="14"/>
  <c r="M11" i="13"/>
  <c r="M12" i="13"/>
  <c r="N7" i="13"/>
  <c r="M8" i="13"/>
  <c r="M13" i="13"/>
  <c r="M9" i="13"/>
  <c r="M10" i="13"/>
  <c r="J97" i="12"/>
  <c r="J98" i="12" s="1"/>
  <c r="J97" i="11"/>
  <c r="J98" i="11" s="1"/>
  <c r="T19" i="10"/>
  <c r="K19" i="10"/>
  <c r="K50" i="10" s="1"/>
  <c r="K52" i="10" s="1"/>
  <c r="N19" i="10"/>
  <c r="M19" i="10"/>
  <c r="L19" i="10"/>
  <c r="J19" i="10"/>
  <c r="J97" i="10"/>
  <c r="J98" i="10" s="1"/>
  <c r="M12" i="12"/>
  <c r="N7" i="12"/>
  <c r="M13" i="12"/>
  <c r="M9" i="12"/>
  <c r="M11" i="12"/>
  <c r="M10" i="12"/>
  <c r="M8" i="12"/>
  <c r="M12" i="11"/>
  <c r="N7" i="11"/>
  <c r="M13" i="11"/>
  <c r="M9" i="11"/>
  <c r="M10" i="11"/>
  <c r="M8" i="11"/>
  <c r="M11" i="11"/>
  <c r="M12" i="10"/>
  <c r="N7" i="10"/>
  <c r="M11" i="10"/>
  <c r="M9" i="10"/>
  <c r="M13" i="10"/>
  <c r="M10" i="10"/>
  <c r="M8" i="10"/>
  <c r="M12" i="9"/>
  <c r="M9" i="9"/>
  <c r="M10" i="9"/>
  <c r="M13" i="9"/>
  <c r="M8" i="9"/>
  <c r="M11" i="9"/>
  <c r="N7" i="9"/>
  <c r="M19" i="6"/>
  <c r="M12" i="6"/>
  <c r="M13" i="6"/>
  <c r="M11" i="6"/>
  <c r="M9" i="6"/>
  <c r="AC19" i="6"/>
  <c r="AB19" i="6"/>
  <c r="J97" i="6"/>
  <c r="J98" i="6" s="1"/>
  <c r="H97" i="6"/>
  <c r="H98" i="6" s="1"/>
  <c r="N19" i="6"/>
  <c r="Y19" i="6"/>
  <c r="P19" i="6"/>
  <c r="J19" i="6"/>
  <c r="T19" i="6"/>
  <c r="AA19" i="6"/>
  <c r="U19" i="6"/>
  <c r="O19" i="6"/>
  <c r="K19" i="6"/>
  <c r="L19" i="6"/>
  <c r="V19" i="6"/>
  <c r="N7" i="6"/>
  <c r="M10" i="6"/>
  <c r="M8" i="6"/>
  <c r="P16" i="4"/>
  <c r="AB15" i="4"/>
  <c r="AB9" i="4" s="1"/>
  <c r="R16" i="4"/>
  <c r="Y15" i="4"/>
  <c r="Y9" i="4" s="1"/>
  <c r="X15" i="4"/>
  <c r="X9" i="4" s="1"/>
  <c r="AD15" i="4"/>
  <c r="AD9" i="4" s="1"/>
  <c r="V15" i="4"/>
  <c r="V9" i="4" s="1"/>
  <c r="Z15" i="4"/>
  <c r="Z9" i="4" s="1"/>
  <c r="S16" i="4"/>
  <c r="AA15" i="4"/>
  <c r="AA9" i="4" s="1"/>
  <c r="Q16" i="4"/>
  <c r="W15" i="4"/>
  <c r="W9" i="4" s="1"/>
  <c r="L42" i="4"/>
  <c r="W39" i="4"/>
  <c r="K39" i="4"/>
  <c r="AB39" i="4"/>
  <c r="S39" i="4"/>
  <c r="P39" i="4"/>
  <c r="N39" i="4"/>
  <c r="M39" i="4"/>
  <c r="Y39" i="4"/>
  <c r="V39" i="4"/>
  <c r="U39" i="4"/>
  <c r="J39" i="4"/>
  <c r="AD39" i="4"/>
  <c r="X39" i="4"/>
  <c r="AA39" i="4"/>
  <c r="Q39" i="4"/>
  <c r="AC39" i="4"/>
  <c r="R39" i="4"/>
  <c r="L39" i="4"/>
  <c r="O39" i="4"/>
  <c r="Z39" i="4"/>
  <c r="AD42" i="4"/>
  <c r="U42" i="4"/>
  <c r="S42" i="4"/>
  <c r="Y42" i="4"/>
  <c r="Z42" i="4"/>
  <c r="X42" i="4"/>
  <c r="O42" i="4"/>
  <c r="AB42" i="4"/>
  <c r="V42" i="4"/>
  <c r="R42" i="4"/>
  <c r="R27" i="4" s="1"/>
  <c r="T42" i="4"/>
  <c r="AA42" i="4"/>
  <c r="J42" i="4"/>
  <c r="N42" i="4"/>
  <c r="K42" i="4"/>
  <c r="P42" i="4"/>
  <c r="W42" i="4"/>
  <c r="M42" i="4"/>
  <c r="Q42" i="4"/>
  <c r="K37" i="4"/>
  <c r="P37" i="4"/>
  <c r="Q37" i="4"/>
  <c r="T37" i="4"/>
  <c r="N37" i="4"/>
  <c r="Y37" i="4"/>
  <c r="AB37" i="4"/>
  <c r="V37" i="4"/>
  <c r="W37" i="4"/>
  <c r="S37" i="4"/>
  <c r="J37" i="4"/>
  <c r="M37" i="4"/>
  <c r="AD37" i="4"/>
  <c r="O37" i="4"/>
  <c r="AA37" i="4"/>
  <c r="X37" i="4"/>
  <c r="L37" i="4"/>
  <c r="R37" i="4"/>
  <c r="U37" i="4"/>
  <c r="Z37" i="4"/>
  <c r="Z41" i="4"/>
  <c r="K41" i="4"/>
  <c r="AC41" i="4"/>
  <c r="AC27" i="4" s="1"/>
  <c r="X38" i="4"/>
  <c r="S41" i="4"/>
  <c r="N41" i="4"/>
  <c r="M41" i="4"/>
  <c r="R38" i="4"/>
  <c r="L67" i="4"/>
  <c r="L62" i="4" s="1"/>
  <c r="L61" i="4" s="1"/>
  <c r="K21" i="4"/>
  <c r="K9" i="4" s="1"/>
  <c r="L18" i="4"/>
  <c r="L9" i="4" s="1"/>
  <c r="W41" i="4"/>
  <c r="O38" i="4"/>
  <c r="P41" i="4"/>
  <c r="Z38" i="4"/>
  <c r="N38" i="4"/>
  <c r="L38" i="4"/>
  <c r="AD38" i="4"/>
  <c r="O41" i="4"/>
  <c r="M38" i="4"/>
  <c r="P19" i="4"/>
  <c r="T41" i="4"/>
  <c r="Q41" i="4"/>
  <c r="M21" i="4"/>
  <c r="M9" i="4" s="1"/>
  <c r="AB41" i="4"/>
  <c r="AB27" i="4" s="1"/>
  <c r="Y41" i="4"/>
  <c r="Q19" i="4"/>
  <c r="Q9" i="4" s="1"/>
  <c r="U38" i="4"/>
  <c r="W38" i="4"/>
  <c r="Q38" i="4"/>
  <c r="J21" i="4"/>
  <c r="J9" i="4" s="1"/>
  <c r="AC38" i="4"/>
  <c r="P38" i="4"/>
  <c r="Y38" i="4"/>
  <c r="U41" i="4"/>
  <c r="U27" i="4" s="1"/>
  <c r="X41" i="4"/>
  <c r="T38" i="4"/>
  <c r="K38" i="4"/>
  <c r="S38" i="4"/>
  <c r="AB38" i="4"/>
  <c r="S19" i="4"/>
  <c r="AA38" i="4"/>
  <c r="AA41" i="4"/>
  <c r="V41" i="4"/>
  <c r="J41" i="4"/>
  <c r="J38" i="4"/>
  <c r="R19" i="4"/>
  <c r="V38" i="4"/>
  <c r="L41" i="4"/>
  <c r="L27" i="4" s="1"/>
  <c r="AD41" i="4"/>
  <c r="AD27" i="4" s="1"/>
  <c r="C98" i="7" l="1"/>
  <c r="F97" i="22"/>
  <c r="F101" i="28"/>
  <c r="E60" i="7" s="1"/>
  <c r="F99" i="28"/>
  <c r="Z50" i="19"/>
  <c r="U52" i="19"/>
  <c r="Q52" i="19"/>
  <c r="F97" i="19"/>
  <c r="Y52" i="19"/>
  <c r="AC50" i="19"/>
  <c r="V52" i="19"/>
  <c r="AA52" i="19"/>
  <c r="F100" i="19"/>
  <c r="E38" i="7" s="1"/>
  <c r="R52" i="20"/>
  <c r="W50" i="20"/>
  <c r="W52" i="20"/>
  <c r="K52" i="20"/>
  <c r="K50" i="20"/>
  <c r="F97" i="20"/>
  <c r="AB52" i="20"/>
  <c r="AB50" i="20"/>
  <c r="N50" i="18"/>
  <c r="O50" i="18"/>
  <c r="M52" i="18"/>
  <c r="F101" i="18" s="1"/>
  <c r="C40" i="7" s="1"/>
  <c r="R50" i="14"/>
  <c r="S50" i="14"/>
  <c r="N50" i="14"/>
  <c r="AA50" i="14"/>
  <c r="Z52" i="14"/>
  <c r="W50" i="14"/>
  <c r="U50" i="14"/>
  <c r="V50" i="14"/>
  <c r="Q52" i="14"/>
  <c r="J50" i="14"/>
  <c r="O52" i="14"/>
  <c r="M50" i="14"/>
  <c r="M52" i="14"/>
  <c r="F97" i="14"/>
  <c r="E21" i="7" s="1"/>
  <c r="L50" i="14"/>
  <c r="L52" i="14" s="1"/>
  <c r="V50" i="15"/>
  <c r="R50" i="15"/>
  <c r="M50" i="15"/>
  <c r="Z50" i="11"/>
  <c r="AA52" i="11"/>
  <c r="Y52" i="11"/>
  <c r="L52" i="11"/>
  <c r="X52" i="10"/>
  <c r="T12" i="41"/>
  <c r="U7" i="41"/>
  <c r="T10" i="41"/>
  <c r="T13" i="41"/>
  <c r="T9" i="41"/>
  <c r="T11" i="41"/>
  <c r="T8" i="41"/>
  <c r="S10" i="40"/>
  <c r="S8" i="40"/>
  <c r="S11" i="40"/>
  <c r="S13" i="40"/>
  <c r="S9" i="40"/>
  <c r="S12" i="40"/>
  <c r="T7" i="40"/>
  <c r="S12" i="39"/>
  <c r="T7" i="39"/>
  <c r="S13" i="39"/>
  <c r="S9" i="39"/>
  <c r="S11" i="39"/>
  <c r="S10" i="39"/>
  <c r="S8" i="39"/>
  <c r="S8" i="38"/>
  <c r="S11" i="38"/>
  <c r="S12" i="38"/>
  <c r="T7" i="38"/>
  <c r="S13" i="38"/>
  <c r="S9" i="38"/>
  <c r="S10" i="38"/>
  <c r="S10" i="37"/>
  <c r="S9" i="37"/>
  <c r="S8" i="37"/>
  <c r="S11" i="37"/>
  <c r="S12" i="37"/>
  <c r="T7" i="37"/>
  <c r="S13" i="37"/>
  <c r="S13" i="36"/>
  <c r="S9" i="36"/>
  <c r="S10" i="36"/>
  <c r="S8" i="36"/>
  <c r="S11" i="36"/>
  <c r="S12" i="36"/>
  <c r="T7" i="36"/>
  <c r="S12" i="35"/>
  <c r="T7" i="35"/>
  <c r="S11" i="35"/>
  <c r="S10" i="35"/>
  <c r="S9" i="35"/>
  <c r="S13" i="35"/>
  <c r="S8" i="35"/>
  <c r="T8" i="34"/>
  <c r="T12" i="34"/>
  <c r="U7" i="34"/>
  <c r="T13" i="34"/>
  <c r="T9" i="34"/>
  <c r="T10" i="34"/>
  <c r="T11" i="34"/>
  <c r="S50" i="21"/>
  <c r="AB52" i="21"/>
  <c r="F100" i="22"/>
  <c r="C77" i="7" s="1"/>
  <c r="F101" i="22"/>
  <c r="C79" i="7" s="1"/>
  <c r="F101" i="29"/>
  <c r="B99" i="7" s="1"/>
  <c r="F100" i="29"/>
  <c r="B97" i="7" s="1"/>
  <c r="F100" i="27"/>
  <c r="C58" i="7" s="1"/>
  <c r="F101" i="27"/>
  <c r="C60" i="7" s="1"/>
  <c r="F101" i="25"/>
  <c r="B60" i="7" s="1"/>
  <c r="F100" i="25"/>
  <c r="B58" i="7" s="1"/>
  <c r="Y52" i="16"/>
  <c r="T52" i="16"/>
  <c r="T50" i="16"/>
  <c r="W52" i="16"/>
  <c r="W50" i="16"/>
  <c r="AC50" i="16"/>
  <c r="AC52" i="16"/>
  <c r="M50" i="16"/>
  <c r="M52" i="16"/>
  <c r="L50" i="16"/>
  <c r="L52" i="16"/>
  <c r="J52" i="16"/>
  <c r="Q50" i="16"/>
  <c r="Q52" i="16"/>
  <c r="S50" i="16"/>
  <c r="S52" i="16"/>
  <c r="U52" i="16"/>
  <c r="U50" i="16"/>
  <c r="O50" i="16"/>
  <c r="O52" i="16"/>
  <c r="X50" i="16"/>
  <c r="X52" i="16"/>
  <c r="AA50" i="16"/>
  <c r="AA52" i="16"/>
  <c r="AB50" i="16"/>
  <c r="AB52" i="16"/>
  <c r="R50" i="16"/>
  <c r="R52" i="16"/>
  <c r="V52" i="16"/>
  <c r="V50" i="16"/>
  <c r="N50" i="16"/>
  <c r="N52" i="16"/>
  <c r="Z50" i="16"/>
  <c r="Z52" i="16"/>
  <c r="X50" i="13"/>
  <c r="AB50" i="13"/>
  <c r="V52" i="13"/>
  <c r="U52" i="13"/>
  <c r="W50" i="13"/>
  <c r="W52" i="13"/>
  <c r="AD52" i="13"/>
  <c r="AD50" i="13"/>
  <c r="Z52" i="13"/>
  <c r="Z50" i="13"/>
  <c r="Y52" i="13"/>
  <c r="Y50" i="13"/>
  <c r="S52" i="13"/>
  <c r="S50" i="13"/>
  <c r="AC52" i="13"/>
  <c r="AC50" i="13"/>
  <c r="T50" i="13"/>
  <c r="T52" i="13"/>
  <c r="AA52" i="13"/>
  <c r="AA50" i="13"/>
  <c r="F101" i="12"/>
  <c r="E4" i="7" s="1"/>
  <c r="F100" i="12"/>
  <c r="E2" i="7" s="1"/>
  <c r="AC52" i="11"/>
  <c r="AB50" i="11"/>
  <c r="Q52" i="11"/>
  <c r="R50" i="11"/>
  <c r="V52" i="11"/>
  <c r="W50" i="11"/>
  <c r="F97" i="11"/>
  <c r="F99" i="11" s="1"/>
  <c r="X52" i="11"/>
  <c r="U52" i="11"/>
  <c r="U50" i="11"/>
  <c r="AD50" i="10"/>
  <c r="AC50" i="10"/>
  <c r="Y52" i="10"/>
  <c r="J50" i="10"/>
  <c r="J52" i="10"/>
  <c r="L50" i="10"/>
  <c r="L52" i="10"/>
  <c r="M50" i="10"/>
  <c r="M52" i="10"/>
  <c r="Q52" i="10"/>
  <c r="Q50" i="10"/>
  <c r="P52" i="10"/>
  <c r="P50" i="10"/>
  <c r="AA50" i="10"/>
  <c r="AA52" i="10"/>
  <c r="T50" i="10"/>
  <c r="T52" i="10"/>
  <c r="O50" i="10"/>
  <c r="O52" i="10"/>
  <c r="R52" i="10"/>
  <c r="R50" i="10"/>
  <c r="Z50" i="10"/>
  <c r="Z52" i="10"/>
  <c r="N50" i="10"/>
  <c r="N52" i="10"/>
  <c r="R52" i="21"/>
  <c r="AC52" i="21"/>
  <c r="V52" i="21"/>
  <c r="V50" i="21"/>
  <c r="X52" i="21"/>
  <c r="X50" i="21"/>
  <c r="O50" i="21"/>
  <c r="O52" i="21"/>
  <c r="AD50" i="21"/>
  <c r="AD52" i="21"/>
  <c r="Q50" i="21"/>
  <c r="Q52" i="21"/>
  <c r="T52" i="21"/>
  <c r="T50" i="21"/>
  <c r="W52" i="21"/>
  <c r="W50" i="21"/>
  <c r="AA50" i="21"/>
  <c r="AA52" i="21"/>
  <c r="F99" i="29"/>
  <c r="B98" i="7"/>
  <c r="N50" i="15"/>
  <c r="N52" i="15"/>
  <c r="J52" i="15"/>
  <c r="J50" i="15"/>
  <c r="U50" i="15"/>
  <c r="U52" i="15"/>
  <c r="AD50" i="15"/>
  <c r="AD52" i="15"/>
  <c r="Q50" i="13"/>
  <c r="Q52" i="13"/>
  <c r="T50" i="15"/>
  <c r="T52" i="15"/>
  <c r="AC50" i="15"/>
  <c r="AC52" i="15"/>
  <c r="X52" i="15"/>
  <c r="X50" i="15"/>
  <c r="O50" i="15"/>
  <c r="O52" i="15"/>
  <c r="L50" i="13"/>
  <c r="L52" i="13"/>
  <c r="W52" i="15"/>
  <c r="W50" i="15"/>
  <c r="S50" i="15"/>
  <c r="S52" i="15"/>
  <c r="J50" i="13"/>
  <c r="J52" i="13"/>
  <c r="Y52" i="15"/>
  <c r="Y50" i="15"/>
  <c r="AA50" i="15"/>
  <c r="AA52" i="15"/>
  <c r="J52" i="21"/>
  <c r="J50" i="21"/>
  <c r="L52" i="21"/>
  <c r="L50" i="21"/>
  <c r="F101" i="24"/>
  <c r="D99" i="7" s="1"/>
  <c r="F100" i="24"/>
  <c r="D97" i="7" s="1"/>
  <c r="F97" i="24"/>
  <c r="P12" i="33"/>
  <c r="Q7" i="33"/>
  <c r="P8" i="33"/>
  <c r="P13" i="33"/>
  <c r="P9" i="33"/>
  <c r="P10" i="33"/>
  <c r="P11" i="33"/>
  <c r="O10" i="32"/>
  <c r="O8" i="32"/>
  <c r="O12" i="32"/>
  <c r="P7" i="32"/>
  <c r="O13" i="32"/>
  <c r="O9" i="32"/>
  <c r="O11" i="32"/>
  <c r="O13" i="31"/>
  <c r="O9" i="31"/>
  <c r="O10" i="31"/>
  <c r="O8" i="31"/>
  <c r="O11" i="31"/>
  <c r="O12" i="31"/>
  <c r="P7" i="31"/>
  <c r="P10" i="30"/>
  <c r="P8" i="30"/>
  <c r="P11" i="30"/>
  <c r="P12" i="30"/>
  <c r="Q7" i="30"/>
  <c r="P13" i="30"/>
  <c r="P9" i="30"/>
  <c r="O13" i="29"/>
  <c r="O9" i="29"/>
  <c r="O10" i="29"/>
  <c r="O8" i="29"/>
  <c r="O11" i="29"/>
  <c r="O12" i="29"/>
  <c r="P7" i="29"/>
  <c r="F99" i="19"/>
  <c r="E39" i="7"/>
  <c r="F99" i="22"/>
  <c r="C78" i="7"/>
  <c r="F99" i="18"/>
  <c r="C39" i="7"/>
  <c r="B59" i="7"/>
  <c r="F99" i="20"/>
  <c r="D39" i="7"/>
  <c r="C59" i="7"/>
  <c r="O8" i="28"/>
  <c r="O11" i="28"/>
  <c r="O12" i="28"/>
  <c r="P7" i="28"/>
  <c r="O10" i="28"/>
  <c r="O13" i="28"/>
  <c r="O9" i="28"/>
  <c r="O12" i="27"/>
  <c r="P7" i="27"/>
  <c r="O13" i="27"/>
  <c r="O9" i="27"/>
  <c r="O10" i="27"/>
  <c r="O8" i="27"/>
  <c r="O11" i="27"/>
  <c r="O10" i="26"/>
  <c r="O11" i="26"/>
  <c r="O12" i="26"/>
  <c r="P7" i="26"/>
  <c r="O13" i="26"/>
  <c r="O9" i="26"/>
  <c r="O8" i="26"/>
  <c r="P10" i="25"/>
  <c r="P11" i="25"/>
  <c r="P8" i="25"/>
  <c r="P12" i="25"/>
  <c r="Q7" i="25"/>
  <c r="P9" i="25"/>
  <c r="P13" i="25"/>
  <c r="F97" i="21"/>
  <c r="N8" i="24"/>
  <c r="N11" i="24"/>
  <c r="N12" i="24"/>
  <c r="O7" i="24"/>
  <c r="N13" i="24"/>
  <c r="N9" i="24"/>
  <c r="N10" i="24"/>
  <c r="O10" i="22"/>
  <c r="O8" i="22"/>
  <c r="O11" i="22"/>
  <c r="O12" i="22"/>
  <c r="P7" i="22"/>
  <c r="O13" i="22"/>
  <c r="O9" i="22"/>
  <c r="N13" i="21"/>
  <c r="N9" i="21"/>
  <c r="N10" i="21"/>
  <c r="O7" i="21"/>
  <c r="N8" i="21"/>
  <c r="N11" i="21"/>
  <c r="N12" i="21"/>
  <c r="F99" i="17"/>
  <c r="N13" i="20"/>
  <c r="N9" i="20"/>
  <c r="N11" i="20"/>
  <c r="N10" i="20"/>
  <c r="N8" i="20"/>
  <c r="N12" i="20"/>
  <c r="O7" i="20"/>
  <c r="O8" i="19"/>
  <c r="O13" i="19"/>
  <c r="O11" i="19"/>
  <c r="O12" i="19"/>
  <c r="P7" i="19"/>
  <c r="O9" i="19"/>
  <c r="O10" i="19"/>
  <c r="N10" i="18"/>
  <c r="N8" i="18"/>
  <c r="N11" i="18"/>
  <c r="N12" i="18"/>
  <c r="O7" i="18"/>
  <c r="N13" i="18"/>
  <c r="N9" i="18"/>
  <c r="N12" i="17"/>
  <c r="O7" i="17"/>
  <c r="N13" i="17"/>
  <c r="N9" i="17"/>
  <c r="N10" i="17"/>
  <c r="N8" i="17"/>
  <c r="N11" i="17"/>
  <c r="F97" i="15"/>
  <c r="D21" i="7" s="1"/>
  <c r="F97" i="16"/>
  <c r="C21" i="7" s="1"/>
  <c r="F97" i="13"/>
  <c r="B21" i="7" s="1"/>
  <c r="F99" i="12"/>
  <c r="E3" i="7"/>
  <c r="N11" i="16"/>
  <c r="N13" i="16"/>
  <c r="N9" i="16"/>
  <c r="N10" i="16"/>
  <c r="N8" i="16"/>
  <c r="N12" i="16"/>
  <c r="O7" i="16"/>
  <c r="O13" i="15"/>
  <c r="O9" i="15"/>
  <c r="O10" i="15"/>
  <c r="O8" i="15"/>
  <c r="O11" i="15"/>
  <c r="O12" i="15"/>
  <c r="P7" i="15"/>
  <c r="N8" i="14"/>
  <c r="N11" i="14"/>
  <c r="N12" i="14"/>
  <c r="O7" i="14"/>
  <c r="N13" i="14"/>
  <c r="N9" i="14"/>
  <c r="N10" i="14"/>
  <c r="N12" i="13"/>
  <c r="O7" i="13"/>
  <c r="N11" i="13"/>
  <c r="N13" i="13"/>
  <c r="N9" i="13"/>
  <c r="N10" i="13"/>
  <c r="N8" i="13"/>
  <c r="F97" i="10"/>
  <c r="O7" i="12"/>
  <c r="N13" i="12"/>
  <c r="N9" i="12"/>
  <c r="N11" i="12"/>
  <c r="N10" i="12"/>
  <c r="N12" i="12"/>
  <c r="N8" i="12"/>
  <c r="N13" i="11"/>
  <c r="N9" i="11"/>
  <c r="N12" i="11"/>
  <c r="N10" i="11"/>
  <c r="N8" i="11"/>
  <c r="N11" i="11"/>
  <c r="O7" i="11"/>
  <c r="N13" i="10"/>
  <c r="N9" i="10"/>
  <c r="O7" i="10"/>
  <c r="N12" i="10"/>
  <c r="N10" i="10"/>
  <c r="N8" i="10"/>
  <c r="N11" i="10"/>
  <c r="N13" i="9"/>
  <c r="N9" i="9"/>
  <c r="N10" i="9"/>
  <c r="N8" i="9"/>
  <c r="N11" i="9"/>
  <c r="N12" i="9"/>
  <c r="O7" i="9"/>
  <c r="N9" i="6"/>
  <c r="N12" i="6"/>
  <c r="N13" i="6"/>
  <c r="N11" i="6"/>
  <c r="S9" i="4"/>
  <c r="F97" i="6"/>
  <c r="F99" i="6" s="1"/>
  <c r="O7" i="6"/>
  <c r="N10" i="6"/>
  <c r="N8" i="6"/>
  <c r="P9" i="4"/>
  <c r="R9" i="4"/>
  <c r="AA27" i="4"/>
  <c r="K27" i="4"/>
  <c r="N27" i="4"/>
  <c r="O27" i="4"/>
  <c r="Y27" i="4"/>
  <c r="V27" i="4"/>
  <c r="X27" i="4"/>
  <c r="Z27" i="4"/>
  <c r="W27" i="4"/>
  <c r="S27" i="4"/>
  <c r="P27" i="4"/>
  <c r="Q27" i="4"/>
  <c r="M27" i="4"/>
  <c r="T27" i="4"/>
  <c r="J27" i="4"/>
  <c r="H97" i="7" l="1"/>
  <c r="F97" i="7"/>
  <c r="Q15" i="7" s="1"/>
  <c r="U15" i="7" s="1"/>
  <c r="F99" i="24"/>
  <c r="D98" i="7"/>
  <c r="G97" i="7" s="1"/>
  <c r="F101" i="19"/>
  <c r="E40" i="7" s="1"/>
  <c r="F100" i="20"/>
  <c r="D38" i="7" s="1"/>
  <c r="F101" i="20"/>
  <c r="D40" i="7" s="1"/>
  <c r="F100" i="18"/>
  <c r="C38" i="7" s="1"/>
  <c r="F99" i="14"/>
  <c r="F100" i="14"/>
  <c r="E20" i="7" s="1"/>
  <c r="F101" i="14"/>
  <c r="E22" i="7" s="1"/>
  <c r="F100" i="11"/>
  <c r="D2" i="7" s="1"/>
  <c r="U12" i="41"/>
  <c r="V7" i="41"/>
  <c r="U13" i="41"/>
  <c r="U9" i="41"/>
  <c r="U10" i="41"/>
  <c r="U8" i="41"/>
  <c r="U11" i="41"/>
  <c r="T10" i="40"/>
  <c r="T8" i="40"/>
  <c r="T11" i="40"/>
  <c r="T12" i="40"/>
  <c r="U7" i="40"/>
  <c r="T13" i="40"/>
  <c r="T9" i="40"/>
  <c r="T12" i="39"/>
  <c r="U7" i="39"/>
  <c r="T13" i="39"/>
  <c r="T9" i="39"/>
  <c r="T10" i="39"/>
  <c r="T8" i="39"/>
  <c r="T11" i="39"/>
  <c r="T11" i="38"/>
  <c r="U7" i="38"/>
  <c r="T13" i="38"/>
  <c r="T9" i="38"/>
  <c r="T12" i="38"/>
  <c r="T10" i="38"/>
  <c r="T8" i="38"/>
  <c r="S15" i="7"/>
  <c r="W15" i="7" s="1"/>
  <c r="D102" i="7"/>
  <c r="E102" i="7"/>
  <c r="B102" i="7"/>
  <c r="C102" i="7"/>
  <c r="B100" i="7"/>
  <c r="D100" i="7"/>
  <c r="E100" i="7"/>
  <c r="T8" i="37"/>
  <c r="T11" i="37"/>
  <c r="T12" i="37"/>
  <c r="U7" i="37"/>
  <c r="T10" i="37"/>
  <c r="T13" i="37"/>
  <c r="T9" i="37"/>
  <c r="U7" i="36"/>
  <c r="T10" i="36"/>
  <c r="T8" i="36"/>
  <c r="T12" i="36"/>
  <c r="T11" i="36"/>
  <c r="T13" i="36"/>
  <c r="T9" i="36"/>
  <c r="T12" i="35"/>
  <c r="U7" i="35"/>
  <c r="T11" i="35"/>
  <c r="T13" i="35"/>
  <c r="T9" i="35"/>
  <c r="T10" i="35"/>
  <c r="T8" i="35"/>
  <c r="U11" i="34"/>
  <c r="U12" i="34"/>
  <c r="V7" i="34"/>
  <c r="U13" i="34"/>
  <c r="U9" i="34"/>
  <c r="U8" i="34"/>
  <c r="U10" i="34"/>
  <c r="F58" i="7"/>
  <c r="B61" i="7" s="1"/>
  <c r="H58" i="7"/>
  <c r="B63" i="7" s="1"/>
  <c r="F100" i="16"/>
  <c r="C20" i="7" s="1"/>
  <c r="F101" i="16"/>
  <c r="C22" i="7" s="1"/>
  <c r="D3" i="7"/>
  <c r="F101" i="11"/>
  <c r="D4" i="7" s="1"/>
  <c r="F101" i="10"/>
  <c r="C4" i="7" s="1"/>
  <c r="F100" i="10"/>
  <c r="C2" i="7" s="1"/>
  <c r="F101" i="21"/>
  <c r="B79" i="7" s="1"/>
  <c r="H77" i="7" s="1"/>
  <c r="E82" i="7" s="1"/>
  <c r="F100" i="15"/>
  <c r="D20" i="7" s="1"/>
  <c r="F101" i="15"/>
  <c r="D22" i="7" s="1"/>
  <c r="G20" i="7"/>
  <c r="F101" i="13"/>
  <c r="B22" i="7" s="1"/>
  <c r="F100" i="13"/>
  <c r="B20" i="7" s="1"/>
  <c r="F100" i="21"/>
  <c r="B77" i="7" s="1"/>
  <c r="F77" i="7" s="1"/>
  <c r="E80" i="7" s="1"/>
  <c r="Q12" i="33"/>
  <c r="R7" i="33"/>
  <c r="Q13" i="33"/>
  <c r="Q9" i="33"/>
  <c r="Q10" i="33"/>
  <c r="Q8" i="33"/>
  <c r="Q11" i="33"/>
  <c r="P12" i="32"/>
  <c r="Q7" i="32"/>
  <c r="P11" i="32"/>
  <c r="P13" i="32"/>
  <c r="P9" i="32"/>
  <c r="P10" i="32"/>
  <c r="P8" i="32"/>
  <c r="P13" i="31"/>
  <c r="P9" i="31"/>
  <c r="P10" i="31"/>
  <c r="P8" i="31"/>
  <c r="P11" i="31"/>
  <c r="P12" i="31"/>
  <c r="Q7" i="31"/>
  <c r="Q8" i="30"/>
  <c r="Q11" i="30"/>
  <c r="Q12" i="30"/>
  <c r="R7" i="30"/>
  <c r="Q10" i="30"/>
  <c r="Q13" i="30"/>
  <c r="Q9" i="30"/>
  <c r="P13" i="29"/>
  <c r="P9" i="29"/>
  <c r="P10" i="29"/>
  <c r="P11" i="29"/>
  <c r="P8" i="29"/>
  <c r="P12" i="29"/>
  <c r="Q7" i="29"/>
  <c r="G58" i="7"/>
  <c r="P11" i="28"/>
  <c r="P12" i="28"/>
  <c r="Q7" i="28"/>
  <c r="P13" i="28"/>
  <c r="P9" i="28"/>
  <c r="P8" i="28"/>
  <c r="P10" i="28"/>
  <c r="P13" i="27"/>
  <c r="P9" i="27"/>
  <c r="Q7" i="27"/>
  <c r="P10" i="27"/>
  <c r="P8" i="27"/>
  <c r="P11" i="27"/>
  <c r="P12" i="27"/>
  <c r="P9" i="26"/>
  <c r="Q7" i="26"/>
  <c r="P12" i="26"/>
  <c r="P13" i="26"/>
  <c r="P10" i="26"/>
  <c r="P8" i="26"/>
  <c r="P11" i="26"/>
  <c r="Q11" i="25"/>
  <c r="Q10" i="25"/>
  <c r="Q8" i="25"/>
  <c r="R7" i="25"/>
  <c r="Q12" i="25"/>
  <c r="Q9" i="25"/>
  <c r="Q13" i="25"/>
  <c r="F99" i="21"/>
  <c r="B78" i="7"/>
  <c r="F99" i="13"/>
  <c r="O11" i="24"/>
  <c r="O12" i="24"/>
  <c r="P7" i="24"/>
  <c r="O13" i="24"/>
  <c r="O9" i="24"/>
  <c r="O10" i="24"/>
  <c r="O8" i="24"/>
  <c r="P10" i="22"/>
  <c r="P8" i="22"/>
  <c r="P11" i="22"/>
  <c r="P12" i="22"/>
  <c r="Q7" i="22"/>
  <c r="P13" i="22"/>
  <c r="P9" i="22"/>
  <c r="O12" i="21"/>
  <c r="P7" i="21"/>
  <c r="O13" i="21"/>
  <c r="O9" i="21"/>
  <c r="O10" i="21"/>
  <c r="O8" i="21"/>
  <c r="O11" i="21"/>
  <c r="G38" i="7"/>
  <c r="R21" i="7" s="1"/>
  <c r="V21" i="7" s="1"/>
  <c r="F99" i="10"/>
  <c r="C3" i="7"/>
  <c r="F99" i="16"/>
  <c r="O13" i="20"/>
  <c r="O9" i="20"/>
  <c r="P7" i="20"/>
  <c r="O10" i="20"/>
  <c r="O8" i="20"/>
  <c r="O11" i="20"/>
  <c r="O12" i="20"/>
  <c r="P11" i="19"/>
  <c r="P12" i="19"/>
  <c r="Q7" i="19"/>
  <c r="P13" i="19"/>
  <c r="P9" i="19"/>
  <c r="P10" i="19"/>
  <c r="P8" i="19"/>
  <c r="O10" i="18"/>
  <c r="O12" i="18"/>
  <c r="P7" i="18"/>
  <c r="O8" i="18"/>
  <c r="O11" i="18"/>
  <c r="O13" i="18"/>
  <c r="O9" i="18"/>
  <c r="O12" i="17"/>
  <c r="P7" i="17"/>
  <c r="O13" i="17"/>
  <c r="O9" i="17"/>
  <c r="O8" i="17"/>
  <c r="O11" i="17"/>
  <c r="O10" i="17"/>
  <c r="F99" i="15"/>
  <c r="O13" i="16"/>
  <c r="O9" i="16"/>
  <c r="O10" i="16"/>
  <c r="O8" i="16"/>
  <c r="O11" i="16"/>
  <c r="O12" i="16"/>
  <c r="P7" i="16"/>
  <c r="P13" i="15"/>
  <c r="P9" i="15"/>
  <c r="P10" i="15"/>
  <c r="P8" i="15"/>
  <c r="P11" i="15"/>
  <c r="P12" i="15"/>
  <c r="Q7" i="15"/>
  <c r="O8" i="14"/>
  <c r="O11" i="14"/>
  <c r="O12" i="14"/>
  <c r="P7" i="14"/>
  <c r="O13" i="14"/>
  <c r="O9" i="14"/>
  <c r="O10" i="14"/>
  <c r="O12" i="13"/>
  <c r="P7" i="13"/>
  <c r="O13" i="13"/>
  <c r="O9" i="13"/>
  <c r="O11" i="13"/>
  <c r="O10" i="13"/>
  <c r="O8" i="13"/>
  <c r="O13" i="12"/>
  <c r="O9" i="12"/>
  <c r="O12" i="12"/>
  <c r="O10" i="12"/>
  <c r="O8" i="12"/>
  <c r="P7" i="12"/>
  <c r="O11" i="12"/>
  <c r="O12" i="11"/>
  <c r="O13" i="11"/>
  <c r="O9" i="11"/>
  <c r="P7" i="11"/>
  <c r="O10" i="11"/>
  <c r="O8" i="11"/>
  <c r="O11" i="11"/>
  <c r="O13" i="10"/>
  <c r="O9" i="10"/>
  <c r="O10" i="10"/>
  <c r="O12" i="10"/>
  <c r="O8" i="10"/>
  <c r="O11" i="10"/>
  <c r="P7" i="10"/>
  <c r="O13" i="9"/>
  <c r="O9" i="9"/>
  <c r="O10" i="9"/>
  <c r="O8" i="9"/>
  <c r="O12" i="9"/>
  <c r="O11" i="9"/>
  <c r="P7" i="9"/>
  <c r="O9" i="6"/>
  <c r="O12" i="6"/>
  <c r="O13" i="6"/>
  <c r="O11" i="6"/>
  <c r="O10" i="6"/>
  <c r="P7" i="6"/>
  <c r="O8" i="6"/>
  <c r="F97" i="4"/>
  <c r="F99" i="4" s="1"/>
  <c r="C100" i="7" l="1"/>
  <c r="C101" i="7"/>
  <c r="E101" i="7"/>
  <c r="B101" i="7"/>
  <c r="R15" i="7"/>
  <c r="V15" i="7" s="1"/>
  <c r="D101" i="7"/>
  <c r="H38" i="7"/>
  <c r="C43" i="7" s="1"/>
  <c r="F38" i="7"/>
  <c r="S21" i="7"/>
  <c r="W21" i="7" s="1"/>
  <c r="B43" i="7"/>
  <c r="E43" i="7"/>
  <c r="D43" i="7"/>
  <c r="V12" i="41"/>
  <c r="W7" i="41"/>
  <c r="V8" i="41"/>
  <c r="V13" i="41"/>
  <c r="V9" i="41"/>
  <c r="V10" i="41"/>
  <c r="V11" i="41"/>
  <c r="U10" i="40"/>
  <c r="U8" i="40"/>
  <c r="U13" i="40"/>
  <c r="U11" i="40"/>
  <c r="U9" i="40"/>
  <c r="U12" i="40"/>
  <c r="V7" i="40"/>
  <c r="U12" i="39"/>
  <c r="V7" i="39"/>
  <c r="U13" i="39"/>
  <c r="U9" i="39"/>
  <c r="U10" i="39"/>
  <c r="U8" i="39"/>
  <c r="U11" i="39"/>
  <c r="U12" i="38"/>
  <c r="V7" i="38"/>
  <c r="U13" i="38"/>
  <c r="U9" i="38"/>
  <c r="U10" i="38"/>
  <c r="U8" i="38"/>
  <c r="U11" i="38"/>
  <c r="U8" i="37"/>
  <c r="U11" i="37"/>
  <c r="U10" i="37"/>
  <c r="U13" i="37"/>
  <c r="U12" i="37"/>
  <c r="V7" i="37"/>
  <c r="U9" i="37"/>
  <c r="U10" i="36"/>
  <c r="U9" i="36"/>
  <c r="U8" i="36"/>
  <c r="U11" i="36"/>
  <c r="U13" i="36"/>
  <c r="U12" i="36"/>
  <c r="V7" i="36"/>
  <c r="U12" i="35"/>
  <c r="V7" i="35"/>
  <c r="U13" i="35"/>
  <c r="U9" i="35"/>
  <c r="U10" i="35"/>
  <c r="U8" i="35"/>
  <c r="U11" i="35"/>
  <c r="V12" i="34"/>
  <c r="W7" i="34"/>
  <c r="V9" i="34"/>
  <c r="V13" i="34"/>
  <c r="V10" i="34"/>
  <c r="V11" i="34"/>
  <c r="V8" i="34"/>
  <c r="C61" i="7"/>
  <c r="D61" i="7"/>
  <c r="E61" i="7"/>
  <c r="Q20" i="7"/>
  <c r="U20" i="7" s="1"/>
  <c r="C63" i="7"/>
  <c r="D63" i="7"/>
  <c r="E63" i="7"/>
  <c r="S20" i="7"/>
  <c r="W20" i="7" s="1"/>
  <c r="B82" i="7"/>
  <c r="S17" i="7"/>
  <c r="W17" i="7" s="1"/>
  <c r="C82" i="7"/>
  <c r="D82" i="7"/>
  <c r="Q17" i="7"/>
  <c r="U17" i="7" s="1"/>
  <c r="F20" i="7"/>
  <c r="B23" i="7" s="1"/>
  <c r="H20" i="7"/>
  <c r="B25" i="7" s="1"/>
  <c r="E24" i="7"/>
  <c r="C24" i="7"/>
  <c r="B24" i="7"/>
  <c r="D24" i="7"/>
  <c r="D80" i="7"/>
  <c r="B80" i="7"/>
  <c r="C80" i="7"/>
  <c r="R12" i="33"/>
  <c r="S7" i="33"/>
  <c r="R13" i="33"/>
  <c r="R9" i="33"/>
  <c r="R10" i="33"/>
  <c r="R8" i="33"/>
  <c r="R11" i="33"/>
  <c r="Q12" i="32"/>
  <c r="R7" i="32"/>
  <c r="Q13" i="32"/>
  <c r="Q9" i="32"/>
  <c r="Q8" i="32"/>
  <c r="Q10" i="32"/>
  <c r="Q11" i="32"/>
  <c r="Q10" i="31"/>
  <c r="Q8" i="31"/>
  <c r="Q11" i="31"/>
  <c r="Q13" i="31"/>
  <c r="Q9" i="31"/>
  <c r="Q12" i="31"/>
  <c r="R7" i="31"/>
  <c r="D62" i="7"/>
  <c r="E62" i="7"/>
  <c r="B62" i="7"/>
  <c r="C62" i="7"/>
  <c r="R8" i="30"/>
  <c r="R11" i="30"/>
  <c r="R12" i="30"/>
  <c r="S7" i="30"/>
  <c r="R13" i="30"/>
  <c r="R9" i="30"/>
  <c r="R10" i="30"/>
  <c r="Q10" i="29"/>
  <c r="Q8" i="29"/>
  <c r="Q12" i="29"/>
  <c r="R7" i="29"/>
  <c r="Q11" i="29"/>
  <c r="Q13" i="29"/>
  <c r="Q9" i="29"/>
  <c r="R20" i="7"/>
  <c r="V20" i="7" s="1"/>
  <c r="Q12" i="28"/>
  <c r="R7" i="28"/>
  <c r="Q8" i="28"/>
  <c r="Q11" i="28"/>
  <c r="Q13" i="28"/>
  <c r="Q9" i="28"/>
  <c r="Q10" i="28"/>
  <c r="Q13" i="27"/>
  <c r="Q10" i="27"/>
  <c r="Q8" i="27"/>
  <c r="Q11" i="27"/>
  <c r="Q9" i="27"/>
  <c r="Q12" i="27"/>
  <c r="R7" i="27"/>
  <c r="Q12" i="26"/>
  <c r="R7" i="26"/>
  <c r="Q9" i="26"/>
  <c r="Q8" i="26"/>
  <c r="Q13" i="26"/>
  <c r="Q10" i="26"/>
  <c r="Q11" i="26"/>
  <c r="R10" i="25"/>
  <c r="R8" i="25"/>
  <c r="R11" i="25"/>
  <c r="R12" i="25"/>
  <c r="S7" i="25"/>
  <c r="R13" i="25"/>
  <c r="R9" i="25"/>
  <c r="G77" i="7"/>
  <c r="P12" i="24"/>
  <c r="Q7" i="24"/>
  <c r="P8" i="24"/>
  <c r="P11" i="24"/>
  <c r="P13" i="24"/>
  <c r="P9" i="24"/>
  <c r="P10" i="24"/>
  <c r="Q8" i="22"/>
  <c r="Q11" i="22"/>
  <c r="Q12" i="22"/>
  <c r="R7" i="22"/>
  <c r="Q10" i="22"/>
  <c r="Q13" i="22"/>
  <c r="Q9" i="22"/>
  <c r="P13" i="21"/>
  <c r="P9" i="21"/>
  <c r="P10" i="21"/>
  <c r="P8" i="21"/>
  <c r="P11" i="21"/>
  <c r="P12" i="21"/>
  <c r="Q7" i="21"/>
  <c r="C42" i="7"/>
  <c r="D42" i="7"/>
  <c r="E42" i="7"/>
  <c r="B42" i="7"/>
  <c r="P13" i="20"/>
  <c r="P9" i="20"/>
  <c r="P10" i="20"/>
  <c r="P8" i="20"/>
  <c r="P11" i="20"/>
  <c r="P12" i="20"/>
  <c r="Q7" i="20"/>
  <c r="Q12" i="19"/>
  <c r="R7" i="19"/>
  <c r="Q13" i="19"/>
  <c r="Q9" i="19"/>
  <c r="Q10" i="19"/>
  <c r="Q8" i="19"/>
  <c r="Q11" i="19"/>
  <c r="P8" i="18"/>
  <c r="P11" i="18"/>
  <c r="P12" i="18"/>
  <c r="Q7" i="18"/>
  <c r="P13" i="18"/>
  <c r="P9" i="18"/>
  <c r="P10" i="18"/>
  <c r="P13" i="17"/>
  <c r="P9" i="17"/>
  <c r="P10" i="17"/>
  <c r="P8" i="17"/>
  <c r="P11" i="17"/>
  <c r="P12" i="17"/>
  <c r="Q7" i="17"/>
  <c r="P13" i="16"/>
  <c r="P9" i="16"/>
  <c r="P10" i="16"/>
  <c r="P8" i="16"/>
  <c r="P11" i="16"/>
  <c r="P12" i="16"/>
  <c r="Q7" i="16"/>
  <c r="Q10" i="15"/>
  <c r="Q8" i="15"/>
  <c r="Q11" i="15"/>
  <c r="Q12" i="15"/>
  <c r="R7" i="15"/>
  <c r="Q13" i="15"/>
  <c r="Q9" i="15"/>
  <c r="P11" i="14"/>
  <c r="P8" i="14"/>
  <c r="P12" i="14"/>
  <c r="Q7" i="14"/>
  <c r="P10" i="14"/>
  <c r="P13" i="14"/>
  <c r="P9" i="14"/>
  <c r="P12" i="13"/>
  <c r="Q7" i="13"/>
  <c r="P13" i="13"/>
  <c r="P9" i="13"/>
  <c r="P10" i="13"/>
  <c r="P8" i="13"/>
  <c r="P11" i="13"/>
  <c r="P13" i="12"/>
  <c r="P9" i="12"/>
  <c r="P10" i="12"/>
  <c r="P8" i="12"/>
  <c r="Q7" i="12"/>
  <c r="P11" i="12"/>
  <c r="P12" i="12"/>
  <c r="P13" i="11"/>
  <c r="P9" i="11"/>
  <c r="P10" i="11"/>
  <c r="P8" i="11"/>
  <c r="P11" i="11"/>
  <c r="P12" i="11"/>
  <c r="Q7" i="11"/>
  <c r="P13" i="10"/>
  <c r="P9" i="10"/>
  <c r="P10" i="10"/>
  <c r="Q7" i="10"/>
  <c r="P11" i="10"/>
  <c r="P8" i="10"/>
  <c r="P12" i="10"/>
  <c r="P13" i="9"/>
  <c r="P8" i="9"/>
  <c r="P10" i="9"/>
  <c r="P11" i="9"/>
  <c r="P12" i="9"/>
  <c r="Q7" i="9"/>
  <c r="P9" i="9"/>
  <c r="P9" i="6"/>
  <c r="P12" i="6"/>
  <c r="P13" i="6"/>
  <c r="P11" i="6"/>
  <c r="P10" i="6"/>
  <c r="P8" i="6"/>
  <c r="Q7" i="6"/>
  <c r="C41" i="7" l="1"/>
  <c r="B41" i="7"/>
  <c r="E41" i="7"/>
  <c r="D41" i="7"/>
  <c r="Q21" i="7"/>
  <c r="U21" i="7" s="1"/>
  <c r="W13" i="41"/>
  <c r="W9" i="41"/>
  <c r="W10" i="41"/>
  <c r="W11" i="41"/>
  <c r="X7" i="41"/>
  <c r="W8" i="41"/>
  <c r="W12" i="41"/>
  <c r="V8" i="40"/>
  <c r="V11" i="40"/>
  <c r="V12" i="40"/>
  <c r="W7" i="40"/>
  <c r="V10" i="40"/>
  <c r="V13" i="40"/>
  <c r="V9" i="40"/>
  <c r="V12" i="39"/>
  <c r="V13" i="39"/>
  <c r="V9" i="39"/>
  <c r="V10" i="39"/>
  <c r="V8" i="39"/>
  <c r="W7" i="39"/>
  <c r="V11" i="39"/>
  <c r="V12" i="38"/>
  <c r="W7" i="38"/>
  <c r="V13" i="38"/>
  <c r="V9" i="38"/>
  <c r="V10" i="38"/>
  <c r="V8" i="38"/>
  <c r="V11" i="38"/>
  <c r="V11" i="37"/>
  <c r="V10" i="37"/>
  <c r="V8" i="37"/>
  <c r="V12" i="37"/>
  <c r="W7" i="37"/>
  <c r="V13" i="37"/>
  <c r="V9" i="37"/>
  <c r="V10" i="36"/>
  <c r="V8" i="36"/>
  <c r="V11" i="36"/>
  <c r="W7" i="36"/>
  <c r="V12" i="36"/>
  <c r="V13" i="36"/>
  <c r="V9" i="36"/>
  <c r="V9" i="35"/>
  <c r="V13" i="35"/>
  <c r="V10" i="35"/>
  <c r="V8" i="35"/>
  <c r="V11" i="35"/>
  <c r="V12" i="35"/>
  <c r="W7" i="35"/>
  <c r="W13" i="34"/>
  <c r="W9" i="34"/>
  <c r="W10" i="34"/>
  <c r="W8" i="34"/>
  <c r="W11" i="34"/>
  <c r="W12" i="34"/>
  <c r="X7" i="34"/>
  <c r="D23" i="7"/>
  <c r="D25" i="7"/>
  <c r="S22" i="7"/>
  <c r="W22" i="7" s="1"/>
  <c r="E25" i="7"/>
  <c r="C25" i="7"/>
  <c r="E23" i="7"/>
  <c r="Q22" i="7"/>
  <c r="U22" i="7" s="1"/>
  <c r="C23" i="7"/>
  <c r="S13" i="33"/>
  <c r="S9" i="33"/>
  <c r="S10" i="33"/>
  <c r="S8" i="33"/>
  <c r="S11" i="33"/>
  <c r="S12" i="33"/>
  <c r="T7" i="33"/>
  <c r="R13" i="32"/>
  <c r="R9" i="32"/>
  <c r="R11" i="32"/>
  <c r="R10" i="32"/>
  <c r="R8" i="32"/>
  <c r="R12" i="32"/>
  <c r="S7" i="32"/>
  <c r="R10" i="31"/>
  <c r="R8" i="31"/>
  <c r="R11" i="31"/>
  <c r="R12" i="31"/>
  <c r="S7" i="31"/>
  <c r="R13" i="31"/>
  <c r="R9" i="31"/>
  <c r="S11" i="30"/>
  <c r="S12" i="30"/>
  <c r="T7" i="30"/>
  <c r="S13" i="30"/>
  <c r="S9" i="30"/>
  <c r="S10" i="30"/>
  <c r="S8" i="30"/>
  <c r="S7" i="29"/>
  <c r="R10" i="29"/>
  <c r="R8" i="29"/>
  <c r="R11" i="29"/>
  <c r="R12" i="29"/>
  <c r="R13" i="29"/>
  <c r="R9" i="29"/>
  <c r="R22" i="7"/>
  <c r="V22" i="7" s="1"/>
  <c r="B81" i="7"/>
  <c r="R17" i="7"/>
  <c r="V17" i="7" s="1"/>
  <c r="R12" i="28"/>
  <c r="S7" i="28"/>
  <c r="R13" i="28"/>
  <c r="R9" i="28"/>
  <c r="R11" i="28"/>
  <c r="R10" i="28"/>
  <c r="R8" i="28"/>
  <c r="R13" i="27"/>
  <c r="R9" i="27"/>
  <c r="R10" i="27"/>
  <c r="R8" i="27"/>
  <c r="R11" i="27"/>
  <c r="R12" i="27"/>
  <c r="S7" i="27"/>
  <c r="R12" i="26"/>
  <c r="S7" i="26"/>
  <c r="R11" i="26"/>
  <c r="R13" i="26"/>
  <c r="R9" i="26"/>
  <c r="R10" i="26"/>
  <c r="R8" i="26"/>
  <c r="S8" i="25"/>
  <c r="S11" i="25"/>
  <c r="S12" i="25"/>
  <c r="S9" i="25"/>
  <c r="S10" i="25"/>
  <c r="S13" i="25"/>
  <c r="T7" i="25"/>
  <c r="D81" i="7"/>
  <c r="E81" i="7"/>
  <c r="C81" i="7"/>
  <c r="Q12" i="24"/>
  <c r="R7" i="24"/>
  <c r="Q11" i="24"/>
  <c r="Q13" i="24"/>
  <c r="Q9" i="24"/>
  <c r="Q10" i="24"/>
  <c r="Q8" i="24"/>
  <c r="R8" i="22"/>
  <c r="R11" i="22"/>
  <c r="R12" i="22"/>
  <c r="S7" i="22"/>
  <c r="R13" i="22"/>
  <c r="R9" i="22"/>
  <c r="R10" i="22"/>
  <c r="Q13" i="21"/>
  <c r="Q10" i="21"/>
  <c r="Q8" i="21"/>
  <c r="Q11" i="21"/>
  <c r="Q12" i="21"/>
  <c r="R7" i="21"/>
  <c r="Q9" i="21"/>
  <c r="Q12" i="20"/>
  <c r="Q10" i="20"/>
  <c r="Q8" i="20"/>
  <c r="Q11" i="20"/>
  <c r="R7" i="20"/>
  <c r="Q13" i="20"/>
  <c r="Q9" i="20"/>
  <c r="R10" i="19"/>
  <c r="R12" i="19"/>
  <c r="S7" i="19"/>
  <c r="R13" i="19"/>
  <c r="R9" i="19"/>
  <c r="R8" i="19"/>
  <c r="R11" i="19"/>
  <c r="Q8" i="18"/>
  <c r="Q11" i="18"/>
  <c r="Q12" i="18"/>
  <c r="R7" i="18"/>
  <c r="Q13" i="18"/>
  <c r="Q9" i="18"/>
  <c r="Q10" i="18"/>
  <c r="Q13" i="17"/>
  <c r="Q9" i="17"/>
  <c r="Q10" i="17"/>
  <c r="Q8" i="17"/>
  <c r="Q11" i="17"/>
  <c r="Q12" i="17"/>
  <c r="R7" i="17"/>
  <c r="R7" i="16"/>
  <c r="Q10" i="16"/>
  <c r="Q12" i="16"/>
  <c r="Q8" i="16"/>
  <c r="Q11" i="16"/>
  <c r="Q13" i="16"/>
  <c r="Q9" i="16"/>
  <c r="R10" i="15"/>
  <c r="R8" i="15"/>
  <c r="R11" i="15"/>
  <c r="R12" i="15"/>
  <c r="S7" i="15"/>
  <c r="R13" i="15"/>
  <c r="R9" i="15"/>
  <c r="Q8" i="14"/>
  <c r="Q12" i="14"/>
  <c r="R7" i="14"/>
  <c r="Q13" i="14"/>
  <c r="Q9" i="14"/>
  <c r="Q11" i="14"/>
  <c r="Q10" i="14"/>
  <c r="Q13" i="13"/>
  <c r="Q9" i="13"/>
  <c r="Q10" i="13"/>
  <c r="Q12" i="13"/>
  <c r="Q8" i="13"/>
  <c r="Q11" i="13"/>
  <c r="R7" i="13"/>
  <c r="Q12" i="12"/>
  <c r="Q13" i="12"/>
  <c r="R7" i="12"/>
  <c r="Q10" i="12"/>
  <c r="Q8" i="12"/>
  <c r="Q11" i="12"/>
  <c r="Q9" i="12"/>
  <c r="Q10" i="11"/>
  <c r="Q13" i="11"/>
  <c r="Q8" i="11"/>
  <c r="Q11" i="11"/>
  <c r="Q9" i="11"/>
  <c r="Q12" i="11"/>
  <c r="R7" i="11"/>
  <c r="Q10" i="10"/>
  <c r="Q13" i="10"/>
  <c r="Q9" i="10"/>
  <c r="Q8" i="10"/>
  <c r="Q11" i="10"/>
  <c r="Q12" i="10"/>
  <c r="R7" i="10"/>
  <c r="Q10" i="9"/>
  <c r="Q8" i="9"/>
  <c r="Q11" i="9"/>
  <c r="Q12" i="9"/>
  <c r="R7" i="9"/>
  <c r="Q9" i="9"/>
  <c r="Q13" i="9"/>
  <c r="Q11" i="6"/>
  <c r="Q9" i="6"/>
  <c r="Q12" i="6"/>
  <c r="Q13" i="6"/>
  <c r="Q10" i="6"/>
  <c r="Q8" i="6"/>
  <c r="R7" i="6"/>
  <c r="X13" i="41" l="1"/>
  <c r="X9" i="41"/>
  <c r="X10" i="41"/>
  <c r="X8" i="41"/>
  <c r="X11" i="41"/>
  <c r="X12" i="41"/>
  <c r="W8" i="40"/>
  <c r="W10" i="40"/>
  <c r="W11" i="40"/>
  <c r="W12" i="40"/>
  <c r="X7" i="40"/>
  <c r="W13" i="40"/>
  <c r="W9" i="40"/>
  <c r="W13" i="39"/>
  <c r="W9" i="39"/>
  <c r="W10" i="39"/>
  <c r="W8" i="39"/>
  <c r="W11" i="39"/>
  <c r="W12" i="39"/>
  <c r="X7" i="39"/>
  <c r="W12" i="38"/>
  <c r="X7" i="38"/>
  <c r="W9" i="38"/>
  <c r="W10" i="38"/>
  <c r="W8" i="38"/>
  <c r="W11" i="38"/>
  <c r="W13" i="38"/>
  <c r="W12" i="37"/>
  <c r="X7" i="37"/>
  <c r="W8" i="37"/>
  <c r="W11" i="37"/>
  <c r="W13" i="37"/>
  <c r="W9" i="37"/>
  <c r="W10" i="37"/>
  <c r="W8" i="36"/>
  <c r="W11" i="36"/>
  <c r="W13" i="36"/>
  <c r="W12" i="36"/>
  <c r="X7" i="36"/>
  <c r="W10" i="36"/>
  <c r="W9" i="36"/>
  <c r="W13" i="35"/>
  <c r="W9" i="35"/>
  <c r="W12" i="35"/>
  <c r="W10" i="35"/>
  <c r="X7" i="35"/>
  <c r="W8" i="35"/>
  <c r="W11" i="35"/>
  <c r="X12" i="34"/>
  <c r="X13" i="34"/>
  <c r="X9" i="34"/>
  <c r="X10" i="34"/>
  <c r="X8" i="34"/>
  <c r="X11" i="34"/>
  <c r="T13" i="33"/>
  <c r="T9" i="33"/>
  <c r="T10" i="33"/>
  <c r="T12" i="33"/>
  <c r="T8" i="33"/>
  <c r="T11" i="33"/>
  <c r="U7" i="33"/>
  <c r="S13" i="32"/>
  <c r="S9" i="32"/>
  <c r="S10" i="32"/>
  <c r="S12" i="32"/>
  <c r="S8" i="32"/>
  <c r="T7" i="32"/>
  <c r="S11" i="32"/>
  <c r="S10" i="31"/>
  <c r="S8" i="31"/>
  <c r="S11" i="31"/>
  <c r="S12" i="31"/>
  <c r="T7" i="31"/>
  <c r="S13" i="31"/>
  <c r="S9" i="31"/>
  <c r="T12" i="30"/>
  <c r="U7" i="30"/>
  <c r="T11" i="30"/>
  <c r="T13" i="30"/>
  <c r="T9" i="30"/>
  <c r="T10" i="30"/>
  <c r="T8" i="30"/>
  <c r="S10" i="29"/>
  <c r="S8" i="29"/>
  <c r="S11" i="29"/>
  <c r="S12" i="29"/>
  <c r="T7" i="29"/>
  <c r="S13" i="29"/>
  <c r="S9" i="29"/>
  <c r="S12" i="28"/>
  <c r="T7" i="28"/>
  <c r="S13" i="28"/>
  <c r="S9" i="28"/>
  <c r="S10" i="28"/>
  <c r="S8" i="28"/>
  <c r="S11" i="28"/>
  <c r="S10" i="27"/>
  <c r="S8" i="27"/>
  <c r="S11" i="27"/>
  <c r="S13" i="27"/>
  <c r="S12" i="27"/>
  <c r="T7" i="27"/>
  <c r="S9" i="27"/>
  <c r="S10" i="26"/>
  <c r="S9" i="26"/>
  <c r="S13" i="26"/>
  <c r="S8" i="26"/>
  <c r="S11" i="26"/>
  <c r="S12" i="26"/>
  <c r="T7" i="26"/>
  <c r="T8" i="25"/>
  <c r="T11" i="25"/>
  <c r="U7" i="25"/>
  <c r="T12" i="25"/>
  <c r="T13" i="25"/>
  <c r="T9" i="25"/>
  <c r="T10" i="25"/>
  <c r="R12" i="24"/>
  <c r="S7" i="24"/>
  <c r="R13" i="24"/>
  <c r="R9" i="24"/>
  <c r="R10" i="24"/>
  <c r="R8" i="24"/>
  <c r="R11" i="24"/>
  <c r="S11" i="22"/>
  <c r="S12" i="22"/>
  <c r="T7" i="22"/>
  <c r="S8" i="22"/>
  <c r="S13" i="22"/>
  <c r="S9" i="22"/>
  <c r="S10" i="22"/>
  <c r="R13" i="21"/>
  <c r="R9" i="21"/>
  <c r="R10" i="21"/>
  <c r="R8" i="21"/>
  <c r="R11" i="21"/>
  <c r="R12" i="21"/>
  <c r="S7" i="21"/>
  <c r="R10" i="20"/>
  <c r="R13" i="20"/>
  <c r="R8" i="20"/>
  <c r="R11" i="20"/>
  <c r="R12" i="20"/>
  <c r="S7" i="20"/>
  <c r="R9" i="20"/>
  <c r="S12" i="19"/>
  <c r="T7" i="19"/>
  <c r="S13" i="19"/>
  <c r="S9" i="19"/>
  <c r="S10" i="19"/>
  <c r="S8" i="19"/>
  <c r="S11" i="19"/>
  <c r="R11" i="18"/>
  <c r="R12" i="18"/>
  <c r="S7" i="18"/>
  <c r="R13" i="18"/>
  <c r="R9" i="18"/>
  <c r="R10" i="18"/>
  <c r="R8" i="18"/>
  <c r="R13" i="17"/>
  <c r="R9" i="17"/>
  <c r="R11" i="17"/>
  <c r="R10" i="17"/>
  <c r="R8" i="17"/>
  <c r="R12" i="17"/>
  <c r="S7" i="17"/>
  <c r="R10" i="16"/>
  <c r="R8" i="16"/>
  <c r="R11" i="16"/>
  <c r="R12" i="16"/>
  <c r="S7" i="16"/>
  <c r="R13" i="16"/>
  <c r="R9" i="16"/>
  <c r="S10" i="15"/>
  <c r="S11" i="15"/>
  <c r="S12" i="15"/>
  <c r="T7" i="15"/>
  <c r="S13" i="15"/>
  <c r="S9" i="15"/>
  <c r="S8" i="15"/>
  <c r="R12" i="14"/>
  <c r="S7" i="14"/>
  <c r="R13" i="14"/>
  <c r="R9" i="14"/>
  <c r="R11" i="14"/>
  <c r="R10" i="14"/>
  <c r="R8" i="14"/>
  <c r="R13" i="13"/>
  <c r="R9" i="13"/>
  <c r="R10" i="13"/>
  <c r="R8" i="13"/>
  <c r="R11" i="13"/>
  <c r="R12" i="13"/>
  <c r="S7" i="13"/>
  <c r="R10" i="12"/>
  <c r="R13" i="12"/>
  <c r="R8" i="12"/>
  <c r="R11" i="12"/>
  <c r="R9" i="12"/>
  <c r="R12" i="12"/>
  <c r="S7" i="12"/>
  <c r="R13" i="11"/>
  <c r="R9" i="11"/>
  <c r="R10" i="11"/>
  <c r="R8" i="11"/>
  <c r="R11" i="11"/>
  <c r="R12" i="11"/>
  <c r="S7" i="11"/>
  <c r="R9" i="10"/>
  <c r="R10" i="10"/>
  <c r="R13" i="10"/>
  <c r="R8" i="10"/>
  <c r="R11" i="10"/>
  <c r="R12" i="10"/>
  <c r="S7" i="10"/>
  <c r="R10" i="9"/>
  <c r="R8" i="9"/>
  <c r="R11" i="9"/>
  <c r="R12" i="9"/>
  <c r="S7" i="9"/>
  <c r="R13" i="9"/>
  <c r="R9" i="9"/>
  <c r="R11" i="6"/>
  <c r="R9" i="6"/>
  <c r="R12" i="6"/>
  <c r="R13" i="6"/>
  <c r="R10" i="6"/>
  <c r="R8" i="6"/>
  <c r="S7" i="6"/>
  <c r="X11" i="40" l="1"/>
  <c r="X10" i="40"/>
  <c r="X12" i="40"/>
  <c r="X8" i="40"/>
  <c r="X13" i="40"/>
  <c r="X9" i="40"/>
  <c r="X13" i="39"/>
  <c r="X9" i="39"/>
  <c r="X10" i="39"/>
  <c r="X8" i="39"/>
  <c r="X11" i="39"/>
  <c r="X12" i="39"/>
  <c r="X13" i="38"/>
  <c r="X9" i="38"/>
  <c r="X10" i="38"/>
  <c r="X8" i="38"/>
  <c r="X11" i="38"/>
  <c r="X12" i="38"/>
  <c r="X10" i="37"/>
  <c r="X12" i="37"/>
  <c r="X13" i="37"/>
  <c r="X9" i="37"/>
  <c r="X8" i="37"/>
  <c r="X11" i="37"/>
  <c r="X8" i="36"/>
  <c r="X10" i="36"/>
  <c r="X11" i="36"/>
  <c r="X12" i="36"/>
  <c r="X13" i="36"/>
  <c r="X9" i="36"/>
  <c r="X13" i="35"/>
  <c r="X9" i="35"/>
  <c r="X10" i="35"/>
  <c r="X8" i="35"/>
  <c r="X11" i="35"/>
  <c r="X12" i="35"/>
  <c r="U13" i="33"/>
  <c r="U9" i="33"/>
  <c r="U10" i="33"/>
  <c r="U8" i="33"/>
  <c r="U11" i="33"/>
  <c r="U12" i="33"/>
  <c r="V7" i="33"/>
  <c r="T13" i="32"/>
  <c r="T9" i="32"/>
  <c r="T10" i="32"/>
  <c r="U7" i="32"/>
  <c r="T8" i="32"/>
  <c r="T11" i="32"/>
  <c r="T12" i="32"/>
  <c r="T8" i="31"/>
  <c r="T10" i="31"/>
  <c r="T11" i="31"/>
  <c r="T12" i="31"/>
  <c r="U7" i="31"/>
  <c r="T13" i="31"/>
  <c r="T9" i="31"/>
  <c r="U12" i="30"/>
  <c r="V7" i="30"/>
  <c r="U13" i="30"/>
  <c r="U9" i="30"/>
  <c r="U10" i="30"/>
  <c r="U8" i="30"/>
  <c r="U11" i="30"/>
  <c r="T8" i="29"/>
  <c r="T12" i="29"/>
  <c r="T11" i="29"/>
  <c r="T13" i="29"/>
  <c r="T9" i="29"/>
  <c r="U7" i="29"/>
  <c r="T10" i="29"/>
  <c r="T12" i="28"/>
  <c r="U7" i="28"/>
  <c r="T13" i="28"/>
  <c r="T9" i="28"/>
  <c r="T10" i="28"/>
  <c r="T8" i="28"/>
  <c r="T11" i="28"/>
  <c r="T10" i="27"/>
  <c r="T8" i="27"/>
  <c r="T11" i="27"/>
  <c r="T12" i="27"/>
  <c r="U7" i="27"/>
  <c r="T13" i="27"/>
  <c r="T9" i="27"/>
  <c r="T13" i="26"/>
  <c r="T9" i="26"/>
  <c r="T10" i="26"/>
  <c r="T8" i="26"/>
  <c r="T11" i="26"/>
  <c r="T12" i="26"/>
  <c r="U7" i="26"/>
  <c r="U11" i="25"/>
  <c r="U12" i="25"/>
  <c r="V7" i="25"/>
  <c r="U13" i="25"/>
  <c r="U9" i="25"/>
  <c r="U8" i="25"/>
  <c r="U10" i="25"/>
  <c r="S12" i="24"/>
  <c r="T7" i="24"/>
  <c r="S13" i="24"/>
  <c r="S9" i="24"/>
  <c r="S10" i="24"/>
  <c r="S8" i="24"/>
  <c r="S11" i="24"/>
  <c r="T12" i="22"/>
  <c r="U7" i="22"/>
  <c r="T13" i="22"/>
  <c r="T9" i="22"/>
  <c r="T11" i="22"/>
  <c r="T10" i="22"/>
  <c r="T8" i="22"/>
  <c r="S10" i="21"/>
  <c r="S8" i="21"/>
  <c r="S11" i="21"/>
  <c r="S12" i="21"/>
  <c r="T7" i="21"/>
  <c r="S13" i="21"/>
  <c r="S9" i="21"/>
  <c r="S10" i="20"/>
  <c r="S8" i="20"/>
  <c r="S11" i="20"/>
  <c r="S12" i="20"/>
  <c r="T7" i="20"/>
  <c r="S13" i="20"/>
  <c r="S9" i="20"/>
  <c r="T8" i="19"/>
  <c r="T13" i="19"/>
  <c r="T9" i="19"/>
  <c r="T11" i="19"/>
  <c r="T10" i="19"/>
  <c r="T12" i="19"/>
  <c r="U7" i="19"/>
  <c r="S12" i="18"/>
  <c r="T7" i="18"/>
  <c r="S13" i="18"/>
  <c r="S9" i="18"/>
  <c r="S10" i="18"/>
  <c r="S11" i="18"/>
  <c r="S8" i="18"/>
  <c r="S10" i="17"/>
  <c r="S8" i="17"/>
  <c r="S11" i="17"/>
  <c r="S12" i="17"/>
  <c r="T7" i="17"/>
  <c r="S13" i="17"/>
  <c r="S9" i="17"/>
  <c r="S10" i="16"/>
  <c r="S8" i="16"/>
  <c r="S11" i="16"/>
  <c r="S12" i="16"/>
  <c r="T7" i="16"/>
  <c r="S13" i="16"/>
  <c r="S9" i="16"/>
  <c r="T8" i="15"/>
  <c r="T11" i="15"/>
  <c r="T12" i="15"/>
  <c r="U7" i="15"/>
  <c r="T13" i="15"/>
  <c r="T9" i="15"/>
  <c r="T10" i="15"/>
  <c r="S12" i="14"/>
  <c r="T7" i="14"/>
  <c r="S13" i="14"/>
  <c r="S9" i="14"/>
  <c r="S10" i="14"/>
  <c r="S8" i="14"/>
  <c r="S11" i="14"/>
  <c r="S13" i="13"/>
  <c r="S9" i="13"/>
  <c r="S10" i="13"/>
  <c r="S8" i="13"/>
  <c r="S11" i="13"/>
  <c r="S12" i="13"/>
  <c r="T7" i="13"/>
  <c r="S10" i="12"/>
  <c r="S13" i="12"/>
  <c r="S9" i="12"/>
  <c r="S8" i="12"/>
  <c r="S11" i="12"/>
  <c r="T7" i="12"/>
  <c r="S12" i="12"/>
  <c r="S10" i="11"/>
  <c r="S8" i="11"/>
  <c r="S11" i="11"/>
  <c r="S12" i="11"/>
  <c r="T7" i="11"/>
  <c r="S13" i="11"/>
  <c r="S9" i="11"/>
  <c r="S10" i="10"/>
  <c r="S9" i="10"/>
  <c r="S8" i="10"/>
  <c r="S11" i="10"/>
  <c r="T7" i="10"/>
  <c r="S12" i="10"/>
  <c r="S13" i="10"/>
  <c r="S8" i="9"/>
  <c r="S11" i="9"/>
  <c r="T7" i="9"/>
  <c r="S12" i="9"/>
  <c r="S13" i="9"/>
  <c r="S9" i="9"/>
  <c r="S10" i="9"/>
  <c r="S12" i="6"/>
  <c r="S11" i="6"/>
  <c r="S9" i="6"/>
  <c r="S13" i="6"/>
  <c r="S8" i="6"/>
  <c r="T7" i="6"/>
  <c r="S10" i="6"/>
  <c r="V10" i="33" l="1"/>
  <c r="V8" i="33"/>
  <c r="V11" i="33"/>
  <c r="V12" i="33"/>
  <c r="W7" i="33"/>
  <c r="V13" i="33"/>
  <c r="V9" i="33"/>
  <c r="U12" i="32"/>
  <c r="V7" i="32"/>
  <c r="U10" i="32"/>
  <c r="U8" i="32"/>
  <c r="U11" i="32"/>
  <c r="U13" i="32"/>
  <c r="U9" i="32"/>
  <c r="U8" i="31"/>
  <c r="U11" i="31"/>
  <c r="U12" i="31"/>
  <c r="V7" i="31"/>
  <c r="U13" i="31"/>
  <c r="U9" i="31"/>
  <c r="U10" i="31"/>
  <c r="V12" i="30"/>
  <c r="W7" i="30"/>
  <c r="V13" i="30"/>
  <c r="V9" i="30"/>
  <c r="V10" i="30"/>
  <c r="V8" i="30"/>
  <c r="V11" i="30"/>
  <c r="U8" i="29"/>
  <c r="U11" i="29"/>
  <c r="U12" i="29"/>
  <c r="V7" i="29"/>
  <c r="U13" i="29"/>
  <c r="U9" i="29"/>
  <c r="U10" i="29"/>
  <c r="U13" i="28"/>
  <c r="U9" i="28"/>
  <c r="U12" i="28"/>
  <c r="U10" i="28"/>
  <c r="U8" i="28"/>
  <c r="V7" i="28"/>
  <c r="U11" i="28"/>
  <c r="U10" i="27"/>
  <c r="U8" i="27"/>
  <c r="U11" i="27"/>
  <c r="U12" i="27"/>
  <c r="V7" i="27"/>
  <c r="U13" i="27"/>
  <c r="U9" i="27"/>
  <c r="U13" i="26"/>
  <c r="U9" i="26"/>
  <c r="U8" i="26"/>
  <c r="U12" i="26"/>
  <c r="V7" i="26"/>
  <c r="U10" i="26"/>
  <c r="U11" i="26"/>
  <c r="W7" i="25"/>
  <c r="V12" i="25"/>
  <c r="V9" i="25"/>
  <c r="V13" i="25"/>
  <c r="V10" i="25"/>
  <c r="V8" i="25"/>
  <c r="V11" i="25"/>
  <c r="T13" i="24"/>
  <c r="T9" i="24"/>
  <c r="U7" i="24"/>
  <c r="T10" i="24"/>
  <c r="T8" i="24"/>
  <c r="T11" i="24"/>
  <c r="T12" i="24"/>
  <c r="U12" i="22"/>
  <c r="V7" i="22"/>
  <c r="U13" i="22"/>
  <c r="U9" i="22"/>
  <c r="U10" i="22"/>
  <c r="U8" i="22"/>
  <c r="U11" i="22"/>
  <c r="T8" i="21"/>
  <c r="T11" i="21"/>
  <c r="T12" i="21"/>
  <c r="U7" i="21"/>
  <c r="T13" i="21"/>
  <c r="T9" i="21"/>
  <c r="T10" i="21"/>
  <c r="T8" i="20"/>
  <c r="T11" i="20"/>
  <c r="T9" i="20"/>
  <c r="T12" i="20"/>
  <c r="U7" i="20"/>
  <c r="T10" i="20"/>
  <c r="T13" i="20"/>
  <c r="U13" i="19"/>
  <c r="U9" i="19"/>
  <c r="U11" i="19"/>
  <c r="U10" i="19"/>
  <c r="U8" i="19"/>
  <c r="U12" i="19"/>
  <c r="V7" i="19"/>
  <c r="T12" i="18"/>
  <c r="U7" i="18"/>
  <c r="T13" i="18"/>
  <c r="T9" i="18"/>
  <c r="T10" i="18"/>
  <c r="T8" i="18"/>
  <c r="T11" i="18"/>
  <c r="T10" i="17"/>
  <c r="T8" i="17"/>
  <c r="T11" i="17"/>
  <c r="T12" i="17"/>
  <c r="U7" i="17"/>
  <c r="T13" i="17"/>
  <c r="T9" i="17"/>
  <c r="T8" i="16"/>
  <c r="T11" i="16"/>
  <c r="T12" i="16"/>
  <c r="U7" i="16"/>
  <c r="T13" i="16"/>
  <c r="T9" i="16"/>
  <c r="T10" i="16"/>
  <c r="U8" i="15"/>
  <c r="U11" i="15"/>
  <c r="U12" i="15"/>
  <c r="V7" i="15"/>
  <c r="U13" i="15"/>
  <c r="U9" i="15"/>
  <c r="U10" i="15"/>
  <c r="T13" i="14"/>
  <c r="T9" i="14"/>
  <c r="T12" i="14"/>
  <c r="T10" i="14"/>
  <c r="U7" i="14"/>
  <c r="T8" i="14"/>
  <c r="T11" i="14"/>
  <c r="T10" i="13"/>
  <c r="T13" i="13"/>
  <c r="T9" i="13"/>
  <c r="T8" i="13"/>
  <c r="T11" i="13"/>
  <c r="T12" i="13"/>
  <c r="U7" i="13"/>
  <c r="T10" i="12"/>
  <c r="T8" i="12"/>
  <c r="T11" i="12"/>
  <c r="T12" i="12"/>
  <c r="U7" i="12"/>
  <c r="T13" i="12"/>
  <c r="T9" i="12"/>
  <c r="T8" i="11"/>
  <c r="T11" i="11"/>
  <c r="T12" i="11"/>
  <c r="U7" i="11"/>
  <c r="T13" i="11"/>
  <c r="T9" i="11"/>
  <c r="T10" i="11"/>
  <c r="T8" i="10"/>
  <c r="T11" i="10"/>
  <c r="T10" i="10"/>
  <c r="T12" i="10"/>
  <c r="U7" i="10"/>
  <c r="T13" i="10"/>
  <c r="T9" i="10"/>
  <c r="T8" i="9"/>
  <c r="T11" i="9"/>
  <c r="T12" i="9"/>
  <c r="U7" i="9"/>
  <c r="T13" i="9"/>
  <c r="T9" i="9"/>
  <c r="T10" i="9"/>
  <c r="T13" i="6"/>
  <c r="T11" i="6"/>
  <c r="T9" i="6"/>
  <c r="T12" i="6"/>
  <c r="U7" i="6"/>
  <c r="T8" i="6"/>
  <c r="T10" i="6"/>
  <c r="W10" i="33" l="1"/>
  <c r="W8" i="33"/>
  <c r="W11" i="33"/>
  <c r="W12" i="33"/>
  <c r="X7" i="33"/>
  <c r="W13" i="33"/>
  <c r="W9" i="33"/>
  <c r="V10" i="32"/>
  <c r="V8" i="32"/>
  <c r="V11" i="32"/>
  <c r="V9" i="32"/>
  <c r="V13" i="32"/>
  <c r="V12" i="32"/>
  <c r="W7" i="32"/>
  <c r="V11" i="31"/>
  <c r="V12" i="31"/>
  <c r="W7" i="31"/>
  <c r="V8" i="31"/>
  <c r="V13" i="31"/>
  <c r="V9" i="31"/>
  <c r="V10" i="31"/>
  <c r="W13" i="30"/>
  <c r="W9" i="30"/>
  <c r="W10" i="30"/>
  <c r="X7" i="30"/>
  <c r="W8" i="30"/>
  <c r="W11" i="30"/>
  <c r="W12" i="30"/>
  <c r="V11" i="29"/>
  <c r="V12" i="29"/>
  <c r="W7" i="29"/>
  <c r="V13" i="29"/>
  <c r="V9" i="29"/>
  <c r="V10" i="29"/>
  <c r="V8" i="29"/>
  <c r="V13" i="28"/>
  <c r="V9" i="28"/>
  <c r="V10" i="28"/>
  <c r="V8" i="28"/>
  <c r="V11" i="28"/>
  <c r="V12" i="28"/>
  <c r="W7" i="28"/>
  <c r="V8" i="27"/>
  <c r="V11" i="27"/>
  <c r="V12" i="27"/>
  <c r="W7" i="27"/>
  <c r="V13" i="27"/>
  <c r="V9" i="27"/>
  <c r="V10" i="27"/>
  <c r="V13" i="26"/>
  <c r="V10" i="26"/>
  <c r="V8" i="26"/>
  <c r="V11" i="26"/>
  <c r="V12" i="26"/>
  <c r="W7" i="26"/>
  <c r="V9" i="26"/>
  <c r="W12" i="25"/>
  <c r="X7" i="25"/>
  <c r="W9" i="25"/>
  <c r="W13" i="25"/>
  <c r="W8" i="25"/>
  <c r="W11" i="25"/>
  <c r="W10" i="25"/>
  <c r="U13" i="24"/>
  <c r="U9" i="24"/>
  <c r="U10" i="24"/>
  <c r="U8" i="24"/>
  <c r="U11" i="24"/>
  <c r="U12" i="24"/>
  <c r="V7" i="24"/>
  <c r="V12" i="22"/>
  <c r="W7" i="22"/>
  <c r="V13" i="22"/>
  <c r="V9" i="22"/>
  <c r="V10" i="22"/>
  <c r="V8" i="22"/>
  <c r="V11" i="22"/>
  <c r="U10" i="21"/>
  <c r="U8" i="21"/>
  <c r="U11" i="21"/>
  <c r="U12" i="21"/>
  <c r="V7" i="21"/>
  <c r="U13" i="21"/>
  <c r="U9" i="21"/>
  <c r="U8" i="20"/>
  <c r="U11" i="20"/>
  <c r="U12" i="20"/>
  <c r="V7" i="20"/>
  <c r="U13" i="20"/>
  <c r="U9" i="20"/>
  <c r="U10" i="20"/>
  <c r="V13" i="19"/>
  <c r="V9" i="19"/>
  <c r="V10" i="19"/>
  <c r="V8" i="19"/>
  <c r="V11" i="19"/>
  <c r="V12" i="19"/>
  <c r="W7" i="19"/>
  <c r="U12" i="18"/>
  <c r="V7" i="18"/>
  <c r="U13" i="18"/>
  <c r="U9" i="18"/>
  <c r="U10" i="18"/>
  <c r="U8" i="18"/>
  <c r="U11" i="18"/>
  <c r="U10" i="17"/>
  <c r="U8" i="17"/>
  <c r="U11" i="17"/>
  <c r="U13" i="17"/>
  <c r="U9" i="17"/>
  <c r="U12" i="17"/>
  <c r="V7" i="17"/>
  <c r="U8" i="16"/>
  <c r="U11" i="16"/>
  <c r="U12" i="16"/>
  <c r="V7" i="16"/>
  <c r="U13" i="16"/>
  <c r="U9" i="16"/>
  <c r="U10" i="16"/>
  <c r="V11" i="15"/>
  <c r="V12" i="15"/>
  <c r="W7" i="15"/>
  <c r="V13" i="15"/>
  <c r="V9" i="15"/>
  <c r="V10" i="15"/>
  <c r="V8" i="15"/>
  <c r="U13" i="14"/>
  <c r="U9" i="14"/>
  <c r="V7" i="14"/>
  <c r="U10" i="14"/>
  <c r="U12" i="14"/>
  <c r="U8" i="14"/>
  <c r="U11" i="14"/>
  <c r="U10" i="13"/>
  <c r="U8" i="13"/>
  <c r="U11" i="13"/>
  <c r="U13" i="13"/>
  <c r="U9" i="13"/>
  <c r="U12" i="13"/>
  <c r="V7" i="13"/>
  <c r="U8" i="12"/>
  <c r="U11" i="12"/>
  <c r="U12" i="12"/>
  <c r="V7" i="12"/>
  <c r="U10" i="12"/>
  <c r="U13" i="12"/>
  <c r="U9" i="12"/>
  <c r="U8" i="11"/>
  <c r="U10" i="11"/>
  <c r="U11" i="11"/>
  <c r="U12" i="11"/>
  <c r="V7" i="11"/>
  <c r="U13" i="11"/>
  <c r="U9" i="11"/>
  <c r="U8" i="10"/>
  <c r="U11" i="10"/>
  <c r="U10" i="10"/>
  <c r="U12" i="10"/>
  <c r="V7" i="10"/>
  <c r="U13" i="10"/>
  <c r="U9" i="10"/>
  <c r="U11" i="9"/>
  <c r="U12" i="9"/>
  <c r="V7" i="9"/>
  <c r="U8" i="9"/>
  <c r="U13" i="9"/>
  <c r="U9" i="9"/>
  <c r="U10" i="9"/>
  <c r="V7" i="6"/>
  <c r="U13" i="6"/>
  <c r="U11" i="6"/>
  <c r="U9" i="6"/>
  <c r="U12" i="6"/>
  <c r="V8" i="6"/>
  <c r="W7" i="6"/>
  <c r="V10" i="6"/>
  <c r="U10" i="6"/>
  <c r="U8" i="6"/>
  <c r="X10" i="33" l="1"/>
  <c r="X8" i="33"/>
  <c r="X11" i="33"/>
  <c r="X12" i="33"/>
  <c r="X13" i="33"/>
  <c r="X9" i="33"/>
  <c r="W10" i="32"/>
  <c r="W8" i="32"/>
  <c r="W11" i="32"/>
  <c r="W12" i="32"/>
  <c r="X7" i="32"/>
  <c r="W13" i="32"/>
  <c r="W9" i="32"/>
  <c r="W12" i="31"/>
  <c r="X7" i="31"/>
  <c r="W11" i="31"/>
  <c r="W13" i="31"/>
  <c r="W9" i="31"/>
  <c r="W10" i="31"/>
  <c r="W8" i="31"/>
  <c r="X13" i="30"/>
  <c r="X9" i="30"/>
  <c r="X10" i="30"/>
  <c r="X8" i="30"/>
  <c r="X11" i="30"/>
  <c r="X12" i="30"/>
  <c r="W12" i="29"/>
  <c r="X7" i="29"/>
  <c r="W10" i="29"/>
  <c r="W13" i="29"/>
  <c r="W9" i="29"/>
  <c r="W8" i="29"/>
  <c r="W11" i="29"/>
  <c r="W10" i="28"/>
  <c r="W8" i="28"/>
  <c r="W11" i="28"/>
  <c r="W13" i="28"/>
  <c r="W9" i="28"/>
  <c r="W12" i="28"/>
  <c r="X7" i="28"/>
  <c r="W8" i="27"/>
  <c r="W12" i="27"/>
  <c r="X7" i="27"/>
  <c r="W13" i="27"/>
  <c r="W9" i="27"/>
  <c r="W11" i="27"/>
  <c r="W10" i="27"/>
  <c r="W10" i="26"/>
  <c r="W8" i="26"/>
  <c r="W11" i="26"/>
  <c r="W12" i="26"/>
  <c r="X7" i="26"/>
  <c r="W13" i="26"/>
  <c r="W9" i="26"/>
  <c r="X12" i="25"/>
  <c r="X13" i="25"/>
  <c r="X9" i="25"/>
  <c r="X10" i="25"/>
  <c r="X8" i="25"/>
  <c r="X11" i="25"/>
  <c r="V9" i="24"/>
  <c r="V10" i="24"/>
  <c r="V8" i="24"/>
  <c r="V13" i="24"/>
  <c r="V11" i="24"/>
  <c r="V12" i="24"/>
  <c r="W7" i="24"/>
  <c r="W13" i="22"/>
  <c r="W9" i="22"/>
  <c r="X7" i="22"/>
  <c r="W10" i="22"/>
  <c r="W8" i="22"/>
  <c r="W11" i="22"/>
  <c r="W12" i="22"/>
  <c r="V11" i="21"/>
  <c r="V12" i="21"/>
  <c r="W7" i="21"/>
  <c r="V13" i="21"/>
  <c r="V9" i="21"/>
  <c r="V10" i="21"/>
  <c r="V8" i="21"/>
  <c r="V11" i="20"/>
  <c r="V12" i="20"/>
  <c r="W7" i="20"/>
  <c r="V13" i="20"/>
  <c r="V9" i="20"/>
  <c r="V10" i="20"/>
  <c r="V8" i="20"/>
  <c r="X7" i="19"/>
  <c r="W10" i="19"/>
  <c r="W8" i="19"/>
  <c r="W12" i="19"/>
  <c r="W11" i="19"/>
  <c r="W13" i="19"/>
  <c r="W9" i="19"/>
  <c r="V13" i="18"/>
  <c r="V9" i="18"/>
  <c r="V10" i="18"/>
  <c r="V8" i="18"/>
  <c r="V11" i="18"/>
  <c r="V12" i="18"/>
  <c r="W7" i="18"/>
  <c r="V8" i="17"/>
  <c r="V11" i="17"/>
  <c r="V12" i="17"/>
  <c r="W7" i="17"/>
  <c r="V13" i="17"/>
  <c r="V9" i="17"/>
  <c r="V10" i="17"/>
  <c r="V11" i="16"/>
  <c r="V12" i="16"/>
  <c r="W7" i="16"/>
  <c r="V13" i="16"/>
  <c r="V9" i="16"/>
  <c r="V10" i="16"/>
  <c r="V8" i="16"/>
  <c r="W12" i="15"/>
  <c r="X7" i="15"/>
  <c r="W13" i="15"/>
  <c r="W9" i="15"/>
  <c r="W10" i="15"/>
  <c r="W8" i="15"/>
  <c r="W11" i="15"/>
  <c r="V13" i="14"/>
  <c r="V9" i="14"/>
  <c r="V10" i="14"/>
  <c r="V12" i="14"/>
  <c r="W7" i="14"/>
  <c r="V8" i="14"/>
  <c r="V11" i="14"/>
  <c r="V10" i="13"/>
  <c r="V8" i="13"/>
  <c r="V11" i="13"/>
  <c r="V12" i="13"/>
  <c r="W7" i="13"/>
  <c r="V13" i="13"/>
  <c r="V9" i="13"/>
  <c r="V11" i="12"/>
  <c r="V8" i="12"/>
  <c r="V12" i="12"/>
  <c r="W7" i="12"/>
  <c r="V13" i="12"/>
  <c r="V9" i="12"/>
  <c r="V10" i="12"/>
  <c r="V11" i="11"/>
  <c r="V12" i="11"/>
  <c r="W7" i="11"/>
  <c r="V13" i="11"/>
  <c r="V9" i="11"/>
  <c r="V10" i="11"/>
  <c r="V8" i="11"/>
  <c r="V11" i="10"/>
  <c r="W7" i="10"/>
  <c r="V8" i="10"/>
  <c r="V12" i="10"/>
  <c r="V9" i="10"/>
  <c r="V10" i="10"/>
  <c r="V13" i="10"/>
  <c r="V11" i="9"/>
  <c r="W7" i="9"/>
  <c r="V12" i="9"/>
  <c r="V8" i="9"/>
  <c r="V13" i="9"/>
  <c r="V9" i="9"/>
  <c r="V10" i="9"/>
  <c r="W12" i="6"/>
  <c r="W13" i="6"/>
  <c r="W11" i="6"/>
  <c r="W9" i="6"/>
  <c r="V13" i="6"/>
  <c r="V11" i="6"/>
  <c r="V9" i="6"/>
  <c r="V12" i="6"/>
  <c r="X7" i="6"/>
  <c r="W10" i="6"/>
  <c r="W8" i="6"/>
  <c r="X9" i="32" l="1"/>
  <c r="X8" i="32"/>
  <c r="X11" i="32"/>
  <c r="X12" i="32"/>
  <c r="X13" i="32"/>
  <c r="X10" i="32"/>
  <c r="X12" i="31"/>
  <c r="X13" i="31"/>
  <c r="X9" i="31"/>
  <c r="X10" i="31"/>
  <c r="X8" i="31"/>
  <c r="X11" i="31"/>
  <c r="X12" i="29"/>
  <c r="X13" i="29"/>
  <c r="X9" i="29"/>
  <c r="X10" i="29"/>
  <c r="X8" i="29"/>
  <c r="X11" i="29"/>
  <c r="X10" i="28"/>
  <c r="X8" i="28"/>
  <c r="X13" i="28"/>
  <c r="X11" i="28"/>
  <c r="X12" i="28"/>
  <c r="X9" i="28"/>
  <c r="X11" i="27"/>
  <c r="X12" i="27"/>
  <c r="X13" i="27"/>
  <c r="X9" i="27"/>
  <c r="X10" i="27"/>
  <c r="X8" i="27"/>
  <c r="X10" i="26"/>
  <c r="X8" i="26"/>
  <c r="X11" i="26"/>
  <c r="X13" i="26"/>
  <c r="X12" i="26"/>
  <c r="X9" i="26"/>
  <c r="W10" i="24"/>
  <c r="W8" i="24"/>
  <c r="W11" i="24"/>
  <c r="W12" i="24"/>
  <c r="X7" i="24"/>
  <c r="W13" i="24"/>
  <c r="W9" i="24"/>
  <c r="X13" i="22"/>
  <c r="X9" i="22"/>
  <c r="X10" i="22"/>
  <c r="X8" i="22"/>
  <c r="X11" i="22"/>
  <c r="X12" i="22"/>
  <c r="W8" i="21"/>
  <c r="W11" i="21"/>
  <c r="W12" i="21"/>
  <c r="X7" i="21"/>
  <c r="W13" i="21"/>
  <c r="W9" i="21"/>
  <c r="W10" i="21"/>
  <c r="W12" i="20"/>
  <c r="X7" i="20"/>
  <c r="W13" i="20"/>
  <c r="W9" i="20"/>
  <c r="W8" i="20"/>
  <c r="W11" i="20"/>
  <c r="W10" i="20"/>
  <c r="X10" i="19"/>
  <c r="X12" i="19"/>
  <c r="X8" i="19"/>
  <c r="X11" i="19"/>
  <c r="X13" i="19"/>
  <c r="X9" i="19"/>
  <c r="W13" i="18"/>
  <c r="W9" i="18"/>
  <c r="W8" i="18"/>
  <c r="W10" i="18"/>
  <c r="W11" i="18"/>
  <c r="W12" i="18"/>
  <c r="X7" i="18"/>
  <c r="W8" i="17"/>
  <c r="W11" i="17"/>
  <c r="W12" i="17"/>
  <c r="X7" i="17"/>
  <c r="W13" i="17"/>
  <c r="W9" i="17"/>
  <c r="W10" i="17"/>
  <c r="W12" i="16"/>
  <c r="X7" i="16"/>
  <c r="W10" i="16"/>
  <c r="W13" i="16"/>
  <c r="W9" i="16"/>
  <c r="W8" i="16"/>
  <c r="W11" i="16"/>
  <c r="X12" i="15"/>
  <c r="X11" i="15"/>
  <c r="X13" i="15"/>
  <c r="X9" i="15"/>
  <c r="X10" i="15"/>
  <c r="X8" i="15"/>
  <c r="W10" i="14"/>
  <c r="W8" i="14"/>
  <c r="W13" i="14"/>
  <c r="W11" i="14"/>
  <c r="W9" i="14"/>
  <c r="W12" i="14"/>
  <c r="X7" i="14"/>
  <c r="W8" i="13"/>
  <c r="W11" i="13"/>
  <c r="W12" i="13"/>
  <c r="X7" i="13"/>
  <c r="W10" i="13"/>
  <c r="W13" i="13"/>
  <c r="W9" i="13"/>
  <c r="W10" i="12"/>
  <c r="W12" i="12"/>
  <c r="X7" i="12"/>
  <c r="W11" i="12"/>
  <c r="W8" i="12"/>
  <c r="W13" i="12"/>
  <c r="W9" i="12"/>
  <c r="W8" i="11"/>
  <c r="W12" i="11"/>
  <c r="X7" i="11"/>
  <c r="W11" i="11"/>
  <c r="W13" i="11"/>
  <c r="W9" i="11"/>
  <c r="W10" i="11"/>
  <c r="W12" i="10"/>
  <c r="X7" i="10"/>
  <c r="W13" i="10"/>
  <c r="W9" i="10"/>
  <c r="W8" i="10"/>
  <c r="W11" i="10"/>
  <c r="W10" i="10"/>
  <c r="W12" i="9"/>
  <c r="X7" i="9"/>
  <c r="W9" i="9"/>
  <c r="W13" i="9"/>
  <c r="W10" i="9"/>
  <c r="W8" i="9"/>
  <c r="W11" i="9"/>
  <c r="X12" i="6"/>
  <c r="X13" i="6"/>
  <c r="X11" i="6"/>
  <c r="X9" i="6"/>
  <c r="X8" i="6"/>
  <c r="X10" i="6"/>
  <c r="X10" i="24" l="1"/>
  <c r="X8" i="24"/>
  <c r="X11" i="24"/>
  <c r="X12" i="24"/>
  <c r="X13" i="24"/>
  <c r="X9" i="24"/>
  <c r="X11" i="21"/>
  <c r="X12" i="21"/>
  <c r="X13" i="21"/>
  <c r="X9" i="21"/>
  <c r="X10" i="21"/>
  <c r="X8" i="21"/>
  <c r="X12" i="20"/>
  <c r="X13" i="20"/>
  <c r="X9" i="20"/>
  <c r="X10" i="20"/>
  <c r="X8" i="20"/>
  <c r="X11" i="20"/>
  <c r="X13" i="18"/>
  <c r="X9" i="18"/>
  <c r="X10" i="18"/>
  <c r="X8" i="18"/>
  <c r="X11" i="18"/>
  <c r="X12" i="18"/>
  <c r="X11" i="17"/>
  <c r="X13" i="17"/>
  <c r="X12" i="17"/>
  <c r="X9" i="17"/>
  <c r="X10" i="17"/>
  <c r="X8" i="17"/>
  <c r="X12" i="16"/>
  <c r="X13" i="16"/>
  <c r="X9" i="16"/>
  <c r="X10" i="16"/>
  <c r="X8" i="16"/>
  <c r="X11" i="16"/>
  <c r="X10" i="14"/>
  <c r="X8" i="14"/>
  <c r="X11" i="14"/>
  <c r="X9" i="14"/>
  <c r="X13" i="14"/>
  <c r="X12" i="14"/>
  <c r="X8" i="13"/>
  <c r="X11" i="13"/>
  <c r="X12" i="13"/>
  <c r="X13" i="13"/>
  <c r="X9" i="13"/>
  <c r="X10" i="13"/>
  <c r="X12" i="12"/>
  <c r="X13" i="12"/>
  <c r="X9" i="12"/>
  <c r="X11" i="12"/>
  <c r="X8" i="12"/>
  <c r="X10" i="12"/>
  <c r="X12" i="11"/>
  <c r="X13" i="11"/>
  <c r="X9" i="11"/>
  <c r="X10" i="11"/>
  <c r="X8" i="11"/>
  <c r="X11" i="11"/>
  <c r="X11" i="10"/>
  <c r="X12" i="10"/>
  <c r="X8" i="10"/>
  <c r="X13" i="10"/>
  <c r="X9" i="10"/>
  <c r="X10" i="10"/>
  <c r="X12" i="9"/>
  <c r="X13" i="9"/>
  <c r="X9" i="9"/>
  <c r="X10" i="9"/>
  <c r="X11" i="9"/>
  <c r="X8" i="9"/>
  <c r="E92" i="9" l="1"/>
  <c r="D5" i="9" s="1"/>
  <c r="M31" i="9" s="1"/>
  <c r="E91" i="9"/>
  <c r="D4" i="9"/>
  <c r="T30" i="9" s="1"/>
  <c r="E90" i="9"/>
  <c r="D3" i="9"/>
  <c r="AC29" i="9" s="1"/>
  <c r="E94" i="9"/>
  <c r="D7" i="9" s="1"/>
  <c r="X34" i="9" s="1"/>
  <c r="E96" i="9"/>
  <c r="D19" i="9" s="1"/>
  <c r="E93" i="9"/>
  <c r="D6" i="9" s="1"/>
  <c r="E95" i="9"/>
  <c r="D8" i="9" s="1"/>
  <c r="E89" i="9"/>
  <c r="E87" i="9"/>
  <c r="E88" i="9"/>
  <c r="AD10" i="9" l="1"/>
  <c r="AD4" i="9" s="1"/>
  <c r="AD16" i="9" s="1"/>
  <c r="AC10" i="9"/>
  <c r="AC4" i="9" s="1"/>
  <c r="AC16" i="9" s="1"/>
  <c r="W65" i="9"/>
  <c r="AB10" i="9"/>
  <c r="AB4" i="9" s="1"/>
  <c r="AB16" i="9" s="1"/>
  <c r="Y65" i="9"/>
  <c r="X65" i="9"/>
  <c r="AA10" i="9"/>
  <c r="AA4" i="9" s="1"/>
  <c r="AA16" i="9" s="1"/>
  <c r="V65" i="9"/>
  <c r="R33" i="9"/>
  <c r="AA33" i="9"/>
  <c r="U33" i="9"/>
  <c r="M33" i="9"/>
  <c r="T33" i="9"/>
  <c r="J33" i="9"/>
  <c r="AC33" i="9"/>
  <c r="V33" i="9"/>
  <c r="K33" i="9"/>
  <c r="O33" i="9"/>
  <c r="Z33" i="9"/>
  <c r="Y33" i="9"/>
  <c r="S33" i="9"/>
  <c r="N33" i="9"/>
  <c r="W33" i="9"/>
  <c r="AB33" i="9"/>
  <c r="L33" i="9"/>
  <c r="AD33" i="9"/>
  <c r="X33" i="9"/>
  <c r="X19" i="9" s="1"/>
  <c r="Q33" i="9"/>
  <c r="P33" i="9"/>
  <c r="AA34" i="9"/>
  <c r="N34" i="9"/>
  <c r="R29" i="9"/>
  <c r="AD34" i="9"/>
  <c r="AD29" i="9"/>
  <c r="Q30" i="9"/>
  <c r="L30" i="9"/>
  <c r="AA30" i="9"/>
  <c r="AB31" i="9"/>
  <c r="P69" i="9"/>
  <c r="P57" i="9" s="1"/>
  <c r="AC34" i="9"/>
  <c r="O34" i="9"/>
  <c r="V29" i="9"/>
  <c r="X68" i="9"/>
  <c r="K30" i="9"/>
  <c r="J31" i="9"/>
  <c r="W31" i="9"/>
  <c r="S34" i="9"/>
  <c r="U29" i="9"/>
  <c r="M30" i="9"/>
  <c r="R31" i="9"/>
  <c r="Y34" i="9"/>
  <c r="Z34" i="9"/>
  <c r="Y29" i="9"/>
  <c r="AC30" i="9"/>
  <c r="S30" i="9"/>
  <c r="V31" i="9"/>
  <c r="U31" i="9"/>
  <c r="P29" i="9"/>
  <c r="L29" i="9"/>
  <c r="AB34" i="9"/>
  <c r="S29" i="9"/>
  <c r="V34" i="9"/>
  <c r="J34" i="9"/>
  <c r="W29" i="9"/>
  <c r="O30" i="9"/>
  <c r="Y30" i="9"/>
  <c r="N30" i="9"/>
  <c r="N31" i="9"/>
  <c r="L31" i="9"/>
  <c r="W34" i="9"/>
  <c r="T31" i="9"/>
  <c r="T34" i="9"/>
  <c r="M34" i="9"/>
  <c r="AB29" i="9"/>
  <c r="X29" i="9"/>
  <c r="J30" i="9"/>
  <c r="AD30" i="9"/>
  <c r="S69" i="9"/>
  <c r="S57" i="9" s="1"/>
  <c r="S31" i="9"/>
  <c r="AA31" i="9"/>
  <c r="N29" i="9"/>
  <c r="K34" i="9"/>
  <c r="X30" i="9"/>
  <c r="U34" i="9"/>
  <c r="Q29" i="9"/>
  <c r="T29" i="9"/>
  <c r="R69" i="9"/>
  <c r="R57" i="9" s="1"/>
  <c r="V30" i="9"/>
  <c r="Y31" i="9"/>
  <c r="AD31" i="9"/>
  <c r="Y68" i="9"/>
  <c r="P34" i="9"/>
  <c r="M29" i="9"/>
  <c r="Z29" i="9"/>
  <c r="AB30" i="9"/>
  <c r="Q69" i="9"/>
  <c r="Q57" i="9" s="1"/>
  <c r="W68" i="9"/>
  <c r="AC31" i="9"/>
  <c r="X31" i="9"/>
  <c r="O29" i="9"/>
  <c r="W30" i="9"/>
  <c r="Q31" i="9"/>
  <c r="P31" i="9"/>
  <c r="J29" i="9"/>
  <c r="J19" i="9" s="1"/>
  <c r="R34" i="9"/>
  <c r="L34" i="9"/>
  <c r="AA29" i="9"/>
  <c r="R30" i="9"/>
  <c r="Z30" i="9"/>
  <c r="O31" i="9"/>
  <c r="Z31" i="9"/>
  <c r="K29" i="9"/>
  <c r="Q34" i="9"/>
  <c r="P30" i="9"/>
  <c r="U30" i="9"/>
  <c r="V68" i="9"/>
  <c r="K31" i="9"/>
  <c r="J50" i="9" l="1"/>
  <c r="J52" i="9"/>
  <c r="X50" i="9"/>
  <c r="X52" i="9"/>
  <c r="P19" i="9"/>
  <c r="P50" i="9" s="1"/>
  <c r="P52" i="9" s="1"/>
  <c r="L19" i="9"/>
  <c r="AA19" i="9"/>
  <c r="O19" i="9"/>
  <c r="W19" i="9"/>
  <c r="U19" i="9"/>
  <c r="M19" i="9"/>
  <c r="M50" i="9" s="1"/>
  <c r="M52" i="9" s="1"/>
  <c r="Q19" i="9"/>
  <c r="AB19" i="9"/>
  <c r="N19" i="9"/>
  <c r="N50" i="9" s="1"/>
  <c r="N52" i="9" s="1"/>
  <c r="S19" i="9"/>
  <c r="R19" i="9"/>
  <c r="Y19" i="9"/>
  <c r="V58" i="9"/>
  <c r="Z19" i="9"/>
  <c r="X58" i="9"/>
  <c r="Y58" i="9"/>
  <c r="K19" i="9"/>
  <c r="K50" i="9" s="1"/>
  <c r="K52" i="9" s="1"/>
  <c r="V19" i="9"/>
  <c r="AC19" i="9"/>
  <c r="W58" i="9"/>
  <c r="AD19" i="9"/>
  <c r="J97" i="9"/>
  <c r="J98" i="9" s="1"/>
  <c r="T19" i="9"/>
  <c r="Q52" i="9" l="1"/>
  <c r="Q50" i="9"/>
  <c r="U50" i="9"/>
  <c r="U52" i="9"/>
  <c r="AC52" i="9"/>
  <c r="AC50" i="9"/>
  <c r="W50" i="9"/>
  <c r="W52" i="9"/>
  <c r="O52" i="9"/>
  <c r="O50" i="9"/>
  <c r="V50" i="9"/>
  <c r="V52" i="9"/>
  <c r="AA52" i="9"/>
  <c r="AA50" i="9"/>
  <c r="L50" i="9"/>
  <c r="L52" i="9"/>
  <c r="Y52" i="9"/>
  <c r="Y50" i="9"/>
  <c r="Z52" i="9"/>
  <c r="Z50" i="9"/>
  <c r="T50" i="9"/>
  <c r="T52" i="9"/>
  <c r="R52" i="9"/>
  <c r="R50" i="9"/>
  <c r="S50" i="9"/>
  <c r="S52" i="9"/>
  <c r="AD52" i="9"/>
  <c r="AD50" i="9"/>
  <c r="AB52" i="9"/>
  <c r="AB50" i="9"/>
  <c r="F97" i="9"/>
  <c r="F100" i="9" l="1"/>
  <c r="B2" i="7" s="1"/>
  <c r="F2" i="7" s="1"/>
  <c r="B5" i="7" s="1"/>
  <c r="F101" i="9"/>
  <c r="B4" i="7" s="1"/>
  <c r="H2" i="7" s="1"/>
  <c r="B7" i="7" s="1"/>
  <c r="F99" i="9"/>
  <c r="B3" i="7"/>
  <c r="C7" i="7" l="1"/>
  <c r="D7" i="7"/>
  <c r="E7" i="7"/>
  <c r="S19" i="7"/>
  <c r="W19" i="7" s="1"/>
  <c r="Q19" i="7"/>
  <c r="U19" i="7" s="1"/>
  <c r="E5" i="7"/>
  <c r="D5" i="7"/>
  <c r="C5" i="7"/>
  <c r="G2" i="7"/>
  <c r="R19" i="7" s="1"/>
  <c r="V19" i="7" s="1"/>
  <c r="C6" i="7" l="1"/>
  <c r="E6" i="7"/>
  <c r="D6" i="7"/>
  <c r="B6" i="7"/>
</calcChain>
</file>

<file path=xl/sharedStrings.xml><?xml version="1.0" encoding="utf-8"?>
<sst xmlns="http://schemas.openxmlformats.org/spreadsheetml/2006/main" count="59954" uniqueCount="588">
  <si>
    <t>secondary dmg%</t>
  </si>
  <si>
    <t>em</t>
  </si>
  <si>
    <t>crit damage</t>
  </si>
  <si>
    <t>crit</t>
  </si>
  <si>
    <t>atk%</t>
  </si>
  <si>
    <t>dmg%</t>
  </si>
  <si>
    <t>zhongli</t>
  </si>
  <si>
    <t>yanfei</t>
  </si>
  <si>
    <t>xingqiu</t>
  </si>
  <si>
    <t>xiao</t>
  </si>
  <si>
    <t>xiangling</t>
  </si>
  <si>
    <t>er</t>
  </si>
  <si>
    <t>venti</t>
  </si>
  <si>
    <t>geo traveller</t>
  </si>
  <si>
    <t>anemo traveller</t>
  </si>
  <si>
    <t>tartaglia</t>
  </si>
  <si>
    <t>sucrose</t>
  </si>
  <si>
    <t>rosaria</t>
  </si>
  <si>
    <t>phy%</t>
  </si>
  <si>
    <t>razor</t>
  </si>
  <si>
    <t>heal%</t>
  </si>
  <si>
    <t>qiqi</t>
  </si>
  <si>
    <t>def%</t>
  </si>
  <si>
    <t>noelle</t>
  </si>
  <si>
    <t>ningguang</t>
  </si>
  <si>
    <t>mona</t>
  </si>
  <si>
    <t>lisa</t>
  </si>
  <si>
    <t>klee</t>
  </si>
  <si>
    <t>keqing</t>
  </si>
  <si>
    <t>kaeya</t>
  </si>
  <si>
    <t>jean</t>
  </si>
  <si>
    <t>hu tao</t>
  </si>
  <si>
    <t>ganyu</t>
  </si>
  <si>
    <t>fischl</t>
  </si>
  <si>
    <t>eula</t>
  </si>
  <si>
    <t>diona</t>
  </si>
  <si>
    <t>diluc</t>
  </si>
  <si>
    <t>chongyun</t>
  </si>
  <si>
    <t>bennett</t>
  </si>
  <si>
    <t>beidou</t>
  </si>
  <si>
    <t>hp%</t>
  </si>
  <si>
    <t>barbara</t>
  </si>
  <si>
    <t>amber</t>
  </si>
  <si>
    <t>albedo</t>
  </si>
  <si>
    <t>a.stat</t>
  </si>
  <si>
    <t>def</t>
  </si>
  <si>
    <t>hp</t>
  </si>
  <si>
    <t>atk</t>
  </si>
  <si>
    <t>burst dmg%</t>
  </si>
  <si>
    <t>skill dmg%</t>
  </si>
  <si>
    <t>normal dmg%</t>
  </si>
  <si>
    <t>phy dmg%</t>
  </si>
  <si>
    <t>primary elem dmg%</t>
  </si>
  <si>
    <t>general dmg%</t>
  </si>
  <si>
    <t>additional</t>
  </si>
  <si>
    <t>artifact substats</t>
  </si>
  <si>
    <t>sum of substats</t>
  </si>
  <si>
    <t>charged dmg%</t>
  </si>
  <si>
    <t>artifact set bonuses</t>
  </si>
  <si>
    <t>artifact mainstats</t>
  </si>
  <si>
    <t xml:space="preserve">crit </t>
  </si>
  <si>
    <t>base atk</t>
  </si>
  <si>
    <t>weapon base stats</t>
  </si>
  <si>
    <t>secondary elem dmg%</t>
  </si>
  <si>
    <t>base stats</t>
  </si>
  <si>
    <t>kazuha</t>
  </si>
  <si>
    <t>sayu</t>
  </si>
  <si>
    <t>yoimiya</t>
  </si>
  <si>
    <t>number</t>
  </si>
  <si>
    <t>raiden shogun</t>
  </si>
  <si>
    <t>kokomi</t>
  </si>
  <si>
    <t>transformatives base</t>
  </si>
  <si>
    <t>burst</t>
  </si>
  <si>
    <t>ol bonus</t>
  </si>
  <si>
    <t>ec bonus</t>
  </si>
  <si>
    <t>sc bonus</t>
  </si>
  <si>
    <t>swirl bonus</t>
  </si>
  <si>
    <t>ol base</t>
  </si>
  <si>
    <t>ec base</t>
  </si>
  <si>
    <t>sc base</t>
  </si>
  <si>
    <t>swirl base</t>
  </si>
  <si>
    <t>minimum er</t>
  </si>
  <si>
    <t>multiplier</t>
  </si>
  <si>
    <t>repetitions</t>
  </si>
  <si>
    <t>additional stuff</t>
  </si>
  <si>
    <t>%</t>
  </si>
  <si>
    <t>flat</t>
  </si>
  <si>
    <t>values</t>
  </si>
  <si>
    <t>scaling stat</t>
  </si>
  <si>
    <t>damage typing</t>
  </si>
  <si>
    <t>ability typing</t>
  </si>
  <si>
    <t>primary</t>
  </si>
  <si>
    <t>secondary</t>
  </si>
  <si>
    <t>normal</t>
  </si>
  <si>
    <t>charged</t>
  </si>
  <si>
    <t>resistance</t>
  </si>
  <si>
    <t>melt</t>
  </si>
  <si>
    <t>reaction</t>
  </si>
  <si>
    <t>extra em</t>
  </si>
  <si>
    <t>extra reaction bonus%</t>
  </si>
  <si>
    <t>resistance shred</t>
  </si>
  <si>
    <t>crit dmg</t>
  </si>
  <si>
    <t>reaction bonus</t>
  </si>
  <si>
    <t>phy</t>
  </si>
  <si>
    <t>add</t>
  </si>
  <si>
    <t>skill</t>
  </si>
  <si>
    <t>vape</t>
  </si>
  <si>
    <t>reverse</t>
  </si>
  <si>
    <t>Display stats</t>
  </si>
  <si>
    <t>effective atk</t>
  </si>
  <si>
    <t>effective def</t>
  </si>
  <si>
    <t>effective hp</t>
  </si>
  <si>
    <t>effective dmg%</t>
  </si>
  <si>
    <t>effective crit</t>
  </si>
  <si>
    <t>effective crit damage</t>
  </si>
  <si>
    <t>reaction multiplier</t>
  </si>
  <si>
    <t>label attacks here</t>
  </si>
  <si>
    <t>MADE BY Sir_pick_the_prick#2209</t>
  </si>
  <si>
    <t>buff origin</t>
  </si>
  <si>
    <t>ROTATION TIME</t>
  </si>
  <si>
    <t>DAMAGE PER SECOND</t>
  </si>
  <si>
    <t>xinyan</t>
  </si>
  <si>
    <t>sara</t>
  </si>
  <si>
    <t>ayaka</t>
  </si>
  <si>
    <t>Talent Level</t>
  </si>
  <si>
    <t>auto 3</t>
  </si>
  <si>
    <t>ability 1</t>
  </si>
  <si>
    <t>ability 2</t>
  </si>
  <si>
    <t>ability 3</t>
  </si>
  <si>
    <t>flats</t>
  </si>
  <si>
    <t>exception 1</t>
  </si>
  <si>
    <t>exception 2</t>
  </si>
  <si>
    <t>yoi</t>
  </si>
  <si>
    <t>exception 3</t>
  </si>
  <si>
    <t>ROTATION DAMAGE</t>
  </si>
  <si>
    <t>def multiplier</t>
  </si>
  <si>
    <t>enemy resistance</t>
  </si>
  <si>
    <t>def shred% of monster</t>
  </si>
  <si>
    <t>aoe mod</t>
  </si>
  <si>
    <t>base reaction bonus%</t>
  </si>
  <si>
    <t>base reaction damage</t>
  </si>
  <si>
    <t>base resistance</t>
  </si>
  <si>
    <t>base resistance of enemy</t>
  </si>
  <si>
    <t>base values</t>
  </si>
  <si>
    <t>total subs</t>
  </si>
  <si>
    <t>max fluid subs</t>
  </si>
  <si>
    <t>amp type</t>
  </si>
  <si>
    <t>max</t>
  </si>
  <si>
    <t>healing bonus%</t>
  </si>
  <si>
    <t>shatter base</t>
  </si>
  <si>
    <t>Base resistances</t>
  </si>
  <si>
    <t>plunge</t>
  </si>
  <si>
    <t>plunge dmg%</t>
  </si>
  <si>
    <t>Player Damage</t>
  </si>
  <si>
    <t>Transformative Damage</t>
  </si>
  <si>
    <t>Player Shields</t>
  </si>
  <si>
    <t>shield strength</t>
  </si>
  <si>
    <t>damage reduction</t>
  </si>
  <si>
    <t>damage typing multiplier</t>
  </si>
  <si>
    <t>flat bonus</t>
  </si>
  <si>
    <t>Shield hp</t>
  </si>
  <si>
    <t>Shield health multiplier</t>
  </si>
  <si>
    <t>label shield source</t>
  </si>
  <si>
    <t>damage withstandable</t>
  </si>
  <si>
    <t>Transformative Shields</t>
  </si>
  <si>
    <t>label shield</t>
  </si>
  <si>
    <t>Damage reduction multiplier</t>
  </si>
  <si>
    <t>crystallise base (self made)</t>
  </si>
  <si>
    <t>base shield hp</t>
  </si>
  <si>
    <t>Disclaimer: shields cannot stack</t>
  </si>
  <si>
    <t>reaction bonus%</t>
  </si>
  <si>
    <t>-</t>
  </si>
  <si>
    <t>Player Healing</t>
  </si>
  <si>
    <t>flat def</t>
  </si>
  <si>
    <t>base healing</t>
  </si>
  <si>
    <t>healing bonus</t>
  </si>
  <si>
    <t>label sources here</t>
  </si>
  <si>
    <t>damage</t>
  </si>
  <si>
    <t>healing</t>
  </si>
  <si>
    <t>extra healing bonus%</t>
  </si>
  <si>
    <t>incoming healing%</t>
  </si>
  <si>
    <t>damage conversion rate</t>
  </si>
  <si>
    <t>autos</t>
  </si>
  <si>
    <t>thoma</t>
  </si>
  <si>
    <t>n1</t>
  </si>
  <si>
    <t>n2</t>
  </si>
  <si>
    <t>n3</t>
  </si>
  <si>
    <t>n4</t>
  </si>
  <si>
    <t>n5</t>
  </si>
  <si>
    <t>electro traveller</t>
  </si>
  <si>
    <t>ca</t>
  </si>
  <si>
    <t>phy high</t>
  </si>
  <si>
    <t>full ca</t>
  </si>
  <si>
    <t>elem 1</t>
  </si>
  <si>
    <t>high plunge</t>
  </si>
  <si>
    <t>low plunge</t>
  </si>
  <si>
    <t>Scaling</t>
  </si>
  <si>
    <t>attack</t>
  </si>
  <si>
    <t>scaling type</t>
  </si>
  <si>
    <t>phy low</t>
  </si>
  <si>
    <t>elem</t>
  </si>
  <si>
    <t>elem high</t>
  </si>
  <si>
    <t>elem low</t>
  </si>
  <si>
    <t>talent level</t>
  </si>
  <si>
    <t>1-Hit DMG</t>
  </si>
  <si>
    <t>2-Hit DMG</t>
  </si>
  <si>
    <t>3-Hit DMG</t>
  </si>
  <si>
    <t>4-Hit DMG</t>
  </si>
  <si>
    <t>5-Hit DMG</t>
  </si>
  <si>
    <t>Aimed Shot</t>
  </si>
  <si>
    <t>Fully-Charged Aimed Shot</t>
  </si>
  <si>
    <t>Plunge DMG</t>
  </si>
  <si>
    <t>Charged Attack DMG</t>
  </si>
  <si>
    <t>Charged Attack Spinning DMG</t>
  </si>
  <si>
    <t>Charged Attack Final DMG</t>
  </si>
  <si>
    <t>Low Plunge DMG</t>
  </si>
  <si>
    <t>High Plunge DMG</t>
  </si>
  <si>
    <t>Normal Attack DMG</t>
  </si>
  <si>
    <t>DMG per Star Jade</t>
  </si>
  <si>
    <t>6-Hit DMG</t>
  </si>
  <si>
    <t>Riptide Flash DMG</t>
  </si>
  <si>
    <t>Riptide Burst DMG</t>
  </si>
  <si>
    <t>Aimed Shot Charge Level 1</t>
  </si>
  <si>
    <t>Frostflake Arrow DMG</t>
  </si>
  <si>
    <t>Frostflake Arrow Bloom DMG</t>
  </si>
  <si>
    <t>5-HIT DMG</t>
  </si>
  <si>
    <t>6-HIT DMG</t>
  </si>
  <si>
    <t>Kindling Arrow DMG</t>
  </si>
  <si>
    <t>Inherited HP</t>
  </si>
  <si>
    <t>Explosion DMG</t>
  </si>
  <si>
    <t>HP Regeneration Per Hit</t>
  </si>
  <si>
    <t>Continuous Regeneration</t>
  </si>
  <si>
    <t>Droplet DMG</t>
  </si>
  <si>
    <t>Shield DMG Absorption</t>
  </si>
  <si>
    <t>Base DMG</t>
  </si>
  <si>
    <t>DMG Bonus on Hit Taken</t>
  </si>
  <si>
    <t>HP Regeneration Per Hit (flat)</t>
  </si>
  <si>
    <t>Continuous Regeneration (flat)</t>
  </si>
  <si>
    <t>Press DMG</t>
  </si>
  <si>
    <t>Charge Level 1 DMG (1/2)</t>
  </si>
  <si>
    <t>Charge Level 1 DMG (2/2)</t>
  </si>
  <si>
    <t>Charge Level 2 DMG (1/2)</t>
  </si>
  <si>
    <t>Charge Level 2 DMG (2/2)</t>
  </si>
  <si>
    <t>Skill DMG</t>
  </si>
  <si>
    <t>Oz's ATK DMG</t>
  </si>
  <si>
    <t>Summoning DMG</t>
  </si>
  <si>
    <t>Lightning Stiletto DMG</t>
  </si>
  <si>
    <t>Slashing DMG</t>
  </si>
  <si>
    <t>Thunderclap Slash DMG (*2)</t>
  </si>
  <si>
    <t>Jumpy Dumpty DMG</t>
  </si>
  <si>
    <t>Mine DMG</t>
  </si>
  <si>
    <t>Non-Conductive Hold DMG</t>
  </si>
  <si>
    <t>Stack 1 Conductive Hold DMG</t>
  </si>
  <si>
    <t>Stack 2 Conductive Hold DMG</t>
  </si>
  <si>
    <t>Stack 3 Conductive Hold DMG</t>
  </si>
  <si>
    <t>DoT</t>
  </si>
  <si>
    <t>DMG Absorption</t>
  </si>
  <si>
    <t>Healing</t>
  </si>
  <si>
    <t>DMG Absorption (flat)</t>
  </si>
  <si>
    <t>Healing (flat)</t>
  </si>
  <si>
    <t>Regeneration on Hit</t>
  </si>
  <si>
    <t>Herald of Frost DMG</t>
  </si>
  <si>
    <t>Regeneration on Hit (flat)</t>
  </si>
  <si>
    <t>Press Skill DMG</t>
  </si>
  <si>
    <t>Hold Skill DMG</t>
  </si>
  <si>
    <t>Hold DMG</t>
  </si>
  <si>
    <t>Flame DMG</t>
  </si>
  <si>
    <t>Shield DMG Absorption (flat)</t>
  </si>
  <si>
    <t>Skill DMG (1/2)</t>
  </si>
  <si>
    <t>Skill DMG (2/2)</t>
  </si>
  <si>
    <t>Damage Reduction</t>
  </si>
  <si>
    <t>xq</t>
  </si>
  <si>
    <t>Stance Change DMG</t>
  </si>
  <si>
    <t>Riptide Slash</t>
  </si>
  <si>
    <t>6-Hit DMG (2/2)</t>
  </si>
  <si>
    <t>6-Hit DMG (1/2)</t>
  </si>
  <si>
    <t>Charged Attack DMG (2/2)</t>
  </si>
  <si>
    <t>Stone Stele</t>
  </si>
  <si>
    <t>Resonance</t>
  </si>
  <si>
    <t>Shield Base Absorption</t>
  </si>
  <si>
    <t>Additional Shield Absorption</t>
  </si>
  <si>
    <t>Icy Paw DMG</t>
  </si>
  <si>
    <t>Base Shield DMG Absorption</t>
  </si>
  <si>
    <t>Base Shield DMG Absorption (flat)</t>
  </si>
  <si>
    <t>Swing DMG</t>
  </si>
  <si>
    <t>Shield Level 1 DMG Absorption</t>
  </si>
  <si>
    <t>Shield Level 1 DMG Absorption (flat)</t>
  </si>
  <si>
    <t>Shield Level 2 DMG Absorption</t>
  </si>
  <si>
    <t>Shield Level 2 DMG Absorption (flat)</t>
  </si>
  <si>
    <t>Shield Level 3 DMG Absorption</t>
  </si>
  <si>
    <t>Shield Level 3 DMG Absorption (flat)</t>
  </si>
  <si>
    <t>Transient Blossom DMG</t>
  </si>
  <si>
    <t>ATK increase</t>
  </si>
  <si>
    <t>Blood Blossom DMG</t>
  </si>
  <si>
    <t>Icewhirl Brand DMG</t>
  </si>
  <si>
    <t>RES Decrease</t>
  </si>
  <si>
    <t>zero gain</t>
  </si>
  <si>
    <t>DEF Bonus</t>
  </si>
  <si>
    <t>Energy Recharge Bonus</t>
  </si>
  <si>
    <t>Blazing Arrow DMG</t>
  </si>
  <si>
    <t>Fuufuu Windwheel DMG</t>
  </si>
  <si>
    <t>PressFuufuu Whirlwind Kick DMG</t>
  </si>
  <si>
    <t>Fuufuu Whirlwind Kick Hold DMG</t>
  </si>
  <si>
    <t>Fuufuu Windwheel Elemental DMG</t>
  </si>
  <si>
    <t>Fuufuu Whirlwind Kick Elemental DMG</t>
  </si>
  <si>
    <t>Coordinated ATK DMG</t>
  </si>
  <si>
    <t>Elemental Burst DMG Bonus</t>
  </si>
  <si>
    <t>raiden</t>
  </si>
  <si>
    <t>Tengu Juurai: Ambush DMG</t>
  </si>
  <si>
    <t>ATK Bonus Ratio</t>
  </si>
  <si>
    <t>Initial Cutting DMG</t>
  </si>
  <si>
    <t>Max Cutting DMG</t>
  </si>
  <si>
    <t>Initial Storm DMG</t>
  </si>
  <si>
    <t>Max Storm DMG</t>
  </si>
  <si>
    <t>Energy Recharge Increase</t>
  </si>
  <si>
    <t>emc</t>
  </si>
  <si>
    <t>Regeneration</t>
  </si>
  <si>
    <t>Regeneration (flat)</t>
  </si>
  <si>
    <t>Ripple DMG</t>
  </si>
  <si>
    <t>Max Shield DMG Absorption</t>
  </si>
  <si>
    <t>Max Shield DMG Absorption (flat)</t>
  </si>
  <si>
    <t>Fiery Rain DMG Per Wave</t>
  </si>
  <si>
    <t>Total Fiery Rain DMG</t>
  </si>
  <si>
    <t>Lightning DMG</t>
  </si>
  <si>
    <t>DMG Reduction</t>
  </si>
  <si>
    <t>Continuous Regeneration Per Sec</t>
  </si>
  <si>
    <t>Continuous Regeneration Per Sec (flat)</t>
  </si>
  <si>
    <t>Falling Thunder DMG</t>
  </si>
  <si>
    <t>Elemental Burst DMG</t>
  </si>
  <si>
    <t>Field Entering/Exiting DMG</t>
  </si>
  <si>
    <t>Field Activation Healing</t>
  </si>
  <si>
    <t>Field Activation Healing (flat)</t>
  </si>
  <si>
    <t>Last Attack DMG</t>
  </si>
  <si>
    <t>Consecutive Slash DMG (*8)</t>
  </si>
  <si>
    <t>Sparks 'n' Splash DMG</t>
  </si>
  <si>
    <t>Discharge DMG</t>
  </si>
  <si>
    <t>Illusory Bubble Explosion DMG</t>
  </si>
  <si>
    <t>DMG Bonus</t>
  </si>
  <si>
    <t>DMG Per Gem</t>
  </si>
  <si>
    <t>Burst DMG</t>
  </si>
  <si>
    <t>ATK Bonus</t>
  </si>
  <si>
    <t>Soul Companion DMG</t>
  </si>
  <si>
    <t>Normal ATK SPD Bonus</t>
  </si>
  <si>
    <t>Electro RES Bonus</t>
  </si>
  <si>
    <t>Additional Elemental DMG</t>
  </si>
  <si>
    <t>1-Hit Swing DMG</t>
  </si>
  <si>
    <t>2-Hit Swing DMG</t>
  </si>
  <si>
    <t>3-Hit Swing DMG</t>
  </si>
  <si>
    <t>Pyronado DMG</t>
  </si>
  <si>
    <t>Normal/Charged/Plunging Attack DMG Bonus</t>
  </si>
  <si>
    <t>Sword Rain DMG</t>
  </si>
  <si>
    <t>Skill DMG: Melee</t>
  </si>
  <si>
    <t>Skill DMG: Ranged</t>
  </si>
  <si>
    <t>Riptide Blast DMG</t>
  </si>
  <si>
    <t>Continuous Field DMG</t>
  </si>
  <si>
    <t>HP Regeneration Over Time</t>
  </si>
  <si>
    <t>HP Regeneration Over Time (flat)</t>
  </si>
  <si>
    <t>Ice Shard DMG</t>
  </si>
  <si>
    <t>Fatal Blossom DMG</t>
  </si>
  <si>
    <t>Ice Lance DoT</t>
  </si>
  <si>
    <t>Cutting DMG</t>
  </si>
  <si>
    <t>Bloom DMG</t>
  </si>
  <si>
    <t>Low HP Skill DMG</t>
  </si>
  <si>
    <t>Skill HP Regeneration</t>
  </si>
  <si>
    <t>Low HP Skill Regeneration</t>
  </si>
  <si>
    <t>Charged Attack DMG Bonus</t>
  </si>
  <si>
    <t>Lightfall Sword Base DMG</t>
  </si>
  <si>
    <t>DMG Per Stack</t>
  </si>
  <si>
    <t>Aurous Blaze Explosion DMG</t>
  </si>
  <si>
    <t>Skill Activation DMG</t>
  </si>
  <si>
    <t>Skill Activation Healing</t>
  </si>
  <si>
    <t>Muji-Muji Daruma DMG</t>
  </si>
  <si>
    <t>Muji-Muji Daruma Healing</t>
  </si>
  <si>
    <t>Skill Activation Healing (flat)</t>
  </si>
  <si>
    <t>Muji-Muji Daruma Healing (flat)</t>
  </si>
  <si>
    <t>Musou no Hitotachi Base DMG</t>
  </si>
  <si>
    <t>Resolve Bonus (initial)</t>
  </si>
  <si>
    <t>Resolve Bonus (ATK DMG Per Stack)</t>
  </si>
  <si>
    <t>4-Hit DMG (*2)</t>
  </si>
  <si>
    <t>4-Hit DMG (1/2)</t>
  </si>
  <si>
    <t>4-Hit DMG(2/2)</t>
  </si>
  <si>
    <t>Charged Attack DMG (1/2)</t>
  </si>
  <si>
    <t>Tengu Juurai: Titanbreaker DMG</t>
  </si>
  <si>
    <t>Tengu Juurai: Stormcluster DMG</t>
  </si>
  <si>
    <t>Tornado DMG</t>
  </si>
  <si>
    <t>DMG Per Shockwave</t>
  </si>
  <si>
    <t>Normal Attack DMG Bonus</t>
  </si>
  <si>
    <t>Bake-Kurage DMG Bonus</t>
  </si>
  <si>
    <t>Charged Attack DMG (1/2) (Aether)</t>
  </si>
  <si>
    <t>Charged Attack DMG (2/2) (Aether)</t>
  </si>
  <si>
    <t>Charged Attack DMG (1/2) (Lumine)</t>
  </si>
  <si>
    <t>Charged Attack DMG (2/2) (Lumine)</t>
  </si>
  <si>
    <t>3-Hit DMG (*2)</t>
  </si>
  <si>
    <t>1-Hit DMG (*2)</t>
  </si>
  <si>
    <t>4-Hit DMG (*3)</t>
  </si>
  <si>
    <t>4-Hit DMG (*4)</t>
  </si>
  <si>
    <t>5-Hit DMG (*2)</t>
  </si>
  <si>
    <t>5-Hit DMG (*4)</t>
  </si>
  <si>
    <t>5-Hit DMG (1/2)</t>
  </si>
  <si>
    <t>5-Hit DMG (2/2)</t>
  </si>
  <si>
    <t>4-Hit DMG (2/2)</t>
  </si>
  <si>
    <t>3-Hit DMG (1/2)</t>
  </si>
  <si>
    <t>3-Hit DMG (2/2)</t>
  </si>
  <si>
    <t>Charged Attack DMG (0 sigil)</t>
  </si>
  <si>
    <t>Charged Attack DMG (1 sigil)</t>
  </si>
  <si>
    <t>Charged Attack DMG (2 sigil)</t>
  </si>
  <si>
    <t>Charged Attack DMG (3 sigil)</t>
  </si>
  <si>
    <t>Charged Attack DMG (4 sigil)</t>
  </si>
  <si>
    <t>SHIELDS PER ROTATION</t>
  </si>
  <si>
    <t>HEALING</t>
  </si>
  <si>
    <t>SHIELDS PER SECOND</t>
  </si>
  <si>
    <t>FINAL RESULT (TYPE BELOW</t>
  </si>
  <si>
    <t>HEALING PER SECOND</t>
  </si>
  <si>
    <t>Ascension gains</t>
  </si>
  <si>
    <t>ATK SPD</t>
  </si>
  <si>
    <t>Rimechaser Blade DMG</t>
  </si>
  <si>
    <t>EM Buff</t>
  </si>
  <si>
    <t>DMG against weakened opponents</t>
  </si>
  <si>
    <t>Movement SPD</t>
  </si>
  <si>
    <t>Enemy ATK Down</t>
  </si>
  <si>
    <t>Charged Atk DMG%</t>
  </si>
  <si>
    <t>Pyro DMG%</t>
  </si>
  <si>
    <t>ATK Buff</t>
  </si>
  <si>
    <t>Burst Crit%</t>
  </si>
  <si>
    <t>Stamina Consumption Decrease</t>
  </si>
  <si>
    <t>Shattered Lightfall Sword DMG</t>
  </si>
  <si>
    <t>Thundering Retribution DMG</t>
  </si>
  <si>
    <t>Undone Be Thy Sinful Hex DMG</t>
  </si>
  <si>
    <t>Crit Buff</t>
  </si>
  <si>
    <t>Cryo DMG%</t>
  </si>
  <si>
    <t>Charged Attack DMG (*2)</t>
  </si>
  <si>
    <t>Charged Attack DMG (*3)</t>
  </si>
  <si>
    <t>Eula</t>
  </si>
  <si>
    <t>Raiden</t>
  </si>
  <si>
    <t>Lisa</t>
  </si>
  <si>
    <t>Diona</t>
  </si>
  <si>
    <t>Rotation</t>
  </si>
  <si>
    <t>ER req</t>
  </si>
  <si>
    <t>Time (s)</t>
  </si>
  <si>
    <t>Fischl</t>
  </si>
  <si>
    <t>Rosaria</t>
  </si>
  <si>
    <t>Time code converter</t>
  </si>
  <si>
    <t>I</t>
  </si>
  <si>
    <t>O</t>
  </si>
  <si>
    <t xml:space="preserve">Raiden </t>
  </si>
  <si>
    <t>Beidou</t>
  </si>
  <si>
    <t>Time on field</t>
  </si>
  <si>
    <t>Pale Flame</t>
  </si>
  <si>
    <t>E</t>
  </si>
  <si>
    <t>Q</t>
  </si>
  <si>
    <t>N4</t>
  </si>
  <si>
    <t>Hold E</t>
  </si>
  <si>
    <t>Detonation</t>
  </si>
  <si>
    <t>sc</t>
  </si>
  <si>
    <t>SC</t>
  </si>
  <si>
    <t>A4</t>
  </si>
  <si>
    <t>E cast</t>
  </si>
  <si>
    <t xml:space="preserve">Q </t>
  </si>
  <si>
    <t>Emblem of Severed Fate</t>
  </si>
  <si>
    <t>E ticks with NO</t>
  </si>
  <si>
    <t>E ticks without NO</t>
  </si>
  <si>
    <t>N2</t>
  </si>
  <si>
    <t>3C</t>
  </si>
  <si>
    <t>Q pre eula</t>
  </si>
  <si>
    <t>Q pre eula lisa</t>
  </si>
  <si>
    <t>sc post lisa</t>
  </si>
  <si>
    <t>sc post eula</t>
  </si>
  <si>
    <t>Weapon</t>
  </si>
  <si>
    <t>Artifacts</t>
  </si>
  <si>
    <t>Fluid substat</t>
  </si>
  <si>
    <t>Level</t>
  </si>
  <si>
    <t>R1 Spine</t>
  </si>
  <si>
    <t>R5 Catch</t>
  </si>
  <si>
    <t>R5 TTDS</t>
  </si>
  <si>
    <t>R1 Fav</t>
  </si>
  <si>
    <t>4 NO</t>
  </si>
  <si>
    <t>4 PF</t>
  </si>
  <si>
    <t>4 EoSF</t>
  </si>
  <si>
    <t>Talent</t>
  </si>
  <si>
    <t>9/9/9</t>
  </si>
  <si>
    <t>Notes</t>
  </si>
  <si>
    <t>13 stacks</t>
  </si>
  <si>
    <t>60 Resolve</t>
  </si>
  <si>
    <t>N/A</t>
  </si>
  <si>
    <t>R1 Stringless</t>
  </si>
  <si>
    <t>R1 Deathmatch</t>
  </si>
  <si>
    <t>4 ToM</t>
  </si>
  <si>
    <t>Constellation</t>
  </si>
  <si>
    <t>C0</t>
  </si>
  <si>
    <t>C6</t>
  </si>
  <si>
    <t>4EoSF</t>
  </si>
  <si>
    <t>8 discharges</t>
  </si>
  <si>
    <t>E ticks</t>
  </si>
  <si>
    <t>C6 ticks</t>
  </si>
  <si>
    <t>A2</t>
  </si>
  <si>
    <t>Noblesse</t>
  </si>
  <si>
    <t>Q post eula</t>
  </si>
  <si>
    <t>R5 Sea-Lord</t>
  </si>
  <si>
    <t>12 stacks</t>
  </si>
  <si>
    <t>Eula N1 E N1 Q N1 E N4 D N2 Hold E N1</t>
  </si>
  <si>
    <t>N1</t>
  </si>
  <si>
    <t>4ToM</t>
  </si>
  <si>
    <t>Blizzard Strayer</t>
  </si>
  <si>
    <t>2 BS 2 NO</t>
  </si>
  <si>
    <t>Zhongli</t>
  </si>
  <si>
    <t>Raiden E &gt; Zhongli E &gt; Rosaria E Q &gt; Eula E Q N4 Hold E N4 &gt; Raiden 2N4C N2C (Repeat)</t>
  </si>
  <si>
    <t>Raiden E &gt; Rosaria Q E &gt; Diona Q Hold E &gt; Eula E Q N4 Hold E N4 &gt; Raiden Q 2N4C N2C  (Repeat)</t>
  </si>
  <si>
    <t>Fischl E &gt; Diona Hold E Q &gt; Eula E N2 &gt; Beidou E Q &gt; Eula N1 E N1 Q N1 E N4D N2 Hold E N4  (Repeat)</t>
  </si>
  <si>
    <t xml:space="preserve">Raiden E &gt; Beidou E Q &gt; Diona Hold E Q &gt; Eula N1 E N1 Q N1 E N4 D N2 Hold E N1 &gt; Raiden Q 2N4C N2C  (Repeat) </t>
  </si>
  <si>
    <t>Raiden E &gt; Diona Hold E Q &gt; Lisa Q &gt; Eula E Q N4 Hold E N4 &gt; Raiden Q 2N4C N2C  (Repeat)</t>
  </si>
  <si>
    <t>Fischl E &gt; Rosaria Q E &gt; Eula E &gt; Diona Hold E Q &gt; Eula E Q N4 Hold E N4 (Repeat (with Fischl Q))</t>
  </si>
  <si>
    <t>Q pre</t>
  </si>
  <si>
    <t>sc post Beidou</t>
  </si>
  <si>
    <t xml:space="preserve"> sc post beidou </t>
  </si>
  <si>
    <t>9 discharges</t>
  </si>
  <si>
    <t>Eula Team Olympics</t>
  </si>
  <si>
    <t>Team</t>
  </si>
  <si>
    <t>Time</t>
  </si>
  <si>
    <t>Eula Raiden Lisa Diona</t>
  </si>
  <si>
    <t>Eula Fischl Rosaria Diona</t>
  </si>
  <si>
    <t>Eula Raiden Beidou Diona</t>
  </si>
  <si>
    <t>Eula Fischl Beidou Diona</t>
  </si>
  <si>
    <t>Eula Raiden Rosaria Diona</t>
  </si>
  <si>
    <t>*Eula team calcs by Sitri#9504</t>
  </si>
  <si>
    <t>DPR-2</t>
  </si>
  <si>
    <t>DPR-1</t>
  </si>
  <si>
    <t>DPR-3</t>
  </si>
  <si>
    <t>DPS-1</t>
  </si>
  <si>
    <t>DPS-2</t>
  </si>
  <si>
    <t>DPS-3</t>
  </si>
  <si>
    <t>damage @ 1</t>
  </si>
  <si>
    <t>damage @3</t>
  </si>
  <si>
    <t>damage @3 check (1/0)</t>
  </si>
  <si>
    <t>Rotation DMG @ 1</t>
  </si>
  <si>
    <t>dmg @ 1</t>
  </si>
  <si>
    <t>Rotation DMG @ 3</t>
  </si>
  <si>
    <t>Total -2</t>
  </si>
  <si>
    <t>Total -1</t>
  </si>
  <si>
    <t>Total -3</t>
  </si>
  <si>
    <t>Comp 1-2E</t>
  </si>
  <si>
    <t>Comp 1-1E</t>
  </si>
  <si>
    <t>Comp 1-3E</t>
  </si>
  <si>
    <t>Damage% - 1E</t>
  </si>
  <si>
    <t>Damage% - 2E</t>
  </si>
  <si>
    <t>Damage% - 3E</t>
  </si>
  <si>
    <t>Comp 2-1E</t>
  </si>
  <si>
    <t>Comp 2-2E</t>
  </si>
  <si>
    <t>Comp 2-3E</t>
  </si>
  <si>
    <t>Comp 3-1E</t>
  </si>
  <si>
    <t>Comp 3-2E</t>
  </si>
  <si>
    <t>Comp 3-3E</t>
  </si>
  <si>
    <t>Comp 4-1E</t>
  </si>
  <si>
    <t>Comp 4-2E</t>
  </si>
  <si>
    <t>Comp 4-3E</t>
  </si>
  <si>
    <t>Comp 5-1E</t>
  </si>
  <si>
    <t>Comp 5-2E</t>
  </si>
  <si>
    <t>Comp 5-3E</t>
  </si>
  <si>
    <t>Comp 6-1E</t>
  </si>
  <si>
    <t>Comp 6-2E</t>
  </si>
  <si>
    <t>Comp 6-3E</t>
  </si>
  <si>
    <t>Qiqi</t>
  </si>
  <si>
    <t>Raiden E &gt; Qiqi E Q &gt; Rosaria Q E &gt; Eula E Q N4 Hold E N4 &gt; Raiden 2N4C N2C (Repeat)</t>
  </si>
  <si>
    <t>Comp 7-1E</t>
  </si>
  <si>
    <t>Comp 7-2E</t>
  </si>
  <si>
    <t>Comp 7-3E</t>
  </si>
  <si>
    <t>*All assumptions listed, substat distribution according to KQM standard. AoE modifier included with consideration for moveset multihit practicality.</t>
  </si>
  <si>
    <t xml:space="preserve"> </t>
  </si>
  <si>
    <t>4PF</t>
  </si>
  <si>
    <t>4NO</t>
  </si>
  <si>
    <t>Passive HP</t>
  </si>
  <si>
    <t>ToM</t>
  </si>
  <si>
    <t>Eula Raiden Rosaria Zhongli</t>
  </si>
  <si>
    <t>Clam</t>
  </si>
  <si>
    <t>E tick pre eula</t>
  </si>
  <si>
    <t>E tick post eula</t>
  </si>
  <si>
    <t>Repetition</t>
  </si>
  <si>
    <t>Clam damage</t>
  </si>
  <si>
    <t>Resistance</t>
  </si>
  <si>
    <t>aoe 3 check (1/0)</t>
  </si>
  <si>
    <t>dmg @ 3</t>
  </si>
  <si>
    <t>Eula Raiden Rosaria Qiqi</t>
  </si>
  <si>
    <t>4OHC</t>
  </si>
  <si>
    <t xml:space="preserve">idek </t>
  </si>
  <si>
    <t>Qiqi C5 Crown</t>
  </si>
  <si>
    <t>Eula Raiden Rosaria Qiqi C5 T13</t>
  </si>
  <si>
    <t>Comp 8-1E</t>
  </si>
  <si>
    <t>Comp 8-2E</t>
  </si>
  <si>
    <t>Comp 8-3E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</si>
</sst>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0.000000000"/>
    <numFmt numFmtId="166" formatCode="0.0%"/>
    <numFmt numFmtId="167" formatCode="_-* #,##0_-;\-* #,##0_-;_-* &quot;-&quot;??_-;_-@_-"/>
    <numFmt numFmtId="168" formatCode="0.0"/>
    <numFmt numFmtId="169" formatCode="0.000000000000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09693"/>
        <bgColor indexed="64"/>
      </patternFill>
    </fill>
    <fill>
      <patternFill patternType="solid">
        <fgColor rgb="FFFFCF9B"/>
        <bgColor indexed="64"/>
      </patternFill>
    </fill>
    <fill>
      <patternFill patternType="solid">
        <fgColor rgb="FFFFFABB"/>
        <bgColor indexed="64"/>
      </patternFill>
    </fill>
    <fill>
      <patternFill patternType="solid">
        <fgColor rgb="FFC4DE99"/>
        <bgColor indexed="64"/>
      </patternFill>
    </fill>
    <fill>
      <patternFill patternType="solid">
        <fgColor rgb="FFAAE4B0"/>
        <bgColor indexed="64"/>
      </patternFill>
    </fill>
    <fill>
      <patternFill patternType="solid">
        <fgColor rgb="FF9BDECC"/>
        <bgColor indexed="64"/>
      </patternFill>
    </fill>
    <fill>
      <patternFill patternType="solid">
        <fgColor rgb="FF99D9E7"/>
        <bgColor indexed="64"/>
      </patternFill>
    </fill>
    <fill>
      <patternFill patternType="solid">
        <fgColor rgb="FF99C9E7"/>
        <bgColor indexed="64"/>
      </patternFill>
    </fill>
    <fill>
      <patternFill patternType="solid">
        <fgColor rgb="FF94BAF2"/>
        <bgColor indexed="64"/>
      </patternFill>
    </fill>
    <fill>
      <patternFill patternType="solid">
        <fgColor rgb="FFBFBCFF"/>
        <bgColor indexed="64"/>
      </patternFill>
    </fill>
    <fill>
      <patternFill patternType="solid">
        <fgColor rgb="FF6AA0CF"/>
        <bgColor indexed="64"/>
      </patternFill>
    </fill>
    <fill>
      <patternFill patternType="solid">
        <fgColor rgb="FF4687BF"/>
        <bgColor indexed="64"/>
      </patternFill>
    </fill>
    <fill>
      <patternFill patternType="solid">
        <fgColor rgb="FFC3A9E0"/>
        <bgColor indexed="64"/>
      </patternFill>
    </fill>
    <fill>
      <patternFill patternType="solid">
        <fgColor rgb="FFA993D1"/>
        <bgColor indexed="64"/>
      </patternFill>
    </fill>
    <fill>
      <patternFill patternType="solid">
        <fgColor rgb="FF8E7FC9"/>
        <bgColor indexed="64"/>
      </patternFill>
    </fill>
    <fill>
      <patternFill patternType="solid">
        <fgColor rgb="FF71668A"/>
        <bgColor indexed="64"/>
      </patternFill>
    </fill>
    <fill>
      <patternFill patternType="solid">
        <fgColor rgb="FFE9A69E"/>
        <bgColor indexed="64"/>
      </patternFill>
    </fill>
    <fill>
      <patternFill patternType="solid">
        <fgColor rgb="FFFFBFFF"/>
        <bgColor indexed="64"/>
      </patternFill>
    </fill>
    <fill>
      <patternFill patternType="solid">
        <fgColor rgb="FFFFCFE8"/>
        <bgColor indexed="64"/>
      </patternFill>
    </fill>
    <fill>
      <patternFill patternType="solid">
        <fgColor rgb="FFF7A69E"/>
        <bgColor indexed="64"/>
      </patternFill>
    </fill>
    <fill>
      <patternFill patternType="solid">
        <fgColor rgb="FFFFB7B3"/>
        <bgColor indexed="64"/>
      </patternFill>
    </fill>
    <fill>
      <patternFill patternType="solid">
        <fgColor rgb="FFFFB3B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3CFF7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1" xfId="0" applyFill="1" applyBorder="1"/>
    <xf numFmtId="2" fontId="0" fillId="3" borderId="0" xfId="0" applyNumberFormat="1" applyFill="1"/>
    <xf numFmtId="0" fontId="2" fillId="3" borderId="0" xfId="0" applyFont="1" applyFill="1"/>
    <xf numFmtId="0" fontId="3" fillId="3" borderId="0" xfId="0" applyFont="1" applyFill="1"/>
    <xf numFmtId="166" fontId="0" fillId="0" borderId="0" xfId="2" applyNumberFormat="1" applyFont="1"/>
    <xf numFmtId="0" fontId="0" fillId="0" borderId="0" xfId="2" applyNumberFormat="1" applyFont="1"/>
    <xf numFmtId="166" fontId="0" fillId="2" borderId="0" xfId="2" applyNumberFormat="1" applyFont="1" applyFill="1"/>
    <xf numFmtId="167" fontId="0" fillId="0" borderId="0" xfId="1" applyNumberFormat="1" applyFont="1" applyFill="1"/>
    <xf numFmtId="0" fontId="0" fillId="3" borderId="0" xfId="0" applyFill="1" applyBorder="1"/>
    <xf numFmtId="0" fontId="0" fillId="0" borderId="0" xfId="0" applyFill="1"/>
    <xf numFmtId="9" fontId="0" fillId="0" borderId="0" xfId="0" applyNumberFormat="1"/>
    <xf numFmtId="0" fontId="0" fillId="0" borderId="0" xfId="0" applyNumberFormat="1"/>
    <xf numFmtId="0" fontId="0" fillId="13" borderId="3" xfId="0" applyFill="1" applyBorder="1"/>
    <xf numFmtId="0" fontId="0" fillId="2" borderId="4" xfId="0" applyFill="1" applyBorder="1"/>
    <xf numFmtId="0" fontId="0" fillId="13" borderId="4" xfId="0" applyFill="1" applyBorder="1"/>
    <xf numFmtId="0" fontId="0" fillId="12" borderId="4" xfId="0" applyFill="1" applyBorder="1"/>
    <xf numFmtId="0" fontId="0" fillId="10" borderId="4" xfId="0" applyFill="1" applyBorder="1"/>
    <xf numFmtId="9" fontId="0" fillId="2" borderId="0" xfId="2" applyFont="1" applyFill="1"/>
    <xf numFmtId="0" fontId="0" fillId="0" borderId="4" xfId="0" applyFill="1" applyBorder="1"/>
    <xf numFmtId="0" fontId="0" fillId="5" borderId="2" xfId="0" applyFill="1" applyBorder="1"/>
    <xf numFmtId="0" fontId="0" fillId="15" borderId="2" xfId="0" applyFill="1" applyBorder="1"/>
    <xf numFmtId="0" fontId="0" fillId="0" borderId="2" xfId="0" applyFill="1" applyBorder="1"/>
    <xf numFmtId="9" fontId="0" fillId="5" borderId="2" xfId="2" applyFont="1" applyFill="1" applyBorder="1"/>
    <xf numFmtId="0" fontId="0" fillId="8" borderId="2" xfId="0" applyFill="1" applyBorder="1"/>
    <xf numFmtId="0" fontId="0" fillId="16" borderId="2" xfId="0" applyFill="1" applyBorder="1"/>
    <xf numFmtId="0" fontId="4" fillId="16" borderId="2" xfId="0" applyFont="1" applyFill="1" applyBorder="1"/>
    <xf numFmtId="9" fontId="0" fillId="0" borderId="2" xfId="0" applyNumberFormat="1" applyFill="1" applyBorder="1"/>
    <xf numFmtId="9" fontId="0" fillId="0" borderId="2" xfId="2" applyFont="1" applyFill="1" applyBorder="1"/>
    <xf numFmtId="0" fontId="0" fillId="5" borderId="6" xfId="0" applyFill="1" applyBorder="1"/>
    <xf numFmtId="0" fontId="0" fillId="9" borderId="2" xfId="0" applyFill="1" applyBorder="1"/>
    <xf numFmtId="166" fontId="0" fillId="6" borderId="2" xfId="0" applyNumberFormat="1" applyFill="1" applyBorder="1"/>
    <xf numFmtId="1" fontId="0" fillId="6" borderId="2" xfId="0" applyNumberFormat="1" applyFill="1" applyBorder="1"/>
    <xf numFmtId="1" fontId="0" fillId="5" borderId="2" xfId="0" applyNumberFormat="1" applyFill="1" applyBorder="1"/>
    <xf numFmtId="1" fontId="2" fillId="5" borderId="2" xfId="0" applyNumberFormat="1" applyFont="1" applyFill="1" applyBorder="1"/>
    <xf numFmtId="166" fontId="0" fillId="5" borderId="2" xfId="2" applyNumberFormat="1" applyFont="1" applyFill="1" applyBorder="1"/>
    <xf numFmtId="166" fontId="2" fillId="5" borderId="2" xfId="2" applyNumberFormat="1" applyFont="1" applyFill="1" applyBorder="1"/>
    <xf numFmtId="9" fontId="0" fillId="0" borderId="0" xfId="0" applyNumberFormat="1" applyFill="1"/>
    <xf numFmtId="9" fontId="0" fillId="0" borderId="0" xfId="2" applyFont="1" applyFill="1"/>
    <xf numFmtId="0" fontId="0" fillId="5" borderId="2" xfId="2" applyNumberFormat="1" applyFont="1" applyFill="1" applyBorder="1"/>
    <xf numFmtId="0" fontId="0" fillId="5" borderId="5" xfId="0" applyFill="1" applyBorder="1"/>
    <xf numFmtId="1" fontId="0" fillId="5" borderId="2" xfId="2" applyNumberFormat="1" applyFont="1" applyFill="1" applyBorder="1"/>
    <xf numFmtId="9" fontId="0" fillId="5" borderId="2" xfId="2" applyNumberFormat="1" applyFont="1" applyFill="1" applyBorder="1"/>
    <xf numFmtId="0" fontId="0" fillId="0" borderId="0" xfId="0" applyBorder="1"/>
    <xf numFmtId="0" fontId="0" fillId="2" borderId="0" xfId="0" applyFill="1" applyBorder="1"/>
    <xf numFmtId="0" fontId="2" fillId="2" borderId="0" xfId="0" applyFont="1" applyFill="1"/>
    <xf numFmtId="0" fontId="3" fillId="3" borderId="0" xfId="0" applyFont="1" applyFill="1" applyBorder="1"/>
    <xf numFmtId="0" fontId="0" fillId="16" borderId="6" xfId="0" applyFill="1" applyBorder="1"/>
    <xf numFmtId="0" fontId="4" fillId="16" borderId="3" xfId="0" applyFont="1" applyFill="1" applyBorder="1"/>
    <xf numFmtId="0" fontId="0" fillId="0" borderId="2" xfId="0" applyBorder="1"/>
    <xf numFmtId="0" fontId="0" fillId="17" borderId="0" xfId="0" applyFill="1"/>
    <xf numFmtId="0" fontId="0" fillId="3" borderId="0" xfId="0" applyNumberFormat="1" applyFill="1" applyBorder="1"/>
    <xf numFmtId="0" fontId="0" fillId="3" borderId="0" xfId="0" applyNumberFormat="1" applyFill="1"/>
    <xf numFmtId="0" fontId="0" fillId="3" borderId="0" xfId="0" quotePrefix="1" applyNumberFormat="1" applyFill="1" applyBorder="1"/>
    <xf numFmtId="0" fontId="0" fillId="3" borderId="0" xfId="0" quotePrefix="1" applyNumberFormat="1" applyFill="1"/>
    <xf numFmtId="0" fontId="0" fillId="14" borderId="2" xfId="0" applyFill="1" applyBorder="1"/>
    <xf numFmtId="0" fontId="0" fillId="4" borderId="2" xfId="0" applyFill="1" applyBorder="1"/>
    <xf numFmtId="9" fontId="0" fillId="0" borderId="2" xfId="0" applyNumberFormat="1" applyBorder="1"/>
    <xf numFmtId="9" fontId="0" fillId="0" borderId="2" xfId="2" applyFont="1" applyBorder="1"/>
    <xf numFmtId="9" fontId="0" fillId="6" borderId="2" xfId="2" applyFont="1" applyFill="1" applyBorder="1"/>
    <xf numFmtId="0" fontId="0" fillId="0" borderId="6" xfId="0" applyFill="1" applyBorder="1"/>
    <xf numFmtId="0" fontId="0" fillId="0" borderId="2" xfId="2" applyNumberFormat="1" applyFont="1" applyBorder="1"/>
    <xf numFmtId="166" fontId="0" fillId="0" borderId="2" xfId="0" applyNumberFormat="1" applyBorder="1"/>
    <xf numFmtId="0" fontId="4" fillId="11" borderId="2" xfId="0" applyFont="1" applyFill="1" applyBorder="1"/>
    <xf numFmtId="0" fontId="4" fillId="7" borderId="2" xfId="0" applyFont="1" applyFill="1" applyBorder="1"/>
    <xf numFmtId="0" fontId="0" fillId="18" borderId="2" xfId="0" applyFill="1" applyBorder="1"/>
    <xf numFmtId="0" fontId="0" fillId="18" borderId="6" xfId="0" applyFill="1" applyBorder="1"/>
    <xf numFmtId="0" fontId="0" fillId="4" borderId="2" xfId="0" applyFont="1" applyFill="1" applyBorder="1"/>
    <xf numFmtId="1" fontId="0" fillId="9" borderId="2" xfId="0" applyNumberFormat="1" applyFill="1" applyBorder="1"/>
    <xf numFmtId="1" fontId="0" fillId="0" borderId="2" xfId="0" applyNumberFormat="1" applyFill="1" applyBorder="1"/>
    <xf numFmtId="0" fontId="4" fillId="16" borderId="1" xfId="0" applyFont="1" applyFill="1" applyBorder="1"/>
    <xf numFmtId="0" fontId="0" fillId="0" borderId="0" xfId="0" applyNumberFormat="1" applyFill="1" applyBorder="1"/>
    <xf numFmtId="0" fontId="0" fillId="5" borderId="3" xfId="0" applyFill="1" applyBorder="1"/>
    <xf numFmtId="166" fontId="2" fillId="5" borderId="0" xfId="2" applyNumberFormat="1" applyFont="1" applyFill="1" applyBorder="1"/>
    <xf numFmtId="0" fontId="4" fillId="2" borderId="0" xfId="0" applyFont="1" applyFill="1"/>
    <xf numFmtId="0" fontId="7" fillId="2" borderId="0" xfId="0" applyFont="1" applyFill="1"/>
    <xf numFmtId="0" fontId="4" fillId="16" borderId="0" xfId="0" applyFont="1" applyFill="1" applyBorder="1"/>
    <xf numFmtId="0" fontId="4" fillId="2" borderId="0" xfId="0" applyFont="1" applyFill="1" applyBorder="1"/>
    <xf numFmtId="9" fontId="0" fillId="5" borderId="2" xfId="0" applyNumberFormat="1" applyFill="1" applyBorder="1"/>
    <xf numFmtId="10" fontId="0" fillId="5" borderId="6" xfId="2" applyNumberFormat="1" applyFont="1" applyFill="1" applyBorder="1"/>
    <xf numFmtId="0" fontId="5" fillId="16" borderId="2" xfId="0" applyFont="1" applyFill="1" applyBorder="1" applyAlignment="1"/>
    <xf numFmtId="0" fontId="0" fillId="5" borderId="2" xfId="0" applyFill="1" applyBorder="1" applyAlignment="1"/>
    <xf numFmtId="0" fontId="0" fillId="19" borderId="2" xfId="0" applyFill="1" applyBorder="1"/>
    <xf numFmtId="166" fontId="0" fillId="5" borderId="2" xfId="0" applyNumberFormat="1" applyFill="1" applyBorder="1"/>
    <xf numFmtId="0" fontId="0" fillId="20" borderId="4" xfId="0" applyFill="1" applyBorder="1"/>
    <xf numFmtId="0" fontId="0" fillId="21" borderId="4" xfId="0" applyFill="1" applyBorder="1"/>
    <xf numFmtId="0" fontId="0" fillId="22" borderId="4" xfId="0" applyFill="1" applyBorder="1"/>
    <xf numFmtId="0" fontId="0" fillId="23" borderId="4" xfId="0" applyFill="1" applyBorder="1"/>
    <xf numFmtId="0" fontId="0" fillId="24" borderId="4" xfId="0" applyFill="1" applyBorder="1"/>
    <xf numFmtId="0" fontId="0" fillId="25" borderId="4" xfId="0" applyFill="1" applyBorder="1"/>
    <xf numFmtId="0" fontId="0" fillId="26" borderId="4" xfId="0" applyFill="1" applyBorder="1"/>
    <xf numFmtId="0" fontId="0" fillId="27" borderId="4" xfId="0" applyFill="1" applyBorder="1"/>
    <xf numFmtId="0" fontId="0" fillId="28" borderId="4" xfId="0" applyFill="1" applyBorder="1"/>
    <xf numFmtId="0" fontId="0" fillId="29" borderId="4" xfId="0" applyFill="1" applyBorder="1"/>
    <xf numFmtId="0" fontId="0" fillId="30" borderId="4" xfId="0" applyFill="1" applyBorder="1"/>
    <xf numFmtId="0" fontId="0" fillId="31" borderId="4" xfId="0" applyFill="1" applyBorder="1"/>
    <xf numFmtId="0" fontId="0" fillId="32" borderId="4" xfId="0" applyFill="1" applyBorder="1"/>
    <xf numFmtId="0" fontId="0" fillId="33" borderId="4" xfId="0" applyFill="1" applyBorder="1"/>
    <xf numFmtId="0" fontId="0" fillId="34" borderId="4" xfId="0" applyFill="1" applyBorder="1"/>
    <xf numFmtId="0" fontId="0" fillId="35" borderId="4" xfId="0" applyFill="1" applyBorder="1"/>
    <xf numFmtId="0" fontId="0" fillId="36" borderId="4" xfId="0" applyFill="1" applyBorder="1"/>
    <xf numFmtId="0" fontId="0" fillId="37" borderId="4" xfId="0" applyFill="1" applyBorder="1"/>
    <xf numFmtId="0" fontId="0" fillId="38" borderId="4" xfId="0" applyFill="1" applyBorder="1"/>
    <xf numFmtId="0" fontId="0" fillId="37" borderId="5" xfId="0" applyFill="1" applyBorder="1"/>
    <xf numFmtId="0" fontId="0" fillId="39" borderId="4" xfId="0" applyFill="1" applyBorder="1"/>
    <xf numFmtId="0" fontId="0" fillId="40" borderId="4" xfId="0" applyFill="1" applyBorder="1"/>
    <xf numFmtId="0" fontId="0" fillId="41" borderId="4" xfId="0" applyFill="1" applyBorder="1"/>
    <xf numFmtId="0" fontId="0" fillId="17" borderId="2" xfId="0" applyFill="1" applyBorder="1"/>
    <xf numFmtId="0" fontId="0" fillId="3" borderId="2" xfId="0" applyFill="1" applyBorder="1"/>
    <xf numFmtId="165" fontId="4" fillId="42" borderId="2" xfId="0" applyNumberFormat="1" applyFont="1" applyFill="1" applyBorder="1"/>
    <xf numFmtId="0" fontId="4" fillId="42" borderId="2" xfId="0" applyFont="1" applyFill="1" applyBorder="1"/>
    <xf numFmtId="0" fontId="4" fillId="43" borderId="2" xfId="0" applyFont="1" applyFill="1" applyBorder="1"/>
    <xf numFmtId="10" fontId="0" fillId="0" borderId="2" xfId="2" applyNumberFormat="1" applyFont="1" applyFill="1" applyBorder="1"/>
    <xf numFmtId="10" fontId="4" fillId="44" borderId="2" xfId="2" applyNumberFormat="1" applyFont="1" applyFill="1" applyBorder="1"/>
    <xf numFmtId="10" fontId="0" fillId="2" borderId="0" xfId="2" applyNumberFormat="1" applyFont="1" applyFill="1"/>
    <xf numFmtId="10" fontId="0" fillId="0" borderId="0" xfId="2" applyNumberFormat="1" applyFont="1" applyFill="1"/>
    <xf numFmtId="165" fontId="2" fillId="0" borderId="2" xfId="0" applyNumberFormat="1" applyFont="1" applyFill="1" applyBorder="1"/>
    <xf numFmtId="0" fontId="2" fillId="0" borderId="2" xfId="0" applyFont="1" applyFill="1" applyBorder="1"/>
    <xf numFmtId="0" fontId="2" fillId="45" borderId="2" xfId="0" applyFont="1" applyFill="1" applyBorder="1"/>
    <xf numFmtId="10" fontId="2" fillId="14" borderId="2" xfId="2" applyNumberFormat="1" applyFont="1" applyFill="1" applyBorder="1"/>
    <xf numFmtId="0" fontId="0" fillId="46" borderId="2" xfId="0" applyFill="1" applyBorder="1"/>
    <xf numFmtId="0" fontId="4" fillId="2" borderId="2" xfId="0" applyFont="1" applyFill="1" applyBorder="1"/>
    <xf numFmtId="0" fontId="0" fillId="47" borderId="2" xfId="0" applyFill="1" applyBorder="1"/>
    <xf numFmtId="0" fontId="9" fillId="0" borderId="0" xfId="0" applyFont="1"/>
    <xf numFmtId="0" fontId="2" fillId="14" borderId="2" xfId="2" applyNumberFormat="1" applyFont="1" applyFill="1" applyBorder="1"/>
    <xf numFmtId="0" fontId="2" fillId="0" borderId="0" xfId="0" applyFont="1" applyFill="1" applyBorder="1"/>
    <xf numFmtId="0" fontId="0" fillId="46" borderId="7" xfId="0" applyFont="1" applyFill="1" applyBorder="1"/>
    <xf numFmtId="0" fontId="0" fillId="46" borderId="2" xfId="0" applyFont="1" applyFill="1" applyBorder="1"/>
    <xf numFmtId="0" fontId="0" fillId="0" borderId="0" xfId="0" applyFont="1" applyFill="1"/>
    <xf numFmtId="0" fontId="0" fillId="0" borderId="2" xfId="0" applyFont="1" applyFill="1" applyBorder="1"/>
    <xf numFmtId="0" fontId="0" fillId="0" borderId="0" xfId="0" applyFont="1"/>
    <xf numFmtId="0" fontId="7" fillId="2" borderId="2" xfId="0" applyFont="1" applyFill="1" applyBorder="1"/>
    <xf numFmtId="10" fontId="8" fillId="0" borderId="2" xfId="2" applyNumberFormat="1" applyFont="1" applyFill="1" applyBorder="1"/>
    <xf numFmtId="0" fontId="10" fillId="0" borderId="0" xfId="0" applyFont="1"/>
    <xf numFmtId="168" fontId="10" fillId="0" borderId="0" xfId="0" applyNumberFormat="1" applyFont="1"/>
    <xf numFmtId="0" fontId="11" fillId="0" borderId="0" xfId="0" applyFont="1"/>
    <xf numFmtId="9" fontId="10" fillId="0" borderId="0" xfId="2" applyFont="1"/>
    <xf numFmtId="9" fontId="10" fillId="0" borderId="0" xfId="2" applyNumberFormat="1" applyFont="1"/>
    <xf numFmtId="9" fontId="10" fillId="0" borderId="0" xfId="0" applyNumberFormat="1" applyFont="1"/>
    <xf numFmtId="1" fontId="0" fillId="0" borderId="0" xfId="0" applyNumberFormat="1" applyFill="1"/>
    <xf numFmtId="1" fontId="0" fillId="0" borderId="0" xfId="0" applyNumberFormat="1"/>
    <xf numFmtId="9" fontId="0" fillId="0" borderId="6" xfId="0" applyNumberFormat="1" applyFill="1" applyBorder="1"/>
    <xf numFmtId="168" fontId="11" fillId="0" borderId="0" xfId="0" applyNumberFormat="1" applyFont="1"/>
    <xf numFmtId="49" fontId="10" fillId="0" borderId="0" xfId="0" applyNumberFormat="1" applyFont="1"/>
    <xf numFmtId="0" fontId="14" fillId="0" borderId="2" xfId="0" applyFont="1" applyBorder="1"/>
    <xf numFmtId="168" fontId="14" fillId="0" borderId="2" xfId="0" applyNumberFormat="1" applyFont="1" applyBorder="1"/>
    <xf numFmtId="9" fontId="14" fillId="0" borderId="2" xfId="2" applyFont="1" applyBorder="1"/>
    <xf numFmtId="0" fontId="16" fillId="0" borderId="0" xfId="0" applyFont="1"/>
    <xf numFmtId="0" fontId="13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0" fillId="4" borderId="4" xfId="0" applyFont="1" applyFill="1" applyBorder="1"/>
    <xf numFmtId="169" fontId="0" fillId="0" borderId="0" xfId="0" applyNumberFormat="1"/>
    <xf numFmtId="20" fontId="0" fillId="0" borderId="0" xfId="0" applyNumberFormat="1"/>
    <xf numFmtId="46" fontId="0" fillId="0" borderId="0" xfId="0" applyNumberFormat="1"/>
    <xf numFmtId="0" fontId="0" fillId="5" borderId="0" xfId="0" applyFill="1" applyBorder="1"/>
    <xf numFmtId="0" fontId="0" fillId="5" borderId="0" xfId="0" applyFill="1"/>
    <xf numFmtId="0" fontId="0" fillId="0" borderId="0" xfId="0" applyFill="1" applyBorder="1"/>
    <xf numFmtId="0" fontId="10" fillId="0" borderId="0" xfId="0" applyFont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/>
    </xf>
    <xf numFmtId="0" fontId="14" fillId="0" borderId="0" xfId="0" applyFont="1" applyBorder="1"/>
    <xf numFmtId="168" fontId="14" fillId="0" borderId="0" xfId="0" applyNumberFormat="1" applyFont="1" applyBorder="1"/>
    <xf numFmtId="0" fontId="10" fillId="0" borderId="0" xfId="0" applyFont="1" applyAlignment="1">
      <alignment horizontal="center"/>
    </xf>
    <xf numFmtId="0" fontId="15" fillId="0" borderId="0" xfId="0" applyFont="1" applyAlignment="1">
      <alignment horizontal="center" wrapText="1"/>
    </xf>
    <xf numFmtId="0" fontId="13" fillId="0" borderId="2" xfId="0" applyFont="1" applyBorder="1" applyAlignment="1">
      <alignment horizontal="center"/>
    </xf>
    <xf numFmtId="0" fontId="6" fillId="2" borderId="0" xfId="0" applyFont="1" applyFill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B7B3"/>
      <color rgb="FFFFB3B0"/>
      <color rgb="FFE3CFF7"/>
      <color rgb="FFF7A69E"/>
      <color rgb="FFE9A69E"/>
      <color rgb="FFFFBFFF"/>
      <color rgb="FFFFCFE8"/>
      <color rgb="FFE09693"/>
      <color rgb="FFC4E4A8"/>
      <color rgb="FFC4DE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BEA4-65AB-4940-9345-38C03CB32C16}">
  <sheetPr codeName="Sheet1">
    <tabColor theme="1" tint="0.499984740745262"/>
  </sheetPr>
  <dimension ref="A1:AD149"/>
  <sheetViews>
    <sheetView tabSelected="1" zoomScale="85" zoomScaleNormal="85" workbookViewId="0">
      <selection activeCell="E13" sqref="E13"/>
    </sheetView>
  </sheetViews>
  <sheetFormatPr defaultRowHeight="15.75" x14ac:dyDescent="0.25"/>
  <cols>
    <col min="1" max="1" width="16.140625" style="135" customWidth="1"/>
    <col min="2" max="2" width="11.7109375" customWidth="1"/>
    <col min="3" max="3" width="13.5703125" customWidth="1"/>
    <col min="4" max="4" width="15.140625" customWidth="1"/>
    <col min="5" max="5" width="12.42578125" customWidth="1"/>
    <col min="6" max="6" width="11.140625" customWidth="1"/>
    <col min="7" max="7" width="14.140625" customWidth="1"/>
    <col min="8" max="8" width="12.42578125" customWidth="1"/>
    <col min="16" max="16" width="37.28515625" customWidth="1"/>
    <col min="17" max="17" width="16" customWidth="1"/>
    <col min="18" max="18" width="16.140625" customWidth="1"/>
    <col min="19" max="19" width="16" customWidth="1"/>
    <col min="20" max="20" width="12.140625" customWidth="1"/>
    <col min="21" max="21" width="14.85546875" customWidth="1"/>
    <col min="22" max="22" width="17" customWidth="1"/>
    <col min="23" max="23" width="16.5703125" customWidth="1"/>
    <col min="24" max="24" width="13.28515625" customWidth="1"/>
  </cols>
  <sheetData>
    <row r="1" spans="1:30" ht="16.5" x14ac:dyDescent="0.25">
      <c r="B1" s="137" t="s">
        <v>432</v>
      </c>
      <c r="C1" s="137" t="s">
        <v>433</v>
      </c>
      <c r="D1" s="137" t="s">
        <v>434</v>
      </c>
      <c r="E1" s="137" t="s">
        <v>435</v>
      </c>
      <c r="F1" s="137" t="s">
        <v>537</v>
      </c>
      <c r="G1" s="137" t="s">
        <v>536</v>
      </c>
      <c r="H1" s="137" t="s">
        <v>538</v>
      </c>
      <c r="I1" s="135" t="s">
        <v>438</v>
      </c>
      <c r="J1" s="137"/>
      <c r="K1" s="135"/>
      <c r="L1" s="135"/>
      <c r="M1" s="135"/>
      <c r="N1" s="135"/>
      <c r="O1" s="135"/>
      <c r="P1" s="149" t="s">
        <v>523</v>
      </c>
      <c r="Q1" s="135"/>
      <c r="R1" s="135"/>
      <c r="S1" s="135"/>
      <c r="T1" s="135"/>
      <c r="U1" s="135"/>
      <c r="V1" s="135"/>
      <c r="W1" s="135"/>
      <c r="AC1" s="135" t="s">
        <v>441</v>
      </c>
      <c r="AD1" s="135"/>
    </row>
    <row r="2" spans="1:30" ht="15.6" customHeight="1" x14ac:dyDescent="0.25">
      <c r="A2" s="137" t="s">
        <v>540</v>
      </c>
      <c r="B2" s="136">
        <f>'1-Eula'!F100</f>
        <v>445685.78393192461</v>
      </c>
      <c r="C2" s="136">
        <f>'1-Raiden'!F100</f>
        <v>225476.48168714886</v>
      </c>
      <c r="D2" s="136">
        <f>'1-Lisa'!F100</f>
        <v>49604.320639640566</v>
      </c>
      <c r="E2" s="136">
        <f>'1-Diona'!F100</f>
        <v>28003.879238819256</v>
      </c>
      <c r="F2" s="135">
        <f>SUM(B2:E2)</f>
        <v>748770.46549753333</v>
      </c>
      <c r="G2" s="136">
        <f>SUM(B3:E3)</f>
        <v>1241437.43250849</v>
      </c>
      <c r="H2" s="135">
        <f>SUM(B4:E4)</f>
        <v>1694655.5284594398</v>
      </c>
      <c r="I2" s="136">
        <v>25.3</v>
      </c>
      <c r="J2" s="144"/>
      <c r="K2" s="135"/>
      <c r="L2" s="135"/>
      <c r="M2" s="135"/>
      <c r="N2" s="135"/>
      <c r="O2" s="135"/>
      <c r="P2" s="165" t="s">
        <v>565</v>
      </c>
      <c r="Q2" s="135"/>
      <c r="R2" s="135"/>
      <c r="S2" s="135"/>
      <c r="T2" s="135"/>
      <c r="U2" s="135"/>
      <c r="V2" s="135"/>
      <c r="W2" s="135"/>
      <c r="AC2" s="135" t="s">
        <v>442</v>
      </c>
      <c r="AD2" s="135">
        <v>0.38</v>
      </c>
    </row>
    <row r="3" spans="1:30" ht="15.6" customHeight="1" x14ac:dyDescent="0.25">
      <c r="A3" s="137" t="s">
        <v>539</v>
      </c>
      <c r="B3" s="136">
        <f>'1-Eula'!F97</f>
        <v>770999.61646636866</v>
      </c>
      <c r="C3" s="136">
        <f>'1-Raiden'!F97</f>
        <v>334643.16717763181</v>
      </c>
      <c r="D3" s="136">
        <f>'1-Lisa'!F97</f>
        <v>99208.641279281132</v>
      </c>
      <c r="E3" s="136">
        <f>'1-Diona'!F97</f>
        <v>36586.00758520839</v>
      </c>
      <c r="F3" s="135"/>
      <c r="G3" s="135"/>
      <c r="H3" s="135"/>
      <c r="I3" s="135"/>
      <c r="J3" s="135"/>
      <c r="K3" s="135"/>
      <c r="M3" s="135"/>
      <c r="N3" s="135"/>
      <c r="O3" s="135"/>
      <c r="P3" s="165"/>
      <c r="Q3" s="135"/>
      <c r="R3" s="135"/>
      <c r="S3" s="135"/>
      <c r="T3" s="135"/>
      <c r="U3" s="135"/>
      <c r="V3" s="135"/>
      <c r="W3" s="135"/>
      <c r="AC3" s="135" t="s">
        <v>443</v>
      </c>
      <c r="AD3" s="135">
        <f>AD2/60*100</f>
        <v>0.6333333333333333</v>
      </c>
    </row>
    <row r="4" spans="1:30" ht="15.6" customHeight="1" x14ac:dyDescent="0.25">
      <c r="A4" s="137" t="s">
        <v>541</v>
      </c>
      <c r="B4" s="136">
        <f>'1-Eula'!F101</f>
        <v>1090924.9085061166</v>
      </c>
      <c r="C4" s="136">
        <f>'1-Raiden'!F101</f>
        <v>388194.38299692178</v>
      </c>
      <c r="D4" s="136">
        <f>'1-Lisa'!F101</f>
        <v>148812.9619189217</v>
      </c>
      <c r="E4" s="136">
        <f>'1-Diona'!F101</f>
        <v>66723.275037479878</v>
      </c>
      <c r="F4" s="135"/>
      <c r="G4" s="135"/>
      <c r="H4" s="135"/>
      <c r="I4" s="135"/>
      <c r="J4" s="135"/>
      <c r="K4" s="135"/>
      <c r="M4" s="135"/>
      <c r="N4" s="135"/>
      <c r="O4" s="135"/>
      <c r="P4" s="165"/>
      <c r="Q4" s="135"/>
      <c r="R4" s="135"/>
      <c r="S4" s="135"/>
      <c r="T4" s="135"/>
      <c r="U4" s="135"/>
      <c r="V4" s="135"/>
      <c r="W4" s="135"/>
    </row>
    <row r="5" spans="1:30" s="135" customFormat="1" ht="15.6" customHeight="1" x14ac:dyDescent="0.25">
      <c r="A5" s="135" t="s">
        <v>542</v>
      </c>
      <c r="B5" s="138">
        <f>B2/$F$2</f>
        <v>0.59522350903060939</v>
      </c>
      <c r="C5" s="138">
        <f t="shared" ref="C5:E5" si="0">C2/$F$2</f>
        <v>0.30112897353306683</v>
      </c>
      <c r="D5" s="138">
        <f t="shared" si="0"/>
        <v>6.6247699295511248E-2</v>
      </c>
      <c r="E5" s="138">
        <f t="shared" si="0"/>
        <v>3.7399818140812488E-2</v>
      </c>
      <c r="P5" s="165"/>
    </row>
    <row r="6" spans="1:30" ht="15.6" customHeight="1" x14ac:dyDescent="0.25">
      <c r="A6" s="135" t="s">
        <v>543</v>
      </c>
      <c r="B6" s="138">
        <f>B3/$G$2</f>
        <v>0.62105394623751675</v>
      </c>
      <c r="C6" s="138">
        <f>C3/$G$2</f>
        <v>0.26956104143036885</v>
      </c>
      <c r="D6" s="138">
        <f>D3/$G$2</f>
        <v>7.9914330502196013E-2</v>
      </c>
      <c r="E6" s="138">
        <f>E3/$G$2</f>
        <v>2.9470681829918306E-2</v>
      </c>
      <c r="F6" s="135"/>
      <c r="G6" s="135"/>
      <c r="H6" s="135"/>
      <c r="I6" s="135"/>
      <c r="J6" s="135"/>
      <c r="K6" s="135"/>
      <c r="M6" s="135"/>
      <c r="N6" s="135"/>
      <c r="O6" s="135"/>
      <c r="P6" s="165"/>
      <c r="S6" s="135"/>
      <c r="T6" s="135"/>
      <c r="U6" s="135"/>
      <c r="V6" s="135"/>
      <c r="W6" s="135"/>
    </row>
    <row r="7" spans="1:30" x14ac:dyDescent="0.25">
      <c r="A7" s="135" t="s">
        <v>544</v>
      </c>
      <c r="B7" s="138">
        <f>B4/$H$2</f>
        <v>0.64374434224862409</v>
      </c>
      <c r="C7" s="138">
        <f t="shared" ref="C7:E7" si="1">C4/$H$2</f>
        <v>0.2290697882122496</v>
      </c>
      <c r="D7" s="138">
        <f t="shared" si="1"/>
        <v>8.7813103854919167E-2</v>
      </c>
      <c r="E7" s="138">
        <f t="shared" si="1"/>
        <v>3.9372765684207216E-2</v>
      </c>
      <c r="F7" s="135"/>
      <c r="G7" s="135"/>
      <c r="H7" s="135"/>
      <c r="I7" s="135"/>
      <c r="J7" s="135"/>
      <c r="K7" s="135"/>
      <c r="L7" s="135"/>
      <c r="P7" s="165"/>
      <c r="S7" s="135"/>
      <c r="T7" s="135"/>
      <c r="U7" s="135"/>
      <c r="V7" s="135"/>
      <c r="W7" s="135"/>
    </row>
    <row r="8" spans="1:30" x14ac:dyDescent="0.25">
      <c r="A8" s="135" t="s">
        <v>437</v>
      </c>
      <c r="B8" s="140">
        <v>1.54</v>
      </c>
      <c r="C8" s="140">
        <v>2.11</v>
      </c>
      <c r="D8" s="140">
        <v>1.32</v>
      </c>
      <c r="E8" s="140">
        <v>1.44</v>
      </c>
      <c r="F8" s="135"/>
      <c r="G8" s="135"/>
      <c r="H8" s="135"/>
      <c r="I8" s="135"/>
      <c r="J8" s="135"/>
      <c r="K8" s="135"/>
      <c r="P8" s="135"/>
      <c r="Q8" s="135"/>
      <c r="R8" s="135"/>
      <c r="S8" s="135"/>
      <c r="T8" s="135"/>
      <c r="U8" s="135"/>
      <c r="V8" s="135"/>
      <c r="W8" s="135"/>
    </row>
    <row r="9" spans="1:30" x14ac:dyDescent="0.25">
      <c r="A9" s="135" t="s">
        <v>446</v>
      </c>
      <c r="B9" s="139">
        <v>0.43</v>
      </c>
      <c r="C9" s="138">
        <v>0.43</v>
      </c>
      <c r="D9" s="138">
        <v>0.06</v>
      </c>
      <c r="E9" s="138">
        <v>0.08</v>
      </c>
      <c r="F9" s="135"/>
      <c r="G9" s="135"/>
      <c r="H9" s="135"/>
      <c r="I9" s="135"/>
      <c r="J9" s="135"/>
      <c r="K9" s="135"/>
      <c r="L9" s="135"/>
      <c r="P9" s="135"/>
      <c r="Q9" s="135"/>
      <c r="R9" s="135"/>
      <c r="S9" s="135"/>
      <c r="T9" s="135"/>
      <c r="U9" s="135"/>
      <c r="V9" s="135"/>
      <c r="W9" s="135"/>
    </row>
    <row r="10" spans="1:30" x14ac:dyDescent="0.25">
      <c r="A10" s="135" t="s">
        <v>436</v>
      </c>
      <c r="B10" s="164" t="s">
        <v>509</v>
      </c>
      <c r="C10" s="164"/>
      <c r="D10" s="164"/>
      <c r="E10" s="164"/>
      <c r="F10" s="164"/>
      <c r="G10" s="164"/>
      <c r="H10" s="164"/>
      <c r="I10" s="164"/>
      <c r="J10" s="164"/>
      <c r="K10" s="164"/>
      <c r="L10" s="135"/>
      <c r="P10" s="135"/>
      <c r="Q10" s="135"/>
      <c r="R10" s="135"/>
      <c r="S10" s="135"/>
      <c r="T10" s="135"/>
      <c r="U10" s="135"/>
      <c r="V10" s="135"/>
      <c r="W10" s="135"/>
    </row>
    <row r="11" spans="1:30" x14ac:dyDescent="0.25">
      <c r="A11" s="135" t="s">
        <v>467</v>
      </c>
      <c r="B11" s="135" t="s">
        <v>471</v>
      </c>
      <c r="C11" s="135" t="s">
        <v>472</v>
      </c>
      <c r="D11" s="135" t="s">
        <v>473</v>
      </c>
      <c r="E11" s="135" t="s">
        <v>474</v>
      </c>
      <c r="F11" s="135"/>
      <c r="G11" s="135"/>
      <c r="H11" s="135"/>
      <c r="I11" s="135"/>
      <c r="J11" s="135"/>
      <c r="K11" s="135"/>
      <c r="P11" s="135"/>
      <c r="Q11" s="135"/>
      <c r="R11" s="135"/>
      <c r="S11" s="135"/>
      <c r="T11" s="135"/>
      <c r="U11" s="135"/>
      <c r="V11" s="135"/>
      <c r="W11" s="135"/>
    </row>
    <row r="12" spans="1:30" x14ac:dyDescent="0.25">
      <c r="A12" s="135" t="s">
        <v>468</v>
      </c>
      <c r="B12" s="135" t="s">
        <v>476</v>
      </c>
      <c r="C12" s="135" t="s">
        <v>477</v>
      </c>
      <c r="D12" s="135" t="s">
        <v>477</v>
      </c>
      <c r="E12" s="135" t="s">
        <v>475</v>
      </c>
      <c r="F12" s="135"/>
      <c r="G12" s="135"/>
      <c r="H12" s="135"/>
      <c r="I12" s="135"/>
      <c r="J12" s="135"/>
      <c r="K12" s="135"/>
      <c r="P12" s="135"/>
      <c r="Q12" s="135"/>
      <c r="R12" s="135"/>
      <c r="S12" s="135"/>
      <c r="T12" s="135"/>
      <c r="U12" s="135"/>
      <c r="V12" s="135"/>
      <c r="W12" s="135"/>
    </row>
    <row r="13" spans="1:30" ht="18.75" x14ac:dyDescent="0.3">
      <c r="A13" s="135" t="s">
        <v>469</v>
      </c>
      <c r="B13" s="135">
        <v>20</v>
      </c>
      <c r="C13" s="135">
        <v>20</v>
      </c>
      <c r="D13" s="135">
        <v>20</v>
      </c>
      <c r="E13" s="135">
        <v>20</v>
      </c>
      <c r="F13" s="135"/>
      <c r="G13" s="135"/>
      <c r="H13" s="135"/>
      <c r="I13" s="135"/>
      <c r="J13" s="135"/>
      <c r="K13" s="135"/>
      <c r="P13" s="166" t="s">
        <v>515</v>
      </c>
      <c r="Q13" s="166"/>
      <c r="R13" s="166"/>
      <c r="S13" s="166"/>
      <c r="T13" s="166"/>
      <c r="U13" s="166"/>
      <c r="V13" s="166"/>
      <c r="W13" s="166"/>
    </row>
    <row r="14" spans="1:30" ht="18.75" x14ac:dyDescent="0.3">
      <c r="A14" s="135" t="s">
        <v>470</v>
      </c>
      <c r="B14" s="135">
        <v>90</v>
      </c>
      <c r="C14" s="135">
        <v>90</v>
      </c>
      <c r="D14" s="135">
        <v>90</v>
      </c>
      <c r="E14" s="135">
        <v>90</v>
      </c>
      <c r="F14" s="135"/>
      <c r="G14" s="135"/>
      <c r="H14" s="135"/>
      <c r="I14" s="135"/>
      <c r="J14" s="135"/>
      <c r="K14" s="135"/>
      <c r="M14" s="135"/>
      <c r="N14" s="135"/>
      <c r="O14" s="135"/>
      <c r="P14" s="150" t="s">
        <v>516</v>
      </c>
      <c r="Q14" s="150" t="s">
        <v>525</v>
      </c>
      <c r="R14" s="150" t="s">
        <v>524</v>
      </c>
      <c r="S14" s="150" t="s">
        <v>526</v>
      </c>
      <c r="T14" s="150" t="s">
        <v>517</v>
      </c>
      <c r="U14" s="150" t="s">
        <v>527</v>
      </c>
      <c r="V14" s="150" t="s">
        <v>528</v>
      </c>
      <c r="W14" s="150" t="s">
        <v>529</v>
      </c>
    </row>
    <row r="15" spans="1:30" ht="18.75" x14ac:dyDescent="0.3">
      <c r="A15" s="135" t="s">
        <v>478</v>
      </c>
      <c r="B15" s="145" t="s">
        <v>479</v>
      </c>
      <c r="C15" s="145" t="s">
        <v>479</v>
      </c>
      <c r="D15" s="145" t="s">
        <v>479</v>
      </c>
      <c r="E15" s="145" t="s">
        <v>479</v>
      </c>
      <c r="F15" s="135"/>
      <c r="G15" s="135"/>
      <c r="H15" s="135"/>
      <c r="I15" s="135"/>
      <c r="J15" s="135"/>
      <c r="K15" s="135"/>
      <c r="M15" s="135"/>
      <c r="N15" s="135"/>
      <c r="O15" s="135"/>
      <c r="P15" s="146" t="s">
        <v>571</v>
      </c>
      <c r="Q15" s="147">
        <f>$F$97</f>
        <v>895108.25132644002</v>
      </c>
      <c r="R15" s="147">
        <f>$G$97</f>
        <v>1484699.3592040993</v>
      </c>
      <c r="S15" s="147">
        <f>$H$97</f>
        <v>2020602.9013195508</v>
      </c>
      <c r="T15" s="147">
        <f>$I$97</f>
        <v>26.1</v>
      </c>
      <c r="U15" s="147">
        <f t="shared" ref="U15:U22" si="2">Q15/T15</f>
        <v>34295.335299863604</v>
      </c>
      <c r="V15" s="147">
        <f t="shared" ref="V15:V22" si="3">R15/T15</f>
        <v>56885.032919697289</v>
      </c>
      <c r="W15" s="147">
        <f t="shared" ref="W15:W22" si="4">S15/T15</f>
        <v>77417.735682741404</v>
      </c>
    </row>
    <row r="16" spans="1:30" ht="18.75" x14ac:dyDescent="0.3">
      <c r="A16" s="135" t="s">
        <v>480</v>
      </c>
      <c r="B16" s="135" t="s">
        <v>481</v>
      </c>
      <c r="C16" s="135" t="s">
        <v>482</v>
      </c>
      <c r="D16" s="135" t="s">
        <v>483</v>
      </c>
      <c r="E16" s="135" t="s">
        <v>483</v>
      </c>
      <c r="F16" s="135"/>
      <c r="G16" s="135"/>
      <c r="H16" s="135"/>
      <c r="I16" s="135"/>
      <c r="J16" s="135"/>
      <c r="K16" s="135"/>
      <c r="M16" s="135"/>
      <c r="N16" s="135"/>
      <c r="O16" s="135"/>
      <c r="P16" s="146" t="s">
        <v>584</v>
      </c>
      <c r="Q16" s="147">
        <f>$F$134</f>
        <v>825545.49467453267</v>
      </c>
      <c r="R16" s="147">
        <f>$G$134</f>
        <v>1409964.1226356109</v>
      </c>
      <c r="S16" s="147">
        <f>$H$134</f>
        <v>1948911.1165116939</v>
      </c>
      <c r="T16" s="147">
        <f>$I$134</f>
        <v>26.8</v>
      </c>
      <c r="U16" s="147">
        <f t="shared" si="2"/>
        <v>30803.936368452712</v>
      </c>
      <c r="V16" s="147">
        <f t="shared" si="3"/>
        <v>52610.601590881</v>
      </c>
      <c r="W16" s="147">
        <f t="shared" si="4"/>
        <v>72720.564048943808</v>
      </c>
    </row>
    <row r="17" spans="1:24" ht="18.75" x14ac:dyDescent="0.3">
      <c r="A17" s="135" t="s">
        <v>487</v>
      </c>
      <c r="B17" s="135" t="s">
        <v>488</v>
      </c>
      <c r="C17" s="135" t="s">
        <v>488</v>
      </c>
      <c r="D17" s="135" t="s">
        <v>488</v>
      </c>
      <c r="E17" s="135" t="s">
        <v>489</v>
      </c>
      <c r="F17" s="135"/>
      <c r="G17" s="135"/>
      <c r="H17" s="135"/>
      <c r="I17" s="135"/>
      <c r="J17" s="135"/>
      <c r="K17" s="135"/>
      <c r="M17" s="135"/>
      <c r="N17" s="144"/>
      <c r="O17" s="135"/>
      <c r="P17" s="146" t="s">
        <v>522</v>
      </c>
      <c r="Q17" s="147">
        <f>$F$77</f>
        <v>795633.4715954822</v>
      </c>
      <c r="R17" s="147">
        <f>$G$77</f>
        <v>1329217.0025403881</v>
      </c>
      <c r="S17" s="147">
        <f>$H$77</f>
        <v>1814560.3767199949</v>
      </c>
      <c r="T17" s="147">
        <f>$I$77</f>
        <v>25.9</v>
      </c>
      <c r="U17" s="147">
        <f t="shared" si="2"/>
        <v>30719.439057740627</v>
      </c>
      <c r="V17" s="147">
        <f t="shared" si="3"/>
        <v>51321.119789204182</v>
      </c>
      <c r="W17" s="147">
        <f t="shared" si="4"/>
        <v>70060.246205405216</v>
      </c>
    </row>
    <row r="18" spans="1:24" ht="18.75" x14ac:dyDescent="0.3"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M18" s="135"/>
      <c r="N18" s="135"/>
      <c r="O18" s="135"/>
      <c r="P18" s="146" t="s">
        <v>580</v>
      </c>
      <c r="Q18" s="147">
        <f>$F$115</f>
        <v>798643.31338260288</v>
      </c>
      <c r="R18" s="147">
        <f>$G$115</f>
        <v>1356495.3134790198</v>
      </c>
      <c r="S18" s="147">
        <f>$H$115</f>
        <v>1868875.6794904415</v>
      </c>
      <c r="T18" s="147">
        <f>$I$115</f>
        <v>26.8</v>
      </c>
      <c r="U18" s="147">
        <f t="shared" si="2"/>
        <v>29800.12363367921</v>
      </c>
      <c r="V18" s="147">
        <f t="shared" si="3"/>
        <v>50615.496771605212</v>
      </c>
      <c r="W18" s="147">
        <f t="shared" si="4"/>
        <v>69734.167145165731</v>
      </c>
    </row>
    <row r="19" spans="1:24" ht="18.75" x14ac:dyDescent="0.3">
      <c r="B19" s="137" t="s">
        <v>432</v>
      </c>
      <c r="C19" s="137" t="s">
        <v>439</v>
      </c>
      <c r="D19" s="137" t="s">
        <v>440</v>
      </c>
      <c r="E19" s="137" t="s">
        <v>435</v>
      </c>
      <c r="F19" s="137" t="s">
        <v>537</v>
      </c>
      <c r="G19" s="137" t="s">
        <v>536</v>
      </c>
      <c r="H19" s="137" t="s">
        <v>538</v>
      </c>
      <c r="I19" s="135" t="s">
        <v>438</v>
      </c>
      <c r="J19" s="135"/>
      <c r="K19" s="135"/>
      <c r="L19" s="135"/>
      <c r="M19" s="135"/>
      <c r="N19" s="135"/>
      <c r="O19" s="135"/>
      <c r="P19" s="146" t="s">
        <v>518</v>
      </c>
      <c r="Q19" s="147">
        <f>$F$2</f>
        <v>748770.46549753333</v>
      </c>
      <c r="R19" s="147">
        <f>$G$2</f>
        <v>1241437.43250849</v>
      </c>
      <c r="S19" s="147">
        <f>$H$2</f>
        <v>1694655.5284594398</v>
      </c>
      <c r="T19" s="147">
        <f>$I$2</f>
        <v>25.3</v>
      </c>
      <c r="U19" s="147">
        <f t="shared" si="2"/>
        <v>29595.670573025032</v>
      </c>
      <c r="V19" s="147">
        <f t="shared" si="3"/>
        <v>49068.673221679448</v>
      </c>
      <c r="W19" s="147">
        <f t="shared" si="4"/>
        <v>66982.43195491856</v>
      </c>
    </row>
    <row r="20" spans="1:24" ht="18.75" x14ac:dyDescent="0.3">
      <c r="A20" s="137" t="s">
        <v>545</v>
      </c>
      <c r="B20" s="136">
        <f>'2-Eula'!F100</f>
        <v>411418.11117290781</v>
      </c>
      <c r="C20" s="136">
        <f>'2-Fischl'!F100</f>
        <v>67017.2399422374</v>
      </c>
      <c r="D20" s="136">
        <f>'2-Rosaria'!F100</f>
        <v>89245.955176088886</v>
      </c>
      <c r="E20" s="136">
        <f>'2-Diona'!F100</f>
        <v>22676.208565040299</v>
      </c>
      <c r="F20" s="135">
        <f>SUM(B20:E20)</f>
        <v>590357.51485627436</v>
      </c>
      <c r="G20" s="136">
        <f>SUM(B21:E21)</f>
        <v>968797.09124212607</v>
      </c>
      <c r="H20" s="136">
        <f>SUM(B22:E22)</f>
        <v>1354496.9036113282</v>
      </c>
      <c r="I20" s="136">
        <v>22</v>
      </c>
      <c r="J20" s="135"/>
      <c r="K20" s="135"/>
      <c r="L20" s="135"/>
      <c r="M20" s="135"/>
      <c r="N20" s="135"/>
      <c r="O20" s="135"/>
      <c r="P20" s="146" t="s">
        <v>521</v>
      </c>
      <c r="Q20" s="147">
        <f>$F$58</f>
        <v>602684.68795166351</v>
      </c>
      <c r="R20" s="147">
        <f>$G$58</f>
        <v>1165126.0626118057</v>
      </c>
      <c r="S20" s="147">
        <f>$H$58</f>
        <v>1443871.2208529846</v>
      </c>
      <c r="T20" s="147">
        <f>$I$58</f>
        <v>22</v>
      </c>
      <c r="U20" s="147">
        <f t="shared" si="2"/>
        <v>27394.758543257431</v>
      </c>
      <c r="V20" s="147">
        <f t="shared" si="3"/>
        <v>52960.275573263898</v>
      </c>
      <c r="W20" s="147">
        <f t="shared" si="4"/>
        <v>65630.51003877203</v>
      </c>
    </row>
    <row r="21" spans="1:24" ht="18.75" x14ac:dyDescent="0.3">
      <c r="A21" s="137" t="s">
        <v>546</v>
      </c>
      <c r="B21" s="136">
        <f>'2-Eula'!F97</f>
        <v>697641.22649762838</v>
      </c>
      <c r="C21" s="136">
        <f>'2-Fischl'!F97</f>
        <v>65850.626276672978</v>
      </c>
      <c r="D21" s="136">
        <f>'2-Rosaria'!F97</f>
        <v>166319.07960699982</v>
      </c>
      <c r="E21" s="136">
        <f>'2-Diona'!F97</f>
        <v>38986.158860824864</v>
      </c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48" t="s">
        <v>520</v>
      </c>
      <c r="Q21" s="147">
        <f>$F$38</f>
        <v>752389.46263962716</v>
      </c>
      <c r="R21" s="147">
        <f>$G$38</f>
        <v>1450745.6240592285</v>
      </c>
      <c r="S21" s="147">
        <f>$H$38</f>
        <v>1837258.8686115018</v>
      </c>
      <c r="T21" s="147">
        <f>$I$38</f>
        <v>27.9</v>
      </c>
      <c r="U21" s="147">
        <f t="shared" si="2"/>
        <v>26967.364252316387</v>
      </c>
      <c r="V21" s="147">
        <f t="shared" si="3"/>
        <v>51998.051041549406</v>
      </c>
      <c r="W21" s="147">
        <f t="shared" si="4"/>
        <v>65851.572351666735</v>
      </c>
    </row>
    <row r="22" spans="1:24" ht="18.75" x14ac:dyDescent="0.3">
      <c r="A22" s="137" t="s">
        <v>547</v>
      </c>
      <c r="B22" s="136">
        <f>'2-Eula'!F101</f>
        <v>975560.33758481103</v>
      </c>
      <c r="C22" s="136">
        <f>'2-Fischl'!F101</f>
        <v>77675.358243761613</v>
      </c>
      <c r="D22" s="136">
        <f>'2-Rosaria'!F101</f>
        <v>245965.09862614606</v>
      </c>
      <c r="E22" s="136">
        <f>'2-Diona'!F101</f>
        <v>55296.109156609433</v>
      </c>
      <c r="F22" s="135"/>
      <c r="G22" s="135"/>
      <c r="H22" s="135"/>
      <c r="I22" s="135"/>
      <c r="J22" s="135"/>
      <c r="K22" s="135"/>
      <c r="M22" s="135"/>
      <c r="N22" s="135"/>
      <c r="O22" s="135"/>
      <c r="P22" s="146" t="s">
        <v>519</v>
      </c>
      <c r="Q22" s="147">
        <f>$F$20</f>
        <v>590357.51485627436</v>
      </c>
      <c r="R22" s="147">
        <f>$G$20</f>
        <v>968797.09124212607</v>
      </c>
      <c r="S22" s="147">
        <f>$H$20</f>
        <v>1354496.9036113282</v>
      </c>
      <c r="T22" s="147">
        <f>$I$20</f>
        <v>22</v>
      </c>
      <c r="U22" s="147">
        <f t="shared" si="2"/>
        <v>26834.432493467015</v>
      </c>
      <c r="V22" s="147">
        <f t="shared" si="3"/>
        <v>44036.231420096643</v>
      </c>
      <c r="W22" s="147">
        <f t="shared" si="4"/>
        <v>61568.041073242195</v>
      </c>
      <c r="X22" t="s">
        <v>566</v>
      </c>
    </row>
    <row r="23" spans="1:24" x14ac:dyDescent="0.25">
      <c r="A23" s="135" t="s">
        <v>542</v>
      </c>
      <c r="B23" s="138">
        <f>B20/$F$20</f>
        <v>0.69689654289074254</v>
      </c>
      <c r="C23" s="138">
        <f t="shared" ref="C23:E23" si="5">C20/$F$20</f>
        <v>0.11351975414178153</v>
      </c>
      <c r="D23" s="138">
        <f t="shared" si="5"/>
        <v>0.1511727265770747</v>
      </c>
      <c r="E23" s="138">
        <f t="shared" si="5"/>
        <v>3.8410976390401232E-2</v>
      </c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</row>
    <row r="24" spans="1:24" x14ac:dyDescent="0.25">
      <c r="A24" s="135" t="s">
        <v>543</v>
      </c>
      <c r="B24" s="138">
        <f>B21/$G$20</f>
        <v>0.72011077737977103</v>
      </c>
      <c r="C24" s="138">
        <f>C21/$G$20</f>
        <v>6.7971535909798986E-2</v>
      </c>
      <c r="D24" s="138">
        <f>D21/$G$20</f>
        <v>0.17167586598939594</v>
      </c>
      <c r="E24" s="138">
        <f>E21/$G$20</f>
        <v>4.0241820721034008E-2</v>
      </c>
      <c r="F24" s="135"/>
      <c r="G24" s="135"/>
      <c r="H24" s="151"/>
      <c r="I24" s="151"/>
      <c r="J24" s="151"/>
      <c r="K24" s="151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</row>
    <row r="25" spans="1:24" ht="18.75" x14ac:dyDescent="0.3">
      <c r="A25" s="135" t="s">
        <v>544</v>
      </c>
      <c r="B25" s="138">
        <f>B22/$H$20</f>
        <v>0.72023814523591356</v>
      </c>
      <c r="C25" s="138">
        <f t="shared" ref="C25:E25" si="6">C22/$H$20</f>
        <v>5.7346279667871793E-2</v>
      </c>
      <c r="D25" s="138">
        <f t="shared" si="6"/>
        <v>0.18159148091838351</v>
      </c>
      <c r="E25" s="138">
        <f t="shared" si="6"/>
        <v>4.0824094177831068E-2</v>
      </c>
      <c r="F25" s="135"/>
      <c r="G25" s="135"/>
      <c r="H25" s="135"/>
      <c r="I25" s="135"/>
      <c r="J25" s="135"/>
      <c r="K25" s="135"/>
      <c r="M25" s="135"/>
      <c r="N25" s="135"/>
      <c r="O25" s="135"/>
      <c r="P25" s="160"/>
      <c r="Q25" s="160"/>
      <c r="R25" s="160"/>
      <c r="S25" s="160"/>
      <c r="T25" s="160"/>
      <c r="U25" s="160"/>
      <c r="V25" s="160"/>
      <c r="W25" s="160"/>
    </row>
    <row r="26" spans="1:24" ht="18.75" x14ac:dyDescent="0.3">
      <c r="A26" s="135" t="s">
        <v>437</v>
      </c>
      <c r="B26" s="140">
        <v>1.41</v>
      </c>
      <c r="C26" s="140">
        <v>1.32</v>
      </c>
      <c r="D26" s="140">
        <v>1.54</v>
      </c>
      <c r="E26" s="140">
        <v>1.82</v>
      </c>
      <c r="F26" s="151"/>
      <c r="G26" s="151"/>
      <c r="H26" s="135"/>
      <c r="I26" s="135"/>
      <c r="J26" s="135"/>
      <c r="K26" s="135"/>
      <c r="M26" s="138"/>
      <c r="N26" s="135"/>
      <c r="O26" s="135"/>
      <c r="P26" s="161"/>
      <c r="Q26" s="161"/>
      <c r="R26" s="161"/>
      <c r="S26" s="161"/>
      <c r="T26" s="161"/>
      <c r="U26" s="161"/>
      <c r="V26" s="161"/>
      <c r="W26" s="161"/>
    </row>
    <row r="27" spans="1:24" ht="18.75" x14ac:dyDescent="0.3">
      <c r="A27" s="135" t="s">
        <v>446</v>
      </c>
      <c r="B27" s="140">
        <v>0.73</v>
      </c>
      <c r="C27" s="140">
        <v>0.04</v>
      </c>
      <c r="D27" s="140">
        <v>0.12</v>
      </c>
      <c r="E27" s="140">
        <v>0.11</v>
      </c>
      <c r="F27" s="135"/>
      <c r="G27" s="135"/>
      <c r="H27" s="135"/>
      <c r="I27" s="135"/>
      <c r="J27" s="135"/>
      <c r="K27" s="135"/>
      <c r="M27" s="135"/>
      <c r="N27" s="135"/>
      <c r="O27" s="135"/>
      <c r="P27" s="162"/>
      <c r="Q27" s="163"/>
      <c r="R27" s="163"/>
      <c r="S27" s="163"/>
      <c r="T27" s="163"/>
      <c r="U27" s="163"/>
      <c r="V27" s="163"/>
      <c r="W27" s="163"/>
    </row>
    <row r="28" spans="1:24" ht="18.75" x14ac:dyDescent="0.3">
      <c r="A28" s="135" t="s">
        <v>436</v>
      </c>
      <c r="B28" s="164" t="s">
        <v>510</v>
      </c>
      <c r="C28" s="164"/>
      <c r="D28" s="164"/>
      <c r="E28" s="164"/>
      <c r="F28" s="164"/>
      <c r="G28" s="164"/>
      <c r="H28" s="164"/>
      <c r="I28" s="164"/>
      <c r="J28" s="164"/>
      <c r="K28" s="164"/>
      <c r="M28" s="135"/>
      <c r="N28" s="135"/>
      <c r="O28" s="135"/>
      <c r="P28" s="162"/>
      <c r="Q28" s="163"/>
      <c r="R28" s="163"/>
      <c r="S28" s="163"/>
      <c r="T28" s="163"/>
      <c r="U28" s="163"/>
      <c r="V28" s="163"/>
      <c r="W28" s="163"/>
    </row>
    <row r="29" spans="1:24" ht="18.75" x14ac:dyDescent="0.3">
      <c r="A29" s="135" t="s">
        <v>467</v>
      </c>
      <c r="B29" s="135" t="s">
        <v>471</v>
      </c>
      <c r="C29" s="135" t="s">
        <v>484</v>
      </c>
      <c r="D29" s="135" t="s">
        <v>485</v>
      </c>
      <c r="E29" s="135" t="s">
        <v>474</v>
      </c>
      <c r="F29" s="135"/>
      <c r="G29" s="135"/>
      <c r="H29" s="135"/>
      <c r="I29" s="135"/>
      <c r="J29" s="135"/>
      <c r="K29" s="135"/>
      <c r="M29" s="135"/>
      <c r="N29" s="135"/>
      <c r="O29" s="135"/>
      <c r="P29" s="162"/>
      <c r="Q29" s="163"/>
      <c r="R29" s="163"/>
      <c r="S29" s="163"/>
      <c r="T29" s="163"/>
      <c r="U29" s="163"/>
      <c r="V29" s="163"/>
      <c r="W29" s="163"/>
    </row>
    <row r="30" spans="1:24" ht="18.75" x14ac:dyDescent="0.3">
      <c r="A30" s="135" t="s">
        <v>468</v>
      </c>
      <c r="B30" s="135" t="s">
        <v>476</v>
      </c>
      <c r="C30" s="135" t="s">
        <v>486</v>
      </c>
      <c r="D30" s="135" t="s">
        <v>477</v>
      </c>
      <c r="E30" s="135" t="s">
        <v>475</v>
      </c>
      <c r="F30" s="135"/>
      <c r="G30" s="135"/>
      <c r="H30" s="135"/>
      <c r="I30" s="135"/>
      <c r="J30" s="135"/>
      <c r="K30" s="135"/>
      <c r="M30" s="135"/>
      <c r="N30" s="135"/>
      <c r="O30" s="135"/>
      <c r="P30" s="162"/>
      <c r="Q30" s="163"/>
      <c r="R30" s="163"/>
      <c r="S30" s="163"/>
      <c r="T30" s="163"/>
      <c r="U30" s="163"/>
      <c r="V30" s="163"/>
      <c r="W30" s="163"/>
    </row>
    <row r="31" spans="1:24" ht="18.75" x14ac:dyDescent="0.3">
      <c r="A31" s="135" t="s">
        <v>469</v>
      </c>
      <c r="B31" s="135">
        <v>20</v>
      </c>
      <c r="C31" s="135">
        <v>20</v>
      </c>
      <c r="D31" s="135">
        <v>20</v>
      </c>
      <c r="E31" s="135">
        <v>20</v>
      </c>
      <c r="F31" s="135"/>
      <c r="G31" s="135"/>
      <c r="H31" s="135"/>
      <c r="I31" s="135"/>
      <c r="J31" s="135"/>
      <c r="K31" s="135"/>
      <c r="M31" s="135"/>
      <c r="N31" s="135"/>
      <c r="O31" s="135"/>
      <c r="P31" s="162"/>
      <c r="Q31" s="163"/>
      <c r="R31" s="163"/>
      <c r="S31" s="163"/>
      <c r="T31" s="163"/>
      <c r="U31" s="163"/>
      <c r="V31" s="163"/>
      <c r="W31" s="163"/>
    </row>
    <row r="32" spans="1:24" ht="18.75" x14ac:dyDescent="0.3">
      <c r="A32" s="135" t="s">
        <v>470</v>
      </c>
      <c r="B32" s="135">
        <v>90</v>
      </c>
      <c r="C32" s="135">
        <v>90</v>
      </c>
      <c r="D32" s="135">
        <v>90</v>
      </c>
      <c r="E32" s="135">
        <v>90</v>
      </c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62"/>
      <c r="Q32" s="163"/>
      <c r="R32" s="163"/>
      <c r="S32" s="163"/>
      <c r="T32" s="163"/>
      <c r="U32" s="163"/>
      <c r="V32" s="163"/>
      <c r="W32" s="163"/>
    </row>
    <row r="33" spans="1:23" ht="18.75" x14ac:dyDescent="0.3">
      <c r="A33" s="135" t="s">
        <v>478</v>
      </c>
      <c r="B33" s="145" t="s">
        <v>479</v>
      </c>
      <c r="C33" s="145" t="s">
        <v>479</v>
      </c>
      <c r="D33" s="145" t="s">
        <v>479</v>
      </c>
      <c r="E33" s="145" t="s">
        <v>479</v>
      </c>
      <c r="F33" s="135"/>
      <c r="G33" s="135"/>
      <c r="H33" s="135"/>
      <c r="I33" s="135"/>
      <c r="J33" s="135"/>
      <c r="K33" s="135"/>
      <c r="O33" s="135"/>
      <c r="P33" s="162"/>
      <c r="Q33" s="163"/>
      <c r="R33" s="163"/>
      <c r="S33" s="163"/>
      <c r="T33" s="163"/>
      <c r="U33" s="163"/>
      <c r="V33" s="163"/>
      <c r="W33" s="163"/>
    </row>
    <row r="34" spans="1:23" ht="18.75" x14ac:dyDescent="0.3">
      <c r="A34" s="135" t="s">
        <v>480</v>
      </c>
      <c r="B34" s="135" t="s">
        <v>481</v>
      </c>
      <c r="C34" s="135" t="s">
        <v>483</v>
      </c>
      <c r="D34" s="135" t="s">
        <v>483</v>
      </c>
      <c r="E34" s="135" t="s">
        <v>483</v>
      </c>
      <c r="F34" s="135"/>
      <c r="G34" s="135"/>
      <c r="H34" s="135"/>
      <c r="I34" s="135"/>
      <c r="J34" s="135"/>
      <c r="K34" s="135"/>
      <c r="P34" s="162"/>
      <c r="Q34" s="163"/>
      <c r="R34" s="163"/>
      <c r="S34" s="163"/>
      <c r="T34" s="163"/>
      <c r="U34" s="163"/>
      <c r="V34" s="163"/>
      <c r="W34" s="163"/>
    </row>
    <row r="35" spans="1:23" x14ac:dyDescent="0.25">
      <c r="A35" s="135" t="s">
        <v>487</v>
      </c>
      <c r="B35" s="135" t="s">
        <v>488</v>
      </c>
      <c r="C35" s="135" t="s">
        <v>489</v>
      </c>
      <c r="D35" s="135" t="s">
        <v>489</v>
      </c>
      <c r="E35" s="135" t="s">
        <v>489</v>
      </c>
      <c r="F35" s="135"/>
      <c r="G35" s="135"/>
      <c r="H35" s="135"/>
      <c r="I35" s="135"/>
      <c r="J35" s="135"/>
      <c r="K35" s="135"/>
    </row>
    <row r="36" spans="1:23" x14ac:dyDescent="0.25">
      <c r="B36" s="135"/>
      <c r="C36" s="135"/>
      <c r="D36" s="135"/>
      <c r="E36" s="135"/>
      <c r="F36" s="135"/>
      <c r="G36" s="135"/>
      <c r="H36" s="135"/>
      <c r="I36" s="135"/>
      <c r="J36" s="135"/>
      <c r="K36" s="135"/>
    </row>
    <row r="37" spans="1:23" x14ac:dyDescent="0.25">
      <c r="B37" s="137" t="s">
        <v>432</v>
      </c>
      <c r="C37" s="137" t="s">
        <v>444</v>
      </c>
      <c r="D37" s="137" t="s">
        <v>445</v>
      </c>
      <c r="E37" s="137" t="s">
        <v>435</v>
      </c>
      <c r="F37" s="137" t="s">
        <v>537</v>
      </c>
      <c r="G37" s="137" t="s">
        <v>536</v>
      </c>
      <c r="H37" s="137" t="s">
        <v>538</v>
      </c>
      <c r="I37" s="135" t="s">
        <v>438</v>
      </c>
      <c r="J37" s="135"/>
      <c r="K37" s="135"/>
      <c r="L37" s="135"/>
      <c r="M37" s="135"/>
      <c r="N37" s="135"/>
    </row>
    <row r="38" spans="1:23" x14ac:dyDescent="0.25">
      <c r="A38" s="137" t="s">
        <v>548</v>
      </c>
      <c r="B38" s="136">
        <f>'3-Eula'!F100</f>
        <v>417222.98567169695</v>
      </c>
      <c r="C38" s="136">
        <f>'3-Raiden'!F100</f>
        <v>206946.15501021454</v>
      </c>
      <c r="D38" s="136">
        <f>'3-Beidou'!F100</f>
        <v>101410.92886270818</v>
      </c>
      <c r="E38" s="136">
        <f>'3-Diona'!F100</f>
        <v>26809.393095007465</v>
      </c>
      <c r="F38" s="135">
        <f>SUM(B38:E38)</f>
        <v>752389.46263962716</v>
      </c>
      <c r="G38" s="136">
        <f>SUM(B39:E39)</f>
        <v>1450745.6240592285</v>
      </c>
      <c r="H38" s="136">
        <f>SUM(B40:E40)</f>
        <v>1837258.8686115018</v>
      </c>
      <c r="I38" s="136">
        <v>27.9</v>
      </c>
      <c r="J38" s="135"/>
      <c r="K38" s="135"/>
      <c r="L38" s="135"/>
    </row>
    <row r="39" spans="1:23" x14ac:dyDescent="0.25">
      <c r="A39" s="137" t="s">
        <v>549</v>
      </c>
      <c r="B39" s="136">
        <f>'3-Eula'!F97</f>
        <v>715167.74623639637</v>
      </c>
      <c r="C39" s="136">
        <f>'3-Raiden'!F97</f>
        <v>305849.31768486428</v>
      </c>
      <c r="D39" s="136">
        <f>'3-Beidou'!F97</f>
        <v>394835.89037763781</v>
      </c>
      <c r="E39" s="136">
        <f>'3-Diona'!F97</f>
        <v>34892.669760329896</v>
      </c>
      <c r="F39" s="135"/>
      <c r="G39" s="135"/>
      <c r="H39" s="135"/>
      <c r="I39" s="135"/>
      <c r="J39" s="135"/>
      <c r="K39" s="135"/>
      <c r="L39" s="135"/>
    </row>
    <row r="40" spans="1:23" x14ac:dyDescent="0.25">
      <c r="A40" s="137" t="s">
        <v>550</v>
      </c>
      <c r="B40" s="136">
        <f>'3-Eula'!F101</f>
        <v>1001633.0197175796</v>
      </c>
      <c r="C40" s="136">
        <f>'3-Raiden'!F101</f>
        <v>354161.0454896451</v>
      </c>
      <c r="D40" s="136">
        <f>'3-Beidou'!F101</f>
        <v>417977.16956685984</v>
      </c>
      <c r="E40" s="136">
        <f>'3-Diona'!F101</f>
        <v>63487.633837417045</v>
      </c>
      <c r="F40" s="135"/>
      <c r="G40" s="135"/>
      <c r="H40" s="135"/>
      <c r="I40" s="135"/>
      <c r="J40" s="135"/>
      <c r="K40" s="135"/>
      <c r="L40" s="135"/>
    </row>
    <row r="41" spans="1:23" x14ac:dyDescent="0.25">
      <c r="A41" s="135" t="s">
        <v>542</v>
      </c>
      <c r="B41" s="138">
        <f>B38/$F$38</f>
        <v>0.55453060733724646</v>
      </c>
      <c r="C41" s="138">
        <f t="shared" ref="C41:E41" si="7">C38/$F$38</f>
        <v>0.27505190501230581</v>
      </c>
      <c r="D41" s="138">
        <f t="shared" si="7"/>
        <v>0.13478515303354413</v>
      </c>
      <c r="E41" s="138">
        <f t="shared" si="7"/>
        <v>3.5632334616903572E-2</v>
      </c>
      <c r="F41" s="135"/>
      <c r="G41" s="135"/>
      <c r="H41" s="135"/>
      <c r="I41" s="135"/>
      <c r="J41" s="135"/>
      <c r="K41" s="135"/>
      <c r="L41" s="135"/>
    </row>
    <row r="42" spans="1:23" x14ac:dyDescent="0.25">
      <c r="A42" s="135" t="s">
        <v>543</v>
      </c>
      <c r="B42" s="138">
        <f>B39/$G$38</f>
        <v>0.49296564082360367</v>
      </c>
      <c r="C42" s="138">
        <f>C39/$G$38</f>
        <v>0.2108221542168702</v>
      </c>
      <c r="D42" s="138">
        <f>D39/$G$38</f>
        <v>0.27216066264799443</v>
      </c>
      <c r="E42" s="138">
        <f>E39/$G$38</f>
        <v>2.4051542311531632E-2</v>
      </c>
      <c r="F42" s="135"/>
      <c r="G42" s="151"/>
      <c r="H42" s="151"/>
      <c r="I42" s="151"/>
      <c r="J42" s="151"/>
      <c r="K42" s="151"/>
      <c r="L42" s="135"/>
    </row>
    <row r="43" spans="1:23" x14ac:dyDescent="0.25">
      <c r="A43" s="135" t="s">
        <v>544</v>
      </c>
      <c r="B43" s="138">
        <f>B40/$H$38</f>
        <v>0.54517794788197604</v>
      </c>
      <c r="C43" s="138">
        <f t="shared" ref="C43:E43" si="8">C40/$H$38</f>
        <v>0.19276600131874741</v>
      </c>
      <c r="D43" s="138">
        <f t="shared" si="8"/>
        <v>0.2275004228896409</v>
      </c>
      <c r="E43" s="138">
        <f t="shared" si="8"/>
        <v>3.4555627909635553E-2</v>
      </c>
      <c r="F43" s="135"/>
      <c r="G43" s="135"/>
      <c r="H43" s="135"/>
      <c r="I43" s="135"/>
      <c r="J43" s="135"/>
      <c r="K43" s="135"/>
      <c r="L43" s="135"/>
    </row>
    <row r="44" spans="1:23" x14ac:dyDescent="0.25">
      <c r="A44" s="135" t="s">
        <v>437</v>
      </c>
      <c r="B44" s="140">
        <v>1.21</v>
      </c>
      <c r="C44" s="140">
        <v>2.11</v>
      </c>
      <c r="D44" s="140">
        <v>1.0900000000000001</v>
      </c>
      <c r="E44" s="140">
        <v>1.31</v>
      </c>
      <c r="F44" s="135"/>
      <c r="G44" s="135"/>
      <c r="H44" s="135"/>
      <c r="I44" s="135"/>
      <c r="J44" s="135"/>
      <c r="K44" s="135"/>
    </row>
    <row r="45" spans="1:23" x14ac:dyDescent="0.25">
      <c r="A45" s="135" t="s">
        <v>446</v>
      </c>
      <c r="B45" s="140">
        <v>0.46</v>
      </c>
      <c r="C45" s="140">
        <v>0.39</v>
      </c>
      <c r="D45" s="140">
        <v>0.08</v>
      </c>
      <c r="E45" s="140">
        <v>7.0000000000000007E-2</v>
      </c>
      <c r="F45" s="135"/>
      <c r="G45" s="135"/>
      <c r="H45" s="135"/>
      <c r="I45" s="135"/>
      <c r="J45" s="135"/>
      <c r="K45" s="135"/>
    </row>
    <row r="46" spans="1:23" x14ac:dyDescent="0.25">
      <c r="A46" s="135" t="s">
        <v>436</v>
      </c>
      <c r="B46" s="164" t="s">
        <v>508</v>
      </c>
      <c r="C46" s="164"/>
      <c r="D46" s="164"/>
      <c r="E46" s="164"/>
      <c r="F46" s="164"/>
      <c r="G46" s="164"/>
      <c r="H46" s="164"/>
      <c r="I46" s="164"/>
      <c r="J46" s="164"/>
      <c r="K46" s="164"/>
    </row>
    <row r="47" spans="1:23" x14ac:dyDescent="0.25">
      <c r="A47" s="135" t="s">
        <v>467</v>
      </c>
      <c r="B47" s="135" t="s">
        <v>471</v>
      </c>
      <c r="C47" s="135" t="s">
        <v>472</v>
      </c>
      <c r="D47" s="135" t="s">
        <v>497</v>
      </c>
      <c r="E47" s="135" t="s">
        <v>474</v>
      </c>
      <c r="F47" s="135"/>
      <c r="G47" s="135"/>
      <c r="H47" s="135"/>
      <c r="I47" s="135"/>
      <c r="J47" s="135"/>
      <c r="K47" s="135"/>
    </row>
    <row r="48" spans="1:23" x14ac:dyDescent="0.25">
      <c r="A48" s="135" t="s">
        <v>468</v>
      </c>
      <c r="B48" s="135" t="s">
        <v>476</v>
      </c>
      <c r="C48" s="135" t="s">
        <v>490</v>
      </c>
      <c r="D48" s="135" t="s">
        <v>477</v>
      </c>
      <c r="E48" s="135" t="s">
        <v>475</v>
      </c>
      <c r="F48" s="135"/>
      <c r="G48" s="135"/>
      <c r="H48" s="135"/>
      <c r="I48" s="135"/>
      <c r="J48" s="135"/>
      <c r="K48" s="135"/>
    </row>
    <row r="49" spans="1:13" x14ac:dyDescent="0.25">
      <c r="A49" s="135" t="s">
        <v>469</v>
      </c>
      <c r="B49" s="135">
        <v>20</v>
      </c>
      <c r="C49" s="135">
        <v>20</v>
      </c>
      <c r="D49" s="135">
        <v>20</v>
      </c>
      <c r="E49" s="135">
        <v>20</v>
      </c>
      <c r="F49" s="135"/>
      <c r="G49" s="135"/>
      <c r="H49" s="135"/>
      <c r="I49" s="135"/>
      <c r="J49" s="135"/>
      <c r="K49" s="135"/>
    </row>
    <row r="50" spans="1:13" x14ac:dyDescent="0.25">
      <c r="A50" s="135" t="s">
        <v>470</v>
      </c>
      <c r="B50" s="135">
        <v>90</v>
      </c>
      <c r="C50" s="135">
        <v>90</v>
      </c>
      <c r="D50" s="135">
        <v>90</v>
      </c>
      <c r="E50" s="135">
        <v>90</v>
      </c>
      <c r="F50" s="135"/>
      <c r="G50" s="135"/>
      <c r="H50" s="135"/>
      <c r="I50" s="135"/>
      <c r="J50" s="135"/>
      <c r="K50" s="135"/>
    </row>
    <row r="51" spans="1:13" x14ac:dyDescent="0.25">
      <c r="A51" s="135" t="s">
        <v>478</v>
      </c>
      <c r="B51" s="145" t="s">
        <v>479</v>
      </c>
      <c r="C51" s="145" t="s">
        <v>479</v>
      </c>
      <c r="D51" s="145" t="s">
        <v>479</v>
      </c>
      <c r="E51" s="145" t="s">
        <v>479</v>
      </c>
      <c r="F51" s="135"/>
      <c r="G51" s="135"/>
      <c r="H51" s="135"/>
      <c r="I51" s="135"/>
      <c r="J51" s="135"/>
      <c r="K51" s="135"/>
    </row>
    <row r="52" spans="1:13" x14ac:dyDescent="0.25">
      <c r="A52" s="135" t="s">
        <v>480</v>
      </c>
      <c r="B52" s="135" t="s">
        <v>498</v>
      </c>
      <c r="C52" s="135" t="s">
        <v>482</v>
      </c>
      <c r="D52" s="135" t="s">
        <v>491</v>
      </c>
      <c r="E52" s="135" t="s">
        <v>483</v>
      </c>
      <c r="F52" s="135"/>
      <c r="G52" s="135"/>
      <c r="H52" s="135"/>
      <c r="I52" s="135"/>
      <c r="J52" s="135"/>
      <c r="K52" s="135"/>
    </row>
    <row r="53" spans="1:13" x14ac:dyDescent="0.25">
      <c r="A53" s="135" t="s">
        <v>487</v>
      </c>
      <c r="B53" s="135" t="s">
        <v>488</v>
      </c>
      <c r="C53" s="135" t="s">
        <v>488</v>
      </c>
      <c r="D53" s="135" t="s">
        <v>489</v>
      </c>
      <c r="E53" s="135" t="s">
        <v>489</v>
      </c>
      <c r="F53" s="135"/>
      <c r="G53" s="135"/>
      <c r="H53" s="135"/>
      <c r="I53" s="135"/>
      <c r="J53" s="135"/>
      <c r="K53" s="135"/>
    </row>
    <row r="54" spans="1:13" x14ac:dyDescent="0.25">
      <c r="B54" s="135"/>
      <c r="C54" s="135"/>
      <c r="D54" s="135"/>
      <c r="E54" s="135"/>
      <c r="F54" s="135"/>
      <c r="G54" s="135"/>
      <c r="H54" s="135"/>
      <c r="I54" s="135"/>
      <c r="J54" s="135"/>
      <c r="K54" s="135"/>
    </row>
    <row r="55" spans="1:13" x14ac:dyDescent="0.25">
      <c r="B55" s="135"/>
      <c r="C55" s="135"/>
      <c r="D55" s="135"/>
      <c r="E55" s="135"/>
      <c r="F55" s="135"/>
      <c r="G55" s="135"/>
      <c r="H55" s="135"/>
      <c r="I55" s="135"/>
      <c r="J55" s="135"/>
      <c r="K55" s="135"/>
    </row>
    <row r="56" spans="1:13" x14ac:dyDescent="0.25">
      <c r="B56" s="135"/>
      <c r="C56" s="135"/>
      <c r="D56" s="135"/>
      <c r="E56" s="135"/>
      <c r="F56" s="135"/>
      <c r="G56" s="135"/>
      <c r="H56" s="135"/>
      <c r="I56" s="135"/>
      <c r="J56" s="135"/>
      <c r="K56" s="135"/>
    </row>
    <row r="57" spans="1:13" x14ac:dyDescent="0.25">
      <c r="B57" s="137" t="s">
        <v>432</v>
      </c>
      <c r="C57" s="137" t="s">
        <v>439</v>
      </c>
      <c r="D57" s="137" t="s">
        <v>445</v>
      </c>
      <c r="E57" s="137" t="s">
        <v>435</v>
      </c>
      <c r="F57" s="137" t="s">
        <v>537</v>
      </c>
      <c r="G57" s="137" t="s">
        <v>536</v>
      </c>
      <c r="H57" s="137" t="s">
        <v>538</v>
      </c>
      <c r="I57" s="135" t="s">
        <v>438</v>
      </c>
      <c r="J57" s="135"/>
      <c r="K57" s="135"/>
    </row>
    <row r="58" spans="1:13" x14ac:dyDescent="0.25">
      <c r="A58" s="137" t="s">
        <v>551</v>
      </c>
      <c r="B58" s="136">
        <f>'4-Eula'!F100</f>
        <v>402571.44455044321</v>
      </c>
      <c r="C58" s="136">
        <f>'4-Fischl'!F100</f>
        <v>67910.372658160733</v>
      </c>
      <c r="D58" s="136">
        <f>'4-Beidou'!F100</f>
        <v>108793.98576772182</v>
      </c>
      <c r="E58" s="136">
        <f>'4-Diona'!F100</f>
        <v>23408.884975337827</v>
      </c>
      <c r="F58" s="135">
        <f>SUM(B58:E58)</f>
        <v>602684.68795166351</v>
      </c>
      <c r="G58" s="136">
        <f>SUM(B59:E59)</f>
        <v>1165126.0626118057</v>
      </c>
      <c r="H58" s="136">
        <f>SUM(B60:E60)</f>
        <v>1443871.2208529846</v>
      </c>
      <c r="I58" s="136">
        <v>22</v>
      </c>
      <c r="J58" s="135"/>
      <c r="K58" s="135"/>
    </row>
    <row r="59" spans="1:13" x14ac:dyDescent="0.25">
      <c r="A59" s="137" t="s">
        <v>552</v>
      </c>
      <c r="B59" s="136">
        <f>'4-Eula'!F97</f>
        <v>640160.53510390141</v>
      </c>
      <c r="C59" s="136">
        <f>'4-Fischl'!F97</f>
        <v>70489.554285889957</v>
      </c>
      <c r="D59" s="136">
        <f>'4-Beidou'!F97</f>
        <v>425792.60748444626</v>
      </c>
      <c r="E59" s="136">
        <f>'4-Diona'!F97</f>
        <v>28683.36573756818</v>
      </c>
      <c r="F59" s="135"/>
      <c r="G59" s="135"/>
      <c r="H59" s="135"/>
      <c r="I59" s="135"/>
      <c r="J59" s="135"/>
      <c r="K59" s="135"/>
      <c r="M59" s="13"/>
    </row>
    <row r="60" spans="1:13" x14ac:dyDescent="0.25">
      <c r="A60" s="137" t="s">
        <v>553</v>
      </c>
      <c r="B60" s="136">
        <f>'4-Eula'!F101</f>
        <v>859810.84945018787</v>
      </c>
      <c r="C60" s="136">
        <f>'4-Fischl'!F101</f>
        <v>79564.408729945688</v>
      </c>
      <c r="D60" s="136">
        <f>'4-Beidou'!F101</f>
        <v>450741.12170246441</v>
      </c>
      <c r="E60" s="136">
        <f>'4-Diona'!F101</f>
        <v>53754.840970386766</v>
      </c>
      <c r="F60" s="135"/>
      <c r="G60" s="135"/>
      <c r="H60" s="135"/>
      <c r="I60" s="135"/>
      <c r="J60" s="135"/>
      <c r="K60" s="135"/>
    </row>
    <row r="61" spans="1:13" x14ac:dyDescent="0.25">
      <c r="A61" s="135" t="s">
        <v>542</v>
      </c>
      <c r="B61" s="138">
        <f>B58/$F$58</f>
        <v>0.66796361778935753</v>
      </c>
      <c r="C61" s="138">
        <f t="shared" ref="C61:E61" si="9">C58/$F$58</f>
        <v>0.11267977105734479</v>
      </c>
      <c r="D61" s="138">
        <f t="shared" si="9"/>
        <v>0.18051559620251595</v>
      </c>
      <c r="E61" s="138">
        <f t="shared" si="9"/>
        <v>3.8841014950781801E-2</v>
      </c>
      <c r="F61" s="135"/>
      <c r="G61" s="135"/>
      <c r="H61" s="135"/>
      <c r="I61" s="135"/>
      <c r="J61" s="135"/>
      <c r="K61" s="135"/>
    </row>
    <row r="62" spans="1:13" x14ac:dyDescent="0.25">
      <c r="A62" s="135" t="s">
        <v>543</v>
      </c>
      <c r="B62" s="138">
        <f>B59/$G$58</f>
        <v>0.54943456819503722</v>
      </c>
      <c r="C62" s="138">
        <f t="shared" ref="C62:E62" si="10">C59/$G$58</f>
        <v>6.0499508635037308E-2</v>
      </c>
      <c r="D62" s="138">
        <f t="shared" si="10"/>
        <v>0.36544767227158914</v>
      </c>
      <c r="E62" s="138">
        <f t="shared" si="10"/>
        <v>2.4618250898336348E-2</v>
      </c>
      <c r="F62" s="135"/>
      <c r="G62" s="151"/>
      <c r="H62" s="151"/>
      <c r="I62" s="151"/>
      <c r="J62" s="151"/>
      <c r="K62" s="151"/>
    </row>
    <row r="63" spans="1:13" x14ac:dyDescent="0.25">
      <c r="A63" s="135" t="s">
        <v>544</v>
      </c>
      <c r="B63" s="138">
        <f>B60/$H$58</f>
        <v>0.59548998347805848</v>
      </c>
      <c r="C63" s="138">
        <f t="shared" ref="C63:E63" si="11">C60/$H$58</f>
        <v>5.5104920425619423E-2</v>
      </c>
      <c r="D63" s="138">
        <f t="shared" si="11"/>
        <v>0.31217543170933454</v>
      </c>
      <c r="E63" s="138">
        <f t="shared" si="11"/>
        <v>3.7229664386987667E-2</v>
      </c>
      <c r="F63" s="135"/>
      <c r="G63" s="135"/>
      <c r="H63" s="135"/>
      <c r="I63" s="135"/>
      <c r="J63" s="135"/>
      <c r="K63" s="135"/>
    </row>
    <row r="64" spans="1:13" x14ac:dyDescent="0.25">
      <c r="A64" s="135" t="s">
        <v>437</v>
      </c>
      <c r="B64" s="140">
        <v>1.44</v>
      </c>
      <c r="C64" s="140">
        <v>1</v>
      </c>
      <c r="D64" s="140">
        <v>1.55</v>
      </c>
      <c r="E64" s="140">
        <v>1.78</v>
      </c>
      <c r="F64" s="135"/>
      <c r="G64" s="135"/>
      <c r="H64" s="135"/>
      <c r="I64" s="135"/>
      <c r="J64" s="135"/>
      <c r="K64" s="135"/>
    </row>
    <row r="65" spans="1:13" x14ac:dyDescent="0.25">
      <c r="A65" s="135" t="s">
        <v>446</v>
      </c>
      <c r="B65" s="140">
        <v>0.77</v>
      </c>
      <c r="C65" s="138">
        <v>5.2272727272727269E-2</v>
      </c>
      <c r="D65" s="138">
        <v>9.4545454545454544E-2</v>
      </c>
      <c r="E65" s="138">
        <v>8.6363636363636365E-2</v>
      </c>
      <c r="F65" s="135"/>
      <c r="G65" s="135"/>
      <c r="H65" s="135"/>
      <c r="I65" s="135"/>
      <c r="J65" s="135"/>
      <c r="K65" s="135"/>
    </row>
    <row r="66" spans="1:13" x14ac:dyDescent="0.25">
      <c r="A66" s="135" t="s">
        <v>436</v>
      </c>
      <c r="B66" s="164" t="s">
        <v>507</v>
      </c>
      <c r="C66" s="164"/>
      <c r="D66" s="164"/>
      <c r="E66" s="164"/>
      <c r="F66" s="164"/>
      <c r="G66" s="164"/>
      <c r="H66" s="164"/>
      <c r="I66" s="164"/>
      <c r="J66" s="164"/>
      <c r="K66" s="164"/>
    </row>
    <row r="67" spans="1:13" x14ac:dyDescent="0.25">
      <c r="A67" s="135" t="s">
        <v>467</v>
      </c>
      <c r="B67" s="135" t="s">
        <v>471</v>
      </c>
      <c r="C67" s="135" t="s">
        <v>484</v>
      </c>
      <c r="D67" s="135" t="s">
        <v>497</v>
      </c>
      <c r="E67" s="135" t="s">
        <v>474</v>
      </c>
      <c r="F67" s="151"/>
      <c r="G67" s="135"/>
      <c r="H67" s="135"/>
      <c r="I67" s="135"/>
      <c r="J67" s="135"/>
      <c r="K67" s="135"/>
    </row>
    <row r="68" spans="1:13" x14ac:dyDescent="0.25">
      <c r="A68" s="135" t="s">
        <v>468</v>
      </c>
      <c r="B68" s="135" t="s">
        <v>476</v>
      </c>
      <c r="C68" s="135" t="s">
        <v>501</v>
      </c>
      <c r="D68" s="135" t="s">
        <v>477</v>
      </c>
      <c r="E68" s="135" t="s">
        <v>475</v>
      </c>
      <c r="F68" s="135"/>
      <c r="G68" s="135"/>
      <c r="H68" s="135"/>
      <c r="I68" s="135"/>
      <c r="J68" s="135"/>
      <c r="K68" s="135"/>
    </row>
    <row r="69" spans="1:13" x14ac:dyDescent="0.25">
      <c r="A69" s="135" t="s">
        <v>469</v>
      </c>
      <c r="B69" s="135">
        <v>20</v>
      </c>
      <c r="C69" s="135">
        <v>20</v>
      </c>
      <c r="D69" s="135">
        <v>20</v>
      </c>
      <c r="E69" s="135">
        <v>20</v>
      </c>
      <c r="F69" s="135"/>
      <c r="G69" s="135"/>
      <c r="H69" s="135"/>
      <c r="I69" s="135"/>
      <c r="J69" s="135"/>
      <c r="K69" s="135"/>
    </row>
    <row r="70" spans="1:13" x14ac:dyDescent="0.25">
      <c r="A70" s="135" t="s">
        <v>470</v>
      </c>
      <c r="B70" s="135">
        <v>90</v>
      </c>
      <c r="C70" s="135">
        <v>90</v>
      </c>
      <c r="D70" s="135">
        <v>90</v>
      </c>
      <c r="E70" s="135">
        <v>90</v>
      </c>
      <c r="F70" s="135"/>
      <c r="G70" s="135"/>
      <c r="H70" s="135"/>
      <c r="I70" s="135"/>
      <c r="J70" s="135"/>
      <c r="K70" s="135"/>
    </row>
    <row r="71" spans="1:13" x14ac:dyDescent="0.25">
      <c r="A71" s="135" t="s">
        <v>478</v>
      </c>
      <c r="B71" s="145" t="s">
        <v>479</v>
      </c>
      <c r="C71" s="145" t="s">
        <v>479</v>
      </c>
      <c r="D71" s="145" t="s">
        <v>479</v>
      </c>
      <c r="E71" s="145" t="s">
        <v>479</v>
      </c>
      <c r="F71" s="135"/>
      <c r="G71" s="135"/>
      <c r="H71" s="135"/>
      <c r="I71" s="135"/>
      <c r="J71" s="135"/>
      <c r="K71" s="135"/>
    </row>
    <row r="72" spans="1:13" x14ac:dyDescent="0.25">
      <c r="A72" s="135" t="s">
        <v>480</v>
      </c>
      <c r="B72" s="135" t="s">
        <v>481</v>
      </c>
      <c r="C72" s="135" t="s">
        <v>483</v>
      </c>
      <c r="D72" s="135" t="s">
        <v>514</v>
      </c>
      <c r="E72" s="135" t="s">
        <v>483</v>
      </c>
      <c r="F72" s="135"/>
      <c r="G72" s="135"/>
      <c r="H72" s="135"/>
      <c r="I72" s="135"/>
      <c r="J72" s="135"/>
      <c r="K72" s="135"/>
    </row>
    <row r="73" spans="1:13" x14ac:dyDescent="0.25">
      <c r="A73" s="135" t="s">
        <v>487</v>
      </c>
      <c r="B73" s="135" t="s">
        <v>488</v>
      </c>
      <c r="C73" s="135" t="s">
        <v>489</v>
      </c>
      <c r="D73" s="135" t="s">
        <v>489</v>
      </c>
      <c r="E73" s="135" t="s">
        <v>489</v>
      </c>
      <c r="F73" s="135"/>
      <c r="G73" s="135"/>
      <c r="H73" s="135"/>
      <c r="I73" s="135"/>
      <c r="J73" s="135"/>
      <c r="K73" s="135"/>
    </row>
    <row r="74" spans="1:13" x14ac:dyDescent="0.25">
      <c r="B74" s="135"/>
      <c r="C74" s="135"/>
      <c r="D74" s="135"/>
      <c r="E74" s="135"/>
      <c r="F74" s="135"/>
      <c r="G74" s="135"/>
      <c r="H74" s="135"/>
      <c r="I74" s="135"/>
      <c r="J74" s="135"/>
      <c r="K74" s="135"/>
    </row>
    <row r="75" spans="1:13" x14ac:dyDescent="0.25">
      <c r="B75" s="135"/>
      <c r="C75" s="135"/>
      <c r="D75" s="135"/>
      <c r="E75" s="135"/>
      <c r="F75" s="135"/>
      <c r="G75" s="135"/>
      <c r="H75" s="135"/>
      <c r="I75" s="135"/>
      <c r="J75" s="135"/>
      <c r="K75" s="135"/>
    </row>
    <row r="76" spans="1:13" x14ac:dyDescent="0.25">
      <c r="B76" s="137" t="s">
        <v>432</v>
      </c>
      <c r="C76" s="137" t="s">
        <v>433</v>
      </c>
      <c r="D76" s="137" t="s">
        <v>440</v>
      </c>
      <c r="E76" s="137" t="s">
        <v>435</v>
      </c>
      <c r="F76" s="137" t="s">
        <v>537</v>
      </c>
      <c r="G76" s="137" t="s">
        <v>536</v>
      </c>
      <c r="H76" s="137" t="s">
        <v>538</v>
      </c>
      <c r="I76" s="135" t="s">
        <v>438</v>
      </c>
      <c r="J76" s="135"/>
      <c r="K76" s="135"/>
    </row>
    <row r="77" spans="1:13" x14ac:dyDescent="0.25">
      <c r="A77" s="137" t="s">
        <v>554</v>
      </c>
      <c r="B77" s="136">
        <f>'5-Eula'!F100</f>
        <v>460239.43932821322</v>
      </c>
      <c r="C77" s="136">
        <f>'5-Raiden'!F100</f>
        <v>212748.47425927379</v>
      </c>
      <c r="D77" s="136">
        <f>'5-Rosaria'!F100</f>
        <v>98091.254489297804</v>
      </c>
      <c r="E77" s="136">
        <f>'5-Diona'!F100</f>
        <v>24554.303518697339</v>
      </c>
      <c r="F77" s="135">
        <f>SUM(B77:E77)</f>
        <v>795633.4715954822</v>
      </c>
      <c r="G77" s="136">
        <f>SUM(B78:E78)</f>
        <v>1329217.0025403881</v>
      </c>
      <c r="H77" s="136">
        <f>SUM(B79:E79)</f>
        <v>1814560.3767199949</v>
      </c>
      <c r="I77" s="136">
        <v>25.9</v>
      </c>
      <c r="J77" s="135"/>
      <c r="K77" s="135"/>
    </row>
    <row r="78" spans="1:13" x14ac:dyDescent="0.25">
      <c r="A78" s="137" t="s">
        <v>555</v>
      </c>
      <c r="B78" s="136">
        <f>'5-Eula'!F97</f>
        <v>794071.90818507492</v>
      </c>
      <c r="C78" s="136">
        <f>'5-Raiden'!F97</f>
        <v>309557.74442750763</v>
      </c>
      <c r="D78" s="136">
        <f>'5-Rosaria'!F97</f>
        <v>182618.26219256374</v>
      </c>
      <c r="E78" s="136">
        <f>'5-Diona'!F97</f>
        <v>42969.087735241832</v>
      </c>
      <c r="F78" s="135"/>
      <c r="G78" s="135"/>
      <c r="H78" s="135"/>
      <c r="I78" s="135"/>
      <c r="J78" s="135"/>
      <c r="K78" s="135"/>
    </row>
    <row r="79" spans="1:13" x14ac:dyDescent="0.25">
      <c r="A79" s="137" t="s">
        <v>556</v>
      </c>
      <c r="B79" s="136">
        <f>'5-Eula'!F101</f>
        <v>1119751.7309193732</v>
      </c>
      <c r="C79" s="136">
        <f>'5-Raiden'!F101</f>
        <v>363277.79360006482</v>
      </c>
      <c r="D79" s="136">
        <f>'5-Rosaria'!F101</f>
        <v>270146.98024877079</v>
      </c>
      <c r="E79" s="136">
        <f>'5-Diona'!F101</f>
        <v>61383.871951786328</v>
      </c>
      <c r="F79" s="135"/>
      <c r="G79" s="135"/>
      <c r="H79" s="135"/>
      <c r="I79" s="135"/>
      <c r="J79" s="135"/>
      <c r="K79" s="135"/>
    </row>
    <row r="80" spans="1:13" x14ac:dyDescent="0.25">
      <c r="A80" s="135" t="s">
        <v>542</v>
      </c>
      <c r="B80" s="138">
        <f>B77/$F$77</f>
        <v>0.5784566081732283</v>
      </c>
      <c r="C80" s="138">
        <f t="shared" ref="C80:E80" si="12">C77/$F$77</f>
        <v>0.26739507807866569</v>
      </c>
      <c r="D80" s="138">
        <f t="shared" si="12"/>
        <v>0.12328698828192285</v>
      </c>
      <c r="E80" s="138">
        <f t="shared" si="12"/>
        <v>3.0861325466183122E-2</v>
      </c>
      <c r="F80" s="135"/>
      <c r="G80" s="135"/>
      <c r="H80" s="135"/>
      <c r="I80" s="135"/>
      <c r="J80" s="135"/>
      <c r="K80" s="135"/>
      <c r="M80" s="13"/>
    </row>
    <row r="81" spans="1:11" x14ac:dyDescent="0.25">
      <c r="A81" s="135" t="s">
        <v>543</v>
      </c>
      <c r="B81" s="138">
        <f>B78/$G$77</f>
        <v>0.59739824774092676</v>
      </c>
      <c r="C81" s="138">
        <f>C78/$G$77</f>
        <v>0.23288728916037299</v>
      </c>
      <c r="D81" s="138">
        <f>D78/$G$77</f>
        <v>0.13738784701335094</v>
      </c>
      <c r="E81" s="138">
        <f>E78/$G$77</f>
        <v>3.2326616085349251E-2</v>
      </c>
      <c r="F81" s="135"/>
      <c r="G81" s="135"/>
      <c r="H81" s="135"/>
      <c r="I81" s="135"/>
      <c r="J81" s="135"/>
      <c r="K81" s="135"/>
    </row>
    <row r="82" spans="1:11" x14ac:dyDescent="0.25">
      <c r="A82" s="135" t="s">
        <v>544</v>
      </c>
      <c r="B82" s="138">
        <f>B79/$H$77</f>
        <v>0.61709257255106609</v>
      </c>
      <c r="C82" s="138">
        <f t="shared" ref="C82:E82" si="13">C79/$H$77</f>
        <v>0.20020154647966407</v>
      </c>
      <c r="D82" s="138">
        <f t="shared" si="13"/>
        <v>0.14887737201508242</v>
      </c>
      <c r="E82" s="138">
        <f t="shared" si="13"/>
        <v>3.3828508954187576E-2</v>
      </c>
      <c r="F82" s="135"/>
      <c r="G82" s="135"/>
      <c r="H82" s="135"/>
      <c r="I82" s="135"/>
      <c r="J82" s="135"/>
      <c r="K82" s="135"/>
    </row>
    <row r="83" spans="1:11" x14ac:dyDescent="0.25">
      <c r="A83" s="135" t="s">
        <v>437</v>
      </c>
      <c r="B83" s="140">
        <v>1.25</v>
      </c>
      <c r="C83" s="140">
        <v>2.11</v>
      </c>
      <c r="D83" s="140">
        <v>1</v>
      </c>
      <c r="E83" s="140">
        <v>1.33</v>
      </c>
      <c r="F83" s="135"/>
      <c r="G83" s="135"/>
      <c r="H83" s="135"/>
      <c r="I83" s="135"/>
      <c r="J83" s="135"/>
      <c r="K83" s="135"/>
    </row>
    <row r="84" spans="1:11" x14ac:dyDescent="0.25">
      <c r="A84" s="135" t="s">
        <v>446</v>
      </c>
      <c r="B84" s="138">
        <v>0.40154440154440157</v>
      </c>
      <c r="C84" s="138">
        <v>0.41776061776061779</v>
      </c>
      <c r="D84" s="138">
        <v>9.1505791505791509E-2</v>
      </c>
      <c r="E84" s="140">
        <v>0.09</v>
      </c>
      <c r="F84" s="135"/>
      <c r="G84" s="135"/>
      <c r="H84" s="135"/>
      <c r="I84" s="135"/>
      <c r="J84" s="135"/>
      <c r="K84" s="135"/>
    </row>
    <row r="85" spans="1:11" x14ac:dyDescent="0.25">
      <c r="A85" s="135" t="s">
        <v>436</v>
      </c>
      <c r="B85" s="164" t="s">
        <v>506</v>
      </c>
      <c r="C85" s="164"/>
      <c r="D85" s="164"/>
      <c r="E85" s="164"/>
      <c r="F85" s="164"/>
      <c r="G85" s="164"/>
      <c r="H85" s="164"/>
      <c r="I85" s="164"/>
      <c r="J85" s="164"/>
      <c r="K85" s="164"/>
    </row>
    <row r="86" spans="1:11" x14ac:dyDescent="0.25">
      <c r="A86" s="135" t="s">
        <v>467</v>
      </c>
      <c r="B86" s="135" t="s">
        <v>471</v>
      </c>
      <c r="C86" s="135" t="s">
        <v>472</v>
      </c>
      <c r="D86" s="135" t="s">
        <v>485</v>
      </c>
      <c r="E86" s="135" t="s">
        <v>474</v>
      </c>
      <c r="F86" s="135"/>
      <c r="G86" s="135"/>
      <c r="H86" s="135"/>
      <c r="I86" s="135"/>
      <c r="J86" s="135"/>
      <c r="K86" s="135"/>
    </row>
    <row r="87" spans="1:11" x14ac:dyDescent="0.25">
      <c r="A87" s="135" t="s">
        <v>468</v>
      </c>
      <c r="B87" s="135" t="s">
        <v>476</v>
      </c>
      <c r="C87" s="135" t="s">
        <v>477</v>
      </c>
      <c r="D87" s="135" t="s">
        <v>503</v>
      </c>
      <c r="E87" s="135" t="s">
        <v>475</v>
      </c>
      <c r="F87" s="151"/>
      <c r="G87" s="151"/>
      <c r="H87" s="151"/>
      <c r="I87" s="151"/>
      <c r="J87" s="151"/>
      <c r="K87" s="151"/>
    </row>
    <row r="88" spans="1:11" x14ac:dyDescent="0.25">
      <c r="A88" s="135" t="s">
        <v>469</v>
      </c>
      <c r="B88" s="135">
        <v>20</v>
      </c>
      <c r="C88" s="135">
        <v>20</v>
      </c>
      <c r="D88" s="135">
        <v>20</v>
      </c>
      <c r="E88" s="135">
        <v>20</v>
      </c>
      <c r="F88" s="135"/>
      <c r="G88" s="135"/>
      <c r="H88" s="135"/>
      <c r="I88" s="135"/>
      <c r="J88" s="135"/>
      <c r="K88" s="135"/>
    </row>
    <row r="89" spans="1:11" x14ac:dyDescent="0.25">
      <c r="A89" s="135" t="s">
        <v>470</v>
      </c>
      <c r="B89" s="135">
        <v>90</v>
      </c>
      <c r="C89" s="135">
        <v>90</v>
      </c>
      <c r="D89" s="135">
        <v>90</v>
      </c>
      <c r="E89" s="135">
        <v>90</v>
      </c>
      <c r="F89" s="135"/>
      <c r="G89" s="135"/>
      <c r="H89" s="135"/>
      <c r="I89" s="135"/>
      <c r="J89" s="135"/>
      <c r="K89" s="135"/>
    </row>
    <row r="90" spans="1:11" x14ac:dyDescent="0.25">
      <c r="A90" s="135" t="s">
        <v>478</v>
      </c>
      <c r="B90" s="145" t="s">
        <v>479</v>
      </c>
      <c r="C90" s="145" t="s">
        <v>479</v>
      </c>
      <c r="D90" s="145" t="s">
        <v>479</v>
      </c>
      <c r="E90" s="145" t="s">
        <v>479</v>
      </c>
      <c r="F90" s="135"/>
      <c r="G90" s="135"/>
      <c r="H90" s="135"/>
      <c r="I90" s="135"/>
      <c r="J90" s="135"/>
      <c r="K90" s="135"/>
    </row>
    <row r="91" spans="1:11" x14ac:dyDescent="0.25">
      <c r="A91" s="135" t="s">
        <v>480</v>
      </c>
      <c r="B91" s="135" t="s">
        <v>481</v>
      </c>
      <c r="C91" s="135" t="s">
        <v>482</v>
      </c>
      <c r="D91" s="135" t="s">
        <v>483</v>
      </c>
      <c r="E91" s="135" t="s">
        <v>483</v>
      </c>
      <c r="F91" s="135"/>
      <c r="G91" s="135"/>
      <c r="H91" s="135"/>
      <c r="I91" s="135"/>
      <c r="J91" s="135"/>
      <c r="K91" s="135"/>
    </row>
    <row r="92" spans="1:11" x14ac:dyDescent="0.25">
      <c r="A92" s="135" t="s">
        <v>487</v>
      </c>
      <c r="B92" s="135" t="s">
        <v>488</v>
      </c>
      <c r="C92" s="135" t="s">
        <v>488</v>
      </c>
      <c r="D92" s="135" t="s">
        <v>489</v>
      </c>
      <c r="E92" s="135" t="s">
        <v>489</v>
      </c>
      <c r="F92" s="135"/>
      <c r="G92" s="135"/>
      <c r="H92" s="135"/>
      <c r="I92" s="135"/>
      <c r="J92" s="135"/>
      <c r="K92" s="135"/>
    </row>
    <row r="93" spans="1:11" x14ac:dyDescent="0.25">
      <c r="B93" s="135"/>
      <c r="C93" s="135"/>
      <c r="D93" s="135"/>
      <c r="E93" s="135"/>
      <c r="F93" s="135"/>
      <c r="G93" s="135"/>
      <c r="H93" s="135"/>
      <c r="I93" s="135"/>
      <c r="J93" s="135"/>
      <c r="K93" s="135"/>
    </row>
    <row r="94" spans="1:11" x14ac:dyDescent="0.25">
      <c r="B94" s="135"/>
      <c r="C94" s="135"/>
      <c r="D94" s="135"/>
      <c r="E94" s="135"/>
      <c r="F94" s="135"/>
      <c r="G94" s="135"/>
      <c r="H94" s="135"/>
      <c r="I94" s="135"/>
      <c r="J94" s="135"/>
      <c r="K94" s="135"/>
    </row>
    <row r="95" spans="1:11" x14ac:dyDescent="0.25">
      <c r="B95" s="135"/>
      <c r="C95" s="135"/>
      <c r="D95" s="135"/>
      <c r="E95" s="135"/>
      <c r="F95" s="135"/>
      <c r="G95" s="135"/>
      <c r="H95" s="135"/>
      <c r="I95" s="135"/>
      <c r="J95" s="135"/>
      <c r="K95" s="135"/>
    </row>
    <row r="96" spans="1:11" x14ac:dyDescent="0.25">
      <c r="A96" s="137"/>
      <c r="B96" s="137" t="s">
        <v>432</v>
      </c>
      <c r="C96" s="137" t="s">
        <v>433</v>
      </c>
      <c r="D96" s="137" t="s">
        <v>440</v>
      </c>
      <c r="E96" s="137" t="s">
        <v>504</v>
      </c>
      <c r="F96" s="137" t="s">
        <v>537</v>
      </c>
      <c r="G96" s="137" t="s">
        <v>536</v>
      </c>
      <c r="H96" s="137" t="s">
        <v>538</v>
      </c>
      <c r="I96" s="135" t="s">
        <v>438</v>
      </c>
      <c r="J96" s="135"/>
      <c r="K96" s="135"/>
    </row>
    <row r="97" spans="1:16" x14ac:dyDescent="0.25">
      <c r="A97" s="137" t="s">
        <v>557</v>
      </c>
      <c r="B97" s="136">
        <f>'6-Eula'!F100</f>
        <v>505904.65505191992</v>
      </c>
      <c r="C97" s="136">
        <f>'6-Raiden'!F100</f>
        <v>245603.56577232978</v>
      </c>
      <c r="D97" s="136">
        <f>'6-Rosaria'!F100</f>
        <v>126770.98992782805</v>
      </c>
      <c r="E97" s="136">
        <f>'6-Zhongli'!F100</f>
        <v>16829.040574362225</v>
      </c>
      <c r="F97" s="136">
        <f>SUM(B97:E97)</f>
        <v>895108.25132644002</v>
      </c>
      <c r="G97" s="136">
        <f>SUM(B98:E98)</f>
        <v>1484699.3592040993</v>
      </c>
      <c r="H97" s="136">
        <f>SUM(B99:E99)</f>
        <v>2020602.9013195508</v>
      </c>
      <c r="I97" s="135">
        <v>26.1</v>
      </c>
      <c r="J97" s="135"/>
      <c r="K97" s="135"/>
    </row>
    <row r="98" spans="1:16" x14ac:dyDescent="0.25">
      <c r="A98" s="137" t="s">
        <v>558</v>
      </c>
      <c r="B98" s="136">
        <f>'6-Eula'!F97</f>
        <v>873499.60168545868</v>
      </c>
      <c r="C98" s="136">
        <f>'6-Raiden'!F97</f>
        <v>356245.20372297626</v>
      </c>
      <c r="D98" s="136">
        <f>'6-Rosaria'!F97</f>
        <v>238125.51322130195</v>
      </c>
      <c r="E98" s="136">
        <f>'6-Zhongli'!F97</f>
        <v>16829.040574362225</v>
      </c>
      <c r="F98" s="136"/>
      <c r="G98" s="136"/>
      <c r="H98" s="136"/>
      <c r="I98" s="135"/>
      <c r="J98" s="135"/>
      <c r="K98" s="135"/>
    </row>
    <row r="99" spans="1:16" x14ac:dyDescent="0.25">
      <c r="A99" s="137" t="s">
        <v>559</v>
      </c>
      <c r="B99" s="136">
        <f>'6-Eula'!F101</f>
        <v>1231419.9108611397</v>
      </c>
      <c r="C99" s="136">
        <f>'6-Raiden'!F101</f>
        <v>418192.30081678747</v>
      </c>
      <c r="D99" s="136">
        <f>'6-Rosaria'!F101</f>
        <v>352052.93110301107</v>
      </c>
      <c r="E99" s="136">
        <f>'6-Zhongli'!F101</f>
        <v>18937.758538612659</v>
      </c>
      <c r="F99" s="136"/>
      <c r="G99" s="136"/>
      <c r="H99" s="136"/>
      <c r="I99" s="135"/>
      <c r="J99" s="135"/>
      <c r="K99" s="135"/>
    </row>
    <row r="100" spans="1:16" x14ac:dyDescent="0.25">
      <c r="A100" s="135" t="s">
        <v>542</v>
      </c>
      <c r="B100" s="138">
        <f>B97/$F$97</f>
        <v>0.56518823762626658</v>
      </c>
      <c r="C100" s="138">
        <f t="shared" ref="C100:E100" si="14">C97/$F$97</f>
        <v>0.27438420482480813</v>
      </c>
      <c r="D100" s="138">
        <f t="shared" si="14"/>
        <v>0.14162643427760729</v>
      </c>
      <c r="E100" s="138">
        <f t="shared" si="14"/>
        <v>1.8801123271317926E-2</v>
      </c>
      <c r="F100" s="135"/>
      <c r="G100" s="135"/>
      <c r="H100" s="135"/>
      <c r="I100" s="135"/>
      <c r="J100" s="135"/>
      <c r="K100" s="135"/>
      <c r="P100" s="153"/>
    </row>
    <row r="101" spans="1:16" x14ac:dyDescent="0.25">
      <c r="A101" s="135" t="s">
        <v>543</v>
      </c>
      <c r="B101" s="138">
        <f>B98/$G$97</f>
        <v>0.58833432928381835</v>
      </c>
      <c r="C101" s="138">
        <f t="shared" ref="C101:E101" si="15">C98/$G$97</f>
        <v>0.23994433722524683</v>
      </c>
      <c r="D101" s="138">
        <f t="shared" si="15"/>
        <v>0.16038635144892469</v>
      </c>
      <c r="E101" s="138">
        <f t="shared" si="15"/>
        <v>1.1334982042010004E-2</v>
      </c>
      <c r="F101" s="135"/>
      <c r="G101" s="135"/>
      <c r="H101" s="135"/>
      <c r="I101" s="135"/>
      <c r="J101" s="135"/>
      <c r="K101" s="135"/>
    </row>
    <row r="102" spans="1:16" x14ac:dyDescent="0.25">
      <c r="A102" s="135" t="s">
        <v>544</v>
      </c>
      <c r="B102" s="138">
        <f>B99/$H$97</f>
        <v>0.60943192254992962</v>
      </c>
      <c r="C102" s="138">
        <f t="shared" ref="C102:E102" si="16">C99/$H$97</f>
        <v>0.20696411974054268</v>
      </c>
      <c r="D102" s="138">
        <f t="shared" si="16"/>
        <v>0.17423162704215836</v>
      </c>
      <c r="E102" s="138">
        <f t="shared" si="16"/>
        <v>9.3723306673693246E-3</v>
      </c>
      <c r="F102" s="135"/>
      <c r="G102" s="135"/>
      <c r="H102" s="135"/>
      <c r="I102" s="135"/>
      <c r="J102" s="135"/>
      <c r="K102" s="135"/>
    </row>
    <row r="103" spans="1:16" x14ac:dyDescent="0.25">
      <c r="A103" s="135" t="s">
        <v>437</v>
      </c>
      <c r="B103" s="140">
        <v>1.42</v>
      </c>
      <c r="C103" s="140">
        <v>2.11</v>
      </c>
      <c r="D103" s="140">
        <v>1</v>
      </c>
      <c r="E103" s="140">
        <v>1.3</v>
      </c>
      <c r="F103" s="135"/>
      <c r="G103" s="135"/>
      <c r="H103" s="135"/>
      <c r="I103" s="135"/>
      <c r="J103" s="135"/>
      <c r="K103" s="135"/>
    </row>
    <row r="104" spans="1:16" x14ac:dyDescent="0.25">
      <c r="A104" s="135" t="s">
        <v>446</v>
      </c>
      <c r="B104" s="138">
        <v>0.41681992337164747</v>
      </c>
      <c r="C104" s="138">
        <v>0.41681992337164747</v>
      </c>
      <c r="D104" s="140">
        <v>0.08</v>
      </c>
      <c r="E104" s="138">
        <v>7.5478927203065135E-2</v>
      </c>
      <c r="F104" s="135"/>
      <c r="G104" s="135"/>
      <c r="H104" s="135"/>
      <c r="I104" s="135"/>
      <c r="J104" s="135"/>
      <c r="K104" s="135"/>
    </row>
    <row r="105" spans="1:16" x14ac:dyDescent="0.25">
      <c r="A105" s="135" t="s">
        <v>436</v>
      </c>
      <c r="B105" s="164" t="s">
        <v>505</v>
      </c>
      <c r="C105" s="164"/>
      <c r="D105" s="164"/>
      <c r="E105" s="164"/>
      <c r="F105" s="164"/>
      <c r="G105" s="164"/>
      <c r="H105" s="164"/>
      <c r="I105" s="164"/>
      <c r="J105" s="164"/>
      <c r="K105" s="164"/>
    </row>
    <row r="106" spans="1:16" x14ac:dyDescent="0.25">
      <c r="A106" s="135" t="s">
        <v>467</v>
      </c>
      <c r="B106" s="135" t="s">
        <v>471</v>
      </c>
      <c r="C106" s="135" t="s">
        <v>472</v>
      </c>
      <c r="D106" s="135" t="s">
        <v>485</v>
      </c>
      <c r="E106" s="135" t="s">
        <v>474</v>
      </c>
      <c r="F106" s="135"/>
      <c r="G106" s="135"/>
      <c r="H106" s="135"/>
      <c r="I106" s="135"/>
      <c r="J106" s="135"/>
      <c r="K106" s="135"/>
    </row>
    <row r="107" spans="1:16" x14ac:dyDescent="0.25">
      <c r="A107" s="135" t="s">
        <v>468</v>
      </c>
      <c r="B107" s="135" t="s">
        <v>567</v>
      </c>
      <c r="C107" s="135" t="s">
        <v>490</v>
      </c>
      <c r="D107" s="135" t="s">
        <v>568</v>
      </c>
      <c r="E107" s="135" t="s">
        <v>501</v>
      </c>
      <c r="F107" s="135"/>
      <c r="G107" s="135"/>
      <c r="H107" s="135"/>
      <c r="I107" s="135"/>
      <c r="J107" s="135"/>
      <c r="K107" s="135"/>
    </row>
    <row r="108" spans="1:16" x14ac:dyDescent="0.25">
      <c r="A108" s="135" t="s">
        <v>469</v>
      </c>
      <c r="B108" s="135">
        <v>20</v>
      </c>
      <c r="C108" s="135">
        <v>20</v>
      </c>
      <c r="D108" s="135">
        <v>20</v>
      </c>
      <c r="E108" s="135">
        <v>20</v>
      </c>
      <c r="F108" s="135"/>
      <c r="G108" s="135"/>
      <c r="H108" s="135"/>
      <c r="I108" s="135"/>
      <c r="J108" s="135"/>
      <c r="K108" s="135"/>
    </row>
    <row r="109" spans="1:16" x14ac:dyDescent="0.25">
      <c r="A109" s="135" t="s">
        <v>470</v>
      </c>
      <c r="B109" s="135">
        <v>90</v>
      </c>
      <c r="C109" s="135">
        <v>90</v>
      </c>
      <c r="D109" s="135">
        <v>90</v>
      </c>
      <c r="E109" s="135">
        <v>90</v>
      </c>
      <c r="F109" s="151"/>
      <c r="G109" s="151"/>
      <c r="H109" s="151"/>
      <c r="I109" s="151"/>
      <c r="J109" s="151"/>
      <c r="K109" s="135"/>
    </row>
    <row r="110" spans="1:16" x14ac:dyDescent="0.25">
      <c r="A110" s="135" t="s">
        <v>478</v>
      </c>
      <c r="B110" s="145" t="s">
        <v>479</v>
      </c>
      <c r="C110" s="145" t="s">
        <v>479</v>
      </c>
      <c r="D110" s="145" t="s">
        <v>479</v>
      </c>
      <c r="E110" s="145" t="s">
        <v>479</v>
      </c>
      <c r="F110" s="135"/>
      <c r="G110" s="135"/>
      <c r="H110" s="135"/>
      <c r="I110" s="135"/>
      <c r="J110" s="135"/>
      <c r="K110" s="135"/>
    </row>
    <row r="111" spans="1:16" x14ac:dyDescent="0.25">
      <c r="A111" s="135" t="s">
        <v>480</v>
      </c>
      <c r="B111" s="135" t="s">
        <v>481</v>
      </c>
      <c r="C111" s="135" t="s">
        <v>482</v>
      </c>
      <c r="D111" s="135" t="s">
        <v>483</v>
      </c>
      <c r="E111" s="135" t="s">
        <v>483</v>
      </c>
      <c r="F111" s="135"/>
      <c r="G111" s="135"/>
      <c r="H111" s="135"/>
      <c r="I111" s="135"/>
      <c r="J111" s="135"/>
      <c r="K111" s="135"/>
    </row>
    <row r="112" spans="1:16" x14ac:dyDescent="0.25">
      <c r="A112" s="135" t="s">
        <v>487</v>
      </c>
      <c r="B112" s="135" t="s">
        <v>488</v>
      </c>
      <c r="C112" s="135" t="s">
        <v>488</v>
      </c>
      <c r="D112" s="135" t="s">
        <v>489</v>
      </c>
      <c r="E112" s="135" t="s">
        <v>488</v>
      </c>
      <c r="F112" s="135"/>
      <c r="G112" s="135"/>
      <c r="H112" s="135"/>
      <c r="I112" s="135"/>
      <c r="J112" s="135"/>
      <c r="K112" s="135"/>
    </row>
    <row r="113" spans="1:14" x14ac:dyDescent="0.25">
      <c r="B113" s="135"/>
      <c r="C113" s="135"/>
      <c r="D113" s="135"/>
      <c r="E113" s="135"/>
      <c r="F113" s="135"/>
      <c r="G113" s="135"/>
      <c r="H113" s="135"/>
      <c r="I113" s="135"/>
      <c r="J113" s="135"/>
      <c r="K113" s="135"/>
    </row>
    <row r="114" spans="1:14" x14ac:dyDescent="0.25">
      <c r="A114" s="137"/>
      <c r="B114" s="137" t="s">
        <v>432</v>
      </c>
      <c r="C114" s="137" t="s">
        <v>433</v>
      </c>
      <c r="D114" s="137" t="s">
        <v>440</v>
      </c>
      <c r="E114" s="137" t="s">
        <v>560</v>
      </c>
      <c r="F114" s="137" t="s">
        <v>537</v>
      </c>
      <c r="G114" s="137" t="s">
        <v>536</v>
      </c>
      <c r="H114" s="137" t="s">
        <v>538</v>
      </c>
      <c r="I114" s="135" t="s">
        <v>438</v>
      </c>
      <c r="J114" s="135"/>
      <c r="K114" s="135"/>
      <c r="N114" s="154"/>
    </row>
    <row r="115" spans="1:14" x14ac:dyDescent="0.25">
      <c r="A115" s="137" t="s">
        <v>562</v>
      </c>
      <c r="B115" s="136">
        <f>'7-Eula'!F100</f>
        <v>398587.24780742131</v>
      </c>
      <c r="C115" s="136">
        <f>'7-Raiden'!F100</f>
        <v>212748.47425927379</v>
      </c>
      <c r="D115" s="136">
        <f>'7-Rosaria'!F100</f>
        <v>88085.913079024423</v>
      </c>
      <c r="E115" s="136">
        <f>'7-Qiqi'!F100</f>
        <v>99221.678236883352</v>
      </c>
      <c r="F115" s="136">
        <f>SUM(B115:E115)</f>
        <v>798643.31338260288</v>
      </c>
      <c r="G115" s="136">
        <f>SUM(B116:E116)</f>
        <v>1356495.3134790198</v>
      </c>
      <c r="H115" s="136">
        <f>SUM(B117:E117)</f>
        <v>1868875.6794904415</v>
      </c>
      <c r="I115" s="135">
        <v>26.8</v>
      </c>
      <c r="J115" s="135"/>
      <c r="K115" s="135"/>
      <c r="N115" s="154"/>
    </row>
    <row r="116" spans="1:14" x14ac:dyDescent="0.25">
      <c r="A116" s="137" t="s">
        <v>563</v>
      </c>
      <c r="B116" s="136">
        <f>'7-Eula'!F97</f>
        <v>688148.90929401806</v>
      </c>
      <c r="C116" s="136">
        <f>'7-Raiden'!F97</f>
        <v>309557.74442750763</v>
      </c>
      <c r="D116" s="136">
        <f>'7-Rosaria'!F97</f>
        <v>165144.60006977446</v>
      </c>
      <c r="E116" s="136">
        <f>'7-Qiqi'!F97</f>
        <v>193644.05968771959</v>
      </c>
      <c r="F116" s="135"/>
      <c r="G116" s="135"/>
      <c r="H116" s="135"/>
      <c r="I116" s="135"/>
      <c r="J116" s="135"/>
      <c r="K116" s="135"/>
      <c r="N116" s="155"/>
    </row>
    <row r="117" spans="1:14" x14ac:dyDescent="0.25">
      <c r="A117" s="137" t="s">
        <v>564</v>
      </c>
      <c r="B117" s="136">
        <f>'7-Eula'!F101</f>
        <v>971040.00004423759</v>
      </c>
      <c r="C117" s="136">
        <f>'7-Raiden'!F101</f>
        <v>363277.79360006482</v>
      </c>
      <c r="D117" s="136">
        <f>'7-Rosaria'!F101</f>
        <v>244776.18164875975</v>
      </c>
      <c r="E117" s="136">
        <f>'7-Qiqi'!F101</f>
        <v>289781.70419737941</v>
      </c>
      <c r="F117" s="135"/>
      <c r="G117" s="135"/>
      <c r="H117" s="135"/>
      <c r="I117" s="135"/>
      <c r="J117" s="135"/>
      <c r="K117" s="135"/>
      <c r="N117" s="155"/>
    </row>
    <row r="118" spans="1:14" x14ac:dyDescent="0.25">
      <c r="A118" s="135" t="s">
        <v>542</v>
      </c>
      <c r="B118" s="138">
        <f>B115/$F$115</f>
        <v>0.49908042943379871</v>
      </c>
      <c r="C118" s="138">
        <f t="shared" ref="C118:E118" si="17">C115/$F$115</f>
        <v>0.26638734801170649</v>
      </c>
      <c r="D118" s="138">
        <f t="shared" si="17"/>
        <v>0.11029443507883657</v>
      </c>
      <c r="E118" s="138">
        <f t="shared" si="17"/>
        <v>0.12423778747565825</v>
      </c>
      <c r="F118" s="135"/>
      <c r="G118" s="135"/>
      <c r="H118" s="135"/>
      <c r="I118" s="135"/>
      <c r="J118" s="135"/>
      <c r="K118" s="135"/>
    </row>
    <row r="119" spans="1:14" x14ac:dyDescent="0.25">
      <c r="A119" s="135" t="s">
        <v>543</v>
      </c>
      <c r="B119" s="138">
        <f>B116/$G$115</f>
        <v>0.50729914247113339</v>
      </c>
      <c r="C119" s="138">
        <f t="shared" ref="C119:E119" si="18">C116/$G$115</f>
        <v>0.22820406480696284</v>
      </c>
      <c r="D119" s="138">
        <f t="shared" si="18"/>
        <v>0.12174358320945917</v>
      </c>
      <c r="E119" s="138">
        <f t="shared" si="18"/>
        <v>0.1427532095124445</v>
      </c>
      <c r="F119" s="135"/>
      <c r="G119" s="135"/>
      <c r="H119" s="135"/>
      <c r="I119" s="135"/>
      <c r="J119" s="135"/>
      <c r="K119" s="135"/>
    </row>
    <row r="120" spans="1:14" x14ac:dyDescent="0.25">
      <c r="A120" s="135" t="s">
        <v>544</v>
      </c>
      <c r="B120" s="138">
        <f>B117/$H$115</f>
        <v>0.51958512313082095</v>
      </c>
      <c r="C120" s="138">
        <f t="shared" ref="C120:E120" si="19">C117/$H$115</f>
        <v>0.19438307084134904</v>
      </c>
      <c r="D120" s="138">
        <f t="shared" si="19"/>
        <v>0.13097510141257723</v>
      </c>
      <c r="E120" s="138">
        <f t="shared" si="19"/>
        <v>0.15505670461525289</v>
      </c>
      <c r="F120" s="135"/>
      <c r="G120" s="135"/>
      <c r="H120" s="135"/>
      <c r="I120" s="135"/>
      <c r="J120" s="135"/>
      <c r="K120" s="135"/>
    </row>
    <row r="121" spans="1:14" x14ac:dyDescent="0.25">
      <c r="A121" s="135" t="s">
        <v>437</v>
      </c>
      <c r="B121" s="140">
        <v>1.51</v>
      </c>
      <c r="C121" s="140">
        <v>2.11</v>
      </c>
      <c r="D121" s="140">
        <v>1.49</v>
      </c>
      <c r="E121" s="140">
        <v>2.23</v>
      </c>
      <c r="F121" s="135"/>
      <c r="G121" s="135"/>
      <c r="H121" s="135"/>
      <c r="I121" s="135"/>
      <c r="J121" s="135"/>
      <c r="K121" s="135"/>
    </row>
    <row r="122" spans="1:14" x14ac:dyDescent="0.25">
      <c r="A122" s="135" t="s">
        <v>446</v>
      </c>
      <c r="B122" s="138">
        <v>0.40593283582089551</v>
      </c>
      <c r="C122" s="138">
        <v>0.40593283582089551</v>
      </c>
      <c r="D122" s="138">
        <v>7.7910447761194032E-2</v>
      </c>
      <c r="E122" s="138">
        <v>0.110223880597015</v>
      </c>
      <c r="F122" s="135"/>
      <c r="G122" s="135"/>
      <c r="H122" s="135"/>
      <c r="I122" s="135"/>
      <c r="J122" s="135"/>
      <c r="K122" s="135"/>
    </row>
    <row r="123" spans="1:14" x14ac:dyDescent="0.25">
      <c r="A123" s="135" t="s">
        <v>436</v>
      </c>
      <c r="B123" s="164" t="s">
        <v>561</v>
      </c>
      <c r="C123" s="164"/>
      <c r="D123" s="164"/>
      <c r="E123" s="164"/>
      <c r="F123" s="164"/>
      <c r="G123" s="164"/>
      <c r="H123" s="164"/>
      <c r="I123" s="164"/>
      <c r="J123" s="164"/>
      <c r="K123" s="164"/>
    </row>
    <row r="124" spans="1:14" x14ac:dyDescent="0.25">
      <c r="A124" s="135" t="s">
        <v>467</v>
      </c>
      <c r="B124" s="135" t="s">
        <v>471</v>
      </c>
      <c r="C124" s="135" t="s">
        <v>472</v>
      </c>
      <c r="D124" s="135" t="s">
        <v>485</v>
      </c>
      <c r="E124" s="135" t="s">
        <v>474</v>
      </c>
      <c r="F124" s="135"/>
      <c r="G124" s="135"/>
      <c r="H124" s="135"/>
      <c r="I124" s="135"/>
      <c r="J124" s="135"/>
      <c r="K124" s="135"/>
    </row>
    <row r="125" spans="1:14" x14ac:dyDescent="0.25">
      <c r="A125" s="135" t="s">
        <v>468</v>
      </c>
      <c r="B125" s="135" t="s">
        <v>476</v>
      </c>
      <c r="C125" s="135" t="s">
        <v>477</v>
      </c>
      <c r="D125" s="135" t="s">
        <v>568</v>
      </c>
      <c r="E125" s="135" t="s">
        <v>581</v>
      </c>
      <c r="F125" s="135"/>
      <c r="G125" s="135"/>
      <c r="H125" s="135"/>
      <c r="I125" s="135"/>
      <c r="J125" s="135"/>
      <c r="K125" s="135"/>
    </row>
    <row r="126" spans="1:14" x14ac:dyDescent="0.25">
      <c r="A126" s="135" t="s">
        <v>469</v>
      </c>
      <c r="B126" s="135">
        <v>20</v>
      </c>
      <c r="C126" s="135">
        <v>20</v>
      </c>
      <c r="D126" s="135">
        <v>20</v>
      </c>
      <c r="E126" s="135">
        <v>20</v>
      </c>
      <c r="F126" s="135"/>
      <c r="G126" s="135"/>
      <c r="H126" s="135"/>
      <c r="I126" s="135"/>
      <c r="J126" s="135"/>
      <c r="K126" s="135"/>
    </row>
    <row r="127" spans="1:14" x14ac:dyDescent="0.25">
      <c r="A127" s="135" t="s">
        <v>470</v>
      </c>
      <c r="B127" s="135">
        <v>90</v>
      </c>
      <c r="C127" s="135">
        <v>90</v>
      </c>
      <c r="D127" s="135">
        <v>90</v>
      </c>
      <c r="E127" s="135">
        <v>90</v>
      </c>
      <c r="F127" s="151"/>
      <c r="G127" s="151"/>
      <c r="H127" s="151"/>
      <c r="I127" s="151"/>
      <c r="J127" s="151"/>
      <c r="K127" s="135"/>
    </row>
    <row r="128" spans="1:14" x14ac:dyDescent="0.25">
      <c r="A128" s="135" t="s">
        <v>478</v>
      </c>
      <c r="B128" s="145" t="s">
        <v>479</v>
      </c>
      <c r="C128" s="145" t="s">
        <v>479</v>
      </c>
      <c r="D128" s="145" t="s">
        <v>479</v>
      </c>
      <c r="E128" s="145" t="s">
        <v>479</v>
      </c>
      <c r="F128" s="135"/>
      <c r="G128" s="135"/>
      <c r="H128" s="135"/>
      <c r="I128" s="135"/>
      <c r="J128" s="135"/>
      <c r="K128" s="135"/>
    </row>
    <row r="129" spans="1:11" x14ac:dyDescent="0.25">
      <c r="A129" s="135" t="s">
        <v>480</v>
      </c>
      <c r="B129" s="135" t="s">
        <v>481</v>
      </c>
      <c r="C129" s="135" t="s">
        <v>482</v>
      </c>
      <c r="D129" s="135" t="s">
        <v>483</v>
      </c>
      <c r="E129" s="135" t="s">
        <v>582</v>
      </c>
      <c r="F129" s="135"/>
      <c r="G129" s="135"/>
      <c r="H129" s="135"/>
      <c r="I129" s="135"/>
      <c r="J129" s="135"/>
      <c r="K129" s="135"/>
    </row>
    <row r="130" spans="1:11" x14ac:dyDescent="0.25">
      <c r="A130" s="135" t="s">
        <v>487</v>
      </c>
      <c r="B130" s="135" t="s">
        <v>488</v>
      </c>
      <c r="C130" s="135" t="s">
        <v>488</v>
      </c>
      <c r="D130" s="135" t="s">
        <v>489</v>
      </c>
      <c r="E130" s="135" t="s">
        <v>488</v>
      </c>
      <c r="F130" s="135"/>
      <c r="G130" s="135"/>
      <c r="H130" s="135"/>
      <c r="I130" s="135"/>
      <c r="J130" s="135"/>
      <c r="K130" s="135"/>
    </row>
    <row r="133" spans="1:11" x14ac:dyDescent="0.25">
      <c r="A133" s="137"/>
      <c r="B133" s="137" t="s">
        <v>432</v>
      </c>
      <c r="C133" s="137" t="s">
        <v>433</v>
      </c>
      <c r="D133" s="137" t="s">
        <v>440</v>
      </c>
      <c r="E133" s="137" t="s">
        <v>583</v>
      </c>
      <c r="F133" s="137" t="s">
        <v>537</v>
      </c>
      <c r="G133" s="137" t="s">
        <v>536</v>
      </c>
      <c r="H133" s="137" t="s">
        <v>538</v>
      </c>
      <c r="I133" s="135" t="s">
        <v>438</v>
      </c>
      <c r="J133" s="135"/>
      <c r="K133" s="135"/>
    </row>
    <row r="134" spans="1:11" x14ac:dyDescent="0.25">
      <c r="A134" s="137" t="s">
        <v>585</v>
      </c>
      <c r="B134" s="136">
        <f>'8-Eula'!F100</f>
        <v>398587.24780742131</v>
      </c>
      <c r="C134" s="136">
        <f>'8-Raiden'!F100</f>
        <v>212748.47425927379</v>
      </c>
      <c r="D134" s="136">
        <f>'8-Rosaria'!F100</f>
        <v>88085.913079024423</v>
      </c>
      <c r="E134" s="136">
        <f>'8-Qiqi'!F100</f>
        <v>126123.85952881321</v>
      </c>
      <c r="F134" s="136">
        <f>SUM(B134:E134)</f>
        <v>825545.49467453267</v>
      </c>
      <c r="G134" s="136">
        <f>SUM(B135:E135)</f>
        <v>1409964.1226356109</v>
      </c>
      <c r="H134" s="136">
        <f>SUM(B136:E136)</f>
        <v>1948911.1165116939</v>
      </c>
      <c r="I134" s="135">
        <v>26.8</v>
      </c>
      <c r="J134" s="135"/>
      <c r="K134" s="135"/>
    </row>
    <row r="135" spans="1:11" x14ac:dyDescent="0.25">
      <c r="A135" s="137" t="s">
        <v>586</v>
      </c>
      <c r="B135" s="136">
        <f>'8-Eula'!F97</f>
        <v>688148.90929401806</v>
      </c>
      <c r="C135" s="136">
        <f>'8-Raiden'!F97</f>
        <v>309557.74442750763</v>
      </c>
      <c r="D135" s="136">
        <f>'8-Rosaria'!F97</f>
        <v>165144.60006977446</v>
      </c>
      <c r="E135" s="136">
        <f>'8-Qiqi'!F97</f>
        <v>247112.86884431069</v>
      </c>
      <c r="F135" s="135"/>
      <c r="G135" s="135"/>
      <c r="H135" s="135"/>
      <c r="I135" s="135"/>
      <c r="J135" s="135"/>
      <c r="K135" s="135"/>
    </row>
    <row r="136" spans="1:11" x14ac:dyDescent="0.25">
      <c r="A136" s="137" t="s">
        <v>587</v>
      </c>
      <c r="B136" s="136">
        <f>'8-Eula'!F101</f>
        <v>971040.00004423759</v>
      </c>
      <c r="C136" s="136">
        <f>'8-Raiden'!F101</f>
        <v>363277.79360006482</v>
      </c>
      <c r="D136" s="136">
        <f>'8-Rosaria'!F101</f>
        <v>244776.18164875975</v>
      </c>
      <c r="E136" s="136">
        <f>'8-Qiqi'!F101</f>
        <v>369817.1412186317</v>
      </c>
      <c r="F136" s="135"/>
      <c r="G136" s="135"/>
      <c r="H136" s="135"/>
      <c r="I136" s="135"/>
      <c r="J136" s="135"/>
      <c r="K136" s="135"/>
    </row>
    <row r="137" spans="1:11" x14ac:dyDescent="0.25">
      <c r="A137" s="135" t="s">
        <v>542</v>
      </c>
      <c r="B137" s="138">
        <f>B134/$F$115</f>
        <v>0.49908042943379871</v>
      </c>
      <c r="C137" s="138">
        <f t="shared" ref="C137:E137" si="20">C134/$F$115</f>
        <v>0.26638734801170649</v>
      </c>
      <c r="D137" s="138">
        <f t="shared" si="20"/>
        <v>0.11029443507883657</v>
      </c>
      <c r="E137" s="138">
        <f t="shared" si="20"/>
        <v>0.15792263882436283</v>
      </c>
      <c r="F137" s="135"/>
      <c r="G137" s="135"/>
      <c r="H137" s="135"/>
      <c r="I137" s="135"/>
      <c r="J137" s="135"/>
      <c r="K137" s="135"/>
    </row>
    <row r="138" spans="1:11" x14ac:dyDescent="0.25">
      <c r="A138" s="135" t="s">
        <v>543</v>
      </c>
      <c r="B138" s="138">
        <f>B135/$G$115</f>
        <v>0.50729914247113339</v>
      </c>
      <c r="C138" s="138">
        <f t="shared" ref="C138:E138" si="21">C135/$G$115</f>
        <v>0.22820406480696284</v>
      </c>
      <c r="D138" s="138">
        <f t="shared" si="21"/>
        <v>0.12174358320945917</v>
      </c>
      <c r="E138" s="138">
        <f t="shared" si="21"/>
        <v>0.18217008668503051</v>
      </c>
      <c r="F138" s="135"/>
      <c r="G138" s="135"/>
      <c r="H138" s="135"/>
      <c r="I138" s="135"/>
      <c r="J138" s="135"/>
      <c r="K138" s="135"/>
    </row>
    <row r="139" spans="1:11" x14ac:dyDescent="0.25">
      <c r="A139" s="135" t="s">
        <v>544</v>
      </c>
      <c r="B139" s="138">
        <f>B136/$H$115</f>
        <v>0.51958512313082095</v>
      </c>
      <c r="C139" s="138">
        <f t="shared" ref="C139:E139" si="22">C136/$H$115</f>
        <v>0.19438307084134904</v>
      </c>
      <c r="D139" s="138">
        <f t="shared" si="22"/>
        <v>0.13097510141257723</v>
      </c>
      <c r="E139" s="138">
        <f t="shared" si="22"/>
        <v>0.19788215196821665</v>
      </c>
      <c r="F139" s="135"/>
      <c r="G139" s="135"/>
      <c r="H139" s="135"/>
      <c r="I139" s="135"/>
      <c r="J139" s="135"/>
      <c r="K139" s="135"/>
    </row>
    <row r="140" spans="1:11" x14ac:dyDescent="0.25">
      <c r="A140" s="135" t="s">
        <v>437</v>
      </c>
      <c r="B140" s="140">
        <v>1.51</v>
      </c>
      <c r="C140" s="140">
        <v>2.11</v>
      </c>
      <c r="D140" s="140">
        <v>1.49</v>
      </c>
      <c r="E140" s="140">
        <v>2.08</v>
      </c>
      <c r="F140" s="135"/>
      <c r="G140" s="135"/>
      <c r="H140" s="135"/>
      <c r="I140" s="135"/>
      <c r="J140" s="135"/>
      <c r="K140" s="135"/>
    </row>
    <row r="141" spans="1:11" x14ac:dyDescent="0.25">
      <c r="A141" s="135" t="s">
        <v>446</v>
      </c>
      <c r="B141" s="138">
        <v>0.40593283582089551</v>
      </c>
      <c r="C141" s="138">
        <v>0.40593283582089551</v>
      </c>
      <c r="D141" s="138">
        <v>7.7910447761194032E-2</v>
      </c>
      <c r="E141" s="138">
        <v>0.110223880597015</v>
      </c>
      <c r="F141" s="135"/>
      <c r="G141" s="135"/>
      <c r="H141" s="135"/>
      <c r="I141" s="135"/>
      <c r="J141" s="135"/>
      <c r="K141" s="135"/>
    </row>
    <row r="142" spans="1:11" x14ac:dyDescent="0.25">
      <c r="A142" s="135" t="s">
        <v>436</v>
      </c>
      <c r="B142" s="164" t="s">
        <v>561</v>
      </c>
      <c r="C142" s="164"/>
      <c r="D142" s="164"/>
      <c r="E142" s="164"/>
      <c r="F142" s="164"/>
      <c r="G142" s="164"/>
      <c r="H142" s="164"/>
      <c r="I142" s="164"/>
      <c r="J142" s="164"/>
      <c r="K142" s="164"/>
    </row>
    <row r="143" spans="1:11" x14ac:dyDescent="0.25">
      <c r="A143" s="135" t="s">
        <v>467</v>
      </c>
      <c r="B143" s="135" t="s">
        <v>471</v>
      </c>
      <c r="C143" s="135" t="s">
        <v>472</v>
      </c>
      <c r="D143" s="135" t="s">
        <v>485</v>
      </c>
      <c r="E143" s="135" t="s">
        <v>474</v>
      </c>
      <c r="F143" s="135"/>
      <c r="G143" s="135"/>
      <c r="H143" s="135"/>
      <c r="I143" s="135"/>
      <c r="J143" s="135"/>
      <c r="K143" s="135"/>
    </row>
    <row r="144" spans="1:11" x14ac:dyDescent="0.25">
      <c r="A144" s="135" t="s">
        <v>468</v>
      </c>
      <c r="B144" s="135" t="s">
        <v>476</v>
      </c>
      <c r="C144" s="135" t="s">
        <v>477</v>
      </c>
      <c r="D144" s="135" t="s">
        <v>568</v>
      </c>
      <c r="E144" s="135" t="s">
        <v>581</v>
      </c>
      <c r="F144" s="135"/>
      <c r="G144" s="135"/>
      <c r="H144" s="135"/>
      <c r="I144" s="135"/>
      <c r="J144" s="135"/>
      <c r="K144" s="135"/>
    </row>
    <row r="145" spans="1:11" x14ac:dyDescent="0.25">
      <c r="A145" s="135" t="s">
        <v>469</v>
      </c>
      <c r="B145" s="135">
        <v>20</v>
      </c>
      <c r="C145" s="135">
        <v>20</v>
      </c>
      <c r="D145" s="135">
        <v>20</v>
      </c>
      <c r="E145" s="135">
        <v>20</v>
      </c>
      <c r="F145" s="135"/>
      <c r="G145" s="135"/>
      <c r="H145" s="135"/>
      <c r="I145" s="135"/>
      <c r="J145" s="135"/>
      <c r="K145" s="135"/>
    </row>
    <row r="146" spans="1:11" x14ac:dyDescent="0.25">
      <c r="A146" s="135" t="s">
        <v>470</v>
      </c>
      <c r="B146" s="135">
        <v>90</v>
      </c>
      <c r="C146" s="135">
        <v>90</v>
      </c>
      <c r="D146" s="135">
        <v>90</v>
      </c>
      <c r="E146" s="135">
        <v>90</v>
      </c>
      <c r="F146" s="159"/>
      <c r="G146" s="159"/>
      <c r="H146" s="159"/>
      <c r="I146" s="159"/>
      <c r="J146" s="159"/>
      <c r="K146" s="135"/>
    </row>
    <row r="147" spans="1:11" x14ac:dyDescent="0.25">
      <c r="A147" s="135" t="s">
        <v>478</v>
      </c>
      <c r="B147" s="145" t="s">
        <v>479</v>
      </c>
      <c r="C147" s="145" t="s">
        <v>479</v>
      </c>
      <c r="D147" s="145" t="s">
        <v>479</v>
      </c>
      <c r="E147" s="145" t="s">
        <v>479</v>
      </c>
      <c r="F147" s="135"/>
      <c r="G147" s="135"/>
      <c r="H147" s="135"/>
      <c r="I147" s="135"/>
      <c r="J147" s="135"/>
      <c r="K147" s="135"/>
    </row>
    <row r="148" spans="1:11" x14ac:dyDescent="0.25">
      <c r="A148" s="135" t="s">
        <v>480</v>
      </c>
      <c r="B148" s="135" t="s">
        <v>481</v>
      </c>
      <c r="C148" s="135" t="s">
        <v>482</v>
      </c>
      <c r="D148" s="135" t="s">
        <v>483</v>
      </c>
      <c r="E148" s="135" t="s">
        <v>582</v>
      </c>
      <c r="F148" s="135"/>
      <c r="G148" s="135"/>
      <c r="H148" s="135"/>
      <c r="I148" s="135"/>
      <c r="J148" s="135"/>
      <c r="K148" s="135"/>
    </row>
    <row r="149" spans="1:11" x14ac:dyDescent="0.25">
      <c r="A149" s="135" t="s">
        <v>487</v>
      </c>
      <c r="B149" s="135" t="s">
        <v>488</v>
      </c>
      <c r="C149" s="135" t="s">
        <v>488</v>
      </c>
      <c r="D149" s="135" t="s">
        <v>489</v>
      </c>
      <c r="E149" s="135" t="s">
        <v>488</v>
      </c>
      <c r="F149" s="135"/>
      <c r="G149" s="135"/>
      <c r="H149" s="135"/>
      <c r="I149" s="135"/>
      <c r="J149" s="135"/>
      <c r="K149" s="135"/>
    </row>
  </sheetData>
  <autoFilter ref="P14:W22" xr:uid="{402FBEA4-65AB-4940-9345-38C03CB32C16}">
    <sortState xmlns:xlrd2="http://schemas.microsoft.com/office/spreadsheetml/2017/richdata2" ref="P15:W22">
      <sortCondition descending="1" ref="U14:U22"/>
    </sortState>
  </autoFilter>
  <mergeCells count="10">
    <mergeCell ref="B142:K142"/>
    <mergeCell ref="B85:K85"/>
    <mergeCell ref="B105:K105"/>
    <mergeCell ref="B123:K123"/>
    <mergeCell ref="P2:P7"/>
    <mergeCell ref="B10:K10"/>
    <mergeCell ref="P13:W13"/>
    <mergeCell ref="B28:K28"/>
    <mergeCell ref="B46:K46"/>
    <mergeCell ref="B66:K66"/>
  </mergeCells>
  <phoneticPr fontId="12" type="noConversion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D315-9A3D-4964-87F8-287164FBE329}">
  <sheetPr codeName="Sheet2">
    <tabColor theme="7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J37" sqref="J3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0.80200000000000005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1.6099999999999999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1.58</v>
      </c>
      <c r="E19" s="13">
        <f>Main!B8</f>
        <v>1.54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15922.87016586252</v>
      </c>
      <c r="K19" s="22">
        <f t="shared" si="13"/>
        <v>32718.125614225148</v>
      </c>
      <c r="L19" s="22">
        <f t="shared" si="13"/>
        <v>52172.763836352897</v>
      </c>
      <c r="M19" s="22">
        <f t="shared" si="13"/>
        <v>58506.115747927834</v>
      </c>
      <c r="N19" s="22">
        <f t="shared" si="13"/>
        <v>65589.236430849196</v>
      </c>
      <c r="O19" s="22">
        <f t="shared" si="13"/>
        <v>66483.924502304188</v>
      </c>
      <c r="P19" s="22">
        <f t="shared" si="13"/>
        <v>479606.58016884688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>
        <v>0.15</v>
      </c>
      <c r="K25" s="60">
        <v>0.15</v>
      </c>
      <c r="L25" s="60">
        <v>0.15</v>
      </c>
      <c r="M25" s="60">
        <v>0.15</v>
      </c>
      <c r="N25" s="30">
        <v>0.15</v>
      </c>
      <c r="O25" s="30">
        <v>0.15</v>
      </c>
      <c r="P25" s="30">
        <v>0.15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0.4</v>
      </c>
      <c r="M26" s="60">
        <v>0.24</v>
      </c>
      <c r="N26" s="30">
        <v>0.64</v>
      </c>
      <c r="O26" s="30">
        <v>0.64</v>
      </c>
      <c r="P26" s="30">
        <v>0.64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2260.984612123867</v>
      </c>
      <c r="K29" s="34">
        <f t="shared" si="14"/>
        <v>2337.7604870531404</v>
      </c>
      <c r="L29" s="34">
        <f t="shared" si="14"/>
        <v>2337.7604870531404</v>
      </c>
      <c r="M29" s="34">
        <f t="shared" si="14"/>
        <v>2337.7604870531404</v>
      </c>
      <c r="N29" s="34">
        <f t="shared" si="14"/>
        <v>2414.5363619824138</v>
      </c>
      <c r="O29" s="34">
        <f t="shared" si="14"/>
        <v>2414.5363619824138</v>
      </c>
      <c r="P29" s="34">
        <f t="shared" si="14"/>
        <v>2414.5363619824138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0.80200000000000005</v>
      </c>
      <c r="K33" s="33">
        <f t="shared" ref="K33:AD33" si="18">IF($D$6+K44&lt;0,0,IF($D$6+K44&gt;1,1,$D$6+K44))</f>
        <v>0.80200000000000005</v>
      </c>
      <c r="L33" s="33">
        <f t="shared" si="18"/>
        <v>0.80200000000000005</v>
      </c>
      <c r="M33" s="33">
        <f t="shared" si="18"/>
        <v>0.80200000000000005</v>
      </c>
      <c r="N33" s="33">
        <f t="shared" si="18"/>
        <v>0.80200000000000005</v>
      </c>
      <c r="O33" s="33">
        <f t="shared" si="18"/>
        <v>0.80200000000000005</v>
      </c>
      <c r="P33" s="33">
        <f t="shared" si="18"/>
        <v>0.80200000000000005</v>
      </c>
      <c r="Q33" s="33">
        <f t="shared" si="18"/>
        <v>0.80200000000000005</v>
      </c>
      <c r="R33" s="33">
        <f t="shared" si="18"/>
        <v>0.80200000000000005</v>
      </c>
      <c r="S33" s="33">
        <f t="shared" si="18"/>
        <v>0.80200000000000005</v>
      </c>
      <c r="T33" s="33">
        <f t="shared" si="18"/>
        <v>0.80200000000000005</v>
      </c>
      <c r="U33" s="33">
        <f t="shared" si="18"/>
        <v>0.80200000000000005</v>
      </c>
      <c r="V33" s="33">
        <f t="shared" si="18"/>
        <v>0.80200000000000005</v>
      </c>
      <c r="W33" s="33">
        <f t="shared" si="18"/>
        <v>0.80200000000000005</v>
      </c>
      <c r="X33" s="33">
        <f t="shared" si="18"/>
        <v>0.80200000000000005</v>
      </c>
      <c r="Y33" s="33">
        <f t="shared" si="18"/>
        <v>0.80200000000000005</v>
      </c>
      <c r="Z33" s="33">
        <f t="shared" si="18"/>
        <v>0.80200000000000005</v>
      </c>
      <c r="AA33" s="33">
        <f t="shared" si="18"/>
        <v>0.80200000000000005</v>
      </c>
      <c r="AB33" s="33">
        <f t="shared" si="18"/>
        <v>0.80200000000000005</v>
      </c>
      <c r="AC33" s="33">
        <f t="shared" si="18"/>
        <v>0.80200000000000005</v>
      </c>
      <c r="AD33" s="33">
        <f t="shared" si="18"/>
        <v>0.80200000000000005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1.6099999999999999</v>
      </c>
      <c r="K34" s="33">
        <f t="shared" si="19"/>
        <v>1.6099999999999999</v>
      </c>
      <c r="L34" s="33">
        <f t="shared" si="19"/>
        <v>1.6099999999999999</v>
      </c>
      <c r="M34" s="33">
        <f t="shared" si="19"/>
        <v>1.6099999999999999</v>
      </c>
      <c r="N34" s="33">
        <f t="shared" si="19"/>
        <v>1.6099999999999999</v>
      </c>
      <c r="O34" s="33">
        <f t="shared" si="19"/>
        <v>1.6099999999999999</v>
      </c>
      <c r="P34" s="33">
        <f t="shared" si="19"/>
        <v>1.6099999999999999</v>
      </c>
      <c r="Q34" s="33">
        <f t="shared" si="19"/>
        <v>1.6099999999999999</v>
      </c>
      <c r="R34" s="33">
        <f t="shared" si="19"/>
        <v>1.6099999999999999</v>
      </c>
      <c r="S34" s="33">
        <f t="shared" si="19"/>
        <v>1.6099999999999999</v>
      </c>
      <c r="T34" s="33">
        <f t="shared" si="19"/>
        <v>1.6099999999999999</v>
      </c>
      <c r="U34" s="33">
        <f t="shared" si="19"/>
        <v>1.6099999999999999</v>
      </c>
      <c r="V34" s="33">
        <f t="shared" si="19"/>
        <v>1.6099999999999999</v>
      </c>
      <c r="W34" s="33">
        <f t="shared" si="19"/>
        <v>1.6099999999999999</v>
      </c>
      <c r="X34" s="33">
        <f t="shared" si="19"/>
        <v>1.6099999999999999</v>
      </c>
      <c r="Y34" s="33">
        <f t="shared" si="19"/>
        <v>1.6099999999999999</v>
      </c>
      <c r="Z34" s="33">
        <f t="shared" si="19"/>
        <v>1.6099999999999999</v>
      </c>
      <c r="AA34" s="33">
        <f t="shared" si="19"/>
        <v>1.6099999999999999</v>
      </c>
      <c r="AB34" s="33">
        <f t="shared" si="19"/>
        <v>1.6099999999999999</v>
      </c>
      <c r="AC34" s="33">
        <f t="shared" si="19"/>
        <v>1.6099999999999999</v>
      </c>
      <c r="AD34" s="33">
        <f t="shared" si="19"/>
        <v>1.6099999999999999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0.52777777777777779</v>
      </c>
      <c r="K36" s="61">
        <f t="shared" si="21"/>
        <v>0.52777777777777779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0.52777777777777779</v>
      </c>
      <c r="O36" s="61">
        <f t="shared" si="21"/>
        <v>0.52777777777777779</v>
      </c>
      <c r="P36" s="61">
        <f t="shared" si="21"/>
        <v>0.52777777777777779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-0.15000000000000002</v>
      </c>
      <c r="M37" s="61">
        <f t="shared" si="22"/>
        <v>-6.9999999999999993E-2</v>
      </c>
      <c r="N37" s="61">
        <f t="shared" si="22"/>
        <v>-0.27</v>
      </c>
      <c r="O37" s="61">
        <f t="shared" si="22"/>
        <v>-0.27</v>
      </c>
      <c r="P37" s="61">
        <f t="shared" si="22"/>
        <v>-0.27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f>20%+48%</f>
        <v>0.67999999999999994</v>
      </c>
      <c r="K38" s="30">
        <f>48%+29%</f>
        <v>0.77</v>
      </c>
      <c r="L38" s="30">
        <f>48%+29%</f>
        <v>0.77</v>
      </c>
      <c r="M38" s="30">
        <v>0.77</v>
      </c>
      <c r="N38" s="30">
        <f t="shared" ref="N38:P38" si="23">48%+38%</f>
        <v>0.86</v>
      </c>
      <c r="O38" s="30">
        <f t="shared" si="23"/>
        <v>0.86</v>
      </c>
      <c r="P38" s="30">
        <f t="shared" si="23"/>
        <v>0.86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7961.4350829312598</v>
      </c>
      <c r="K50" s="22">
        <f t="shared" ref="K50:AD50" si="24">IF(K49&gt;1,K19/K49,K19)</f>
        <v>16359.062807112574</v>
      </c>
      <c r="L50" s="22">
        <f t="shared" si="24"/>
        <v>52172.763836352897</v>
      </c>
      <c r="M50" s="22">
        <f t="shared" si="24"/>
        <v>29253.057873963917</v>
      </c>
      <c r="N50" s="22">
        <f t="shared" si="24"/>
        <v>32794.618215424598</v>
      </c>
      <c r="O50" s="22">
        <f t="shared" si="24"/>
        <v>66483.924502304188</v>
      </c>
      <c r="P50" s="22">
        <f t="shared" si="24"/>
        <v>239803.29008442344</v>
      </c>
      <c r="Q50" s="22">
        <f t="shared" si="24"/>
        <v>0</v>
      </c>
      <c r="R50" s="22">
        <f t="shared" si="24"/>
        <v>0</v>
      </c>
      <c r="S50" s="22">
        <f t="shared" si="24"/>
        <v>0</v>
      </c>
      <c r="T50" s="22">
        <f t="shared" si="24"/>
        <v>0</v>
      </c>
      <c r="U50" s="22">
        <f t="shared" si="24"/>
        <v>0</v>
      </c>
      <c r="V50" s="22">
        <f t="shared" si="24"/>
        <v>0</v>
      </c>
      <c r="W50" s="22">
        <f t="shared" si="24"/>
        <v>0</v>
      </c>
      <c r="X50" s="22">
        <f t="shared" si="24"/>
        <v>0</v>
      </c>
      <c r="Y50" s="22">
        <f t="shared" si="24"/>
        <v>0</v>
      </c>
      <c r="Z50" s="22">
        <f t="shared" si="24"/>
        <v>0</v>
      </c>
      <c r="AA50" s="22">
        <f t="shared" si="24"/>
        <v>0</v>
      </c>
      <c r="AB50" s="22">
        <f t="shared" si="24"/>
        <v>0</v>
      </c>
      <c r="AC50" s="22">
        <f t="shared" si="24"/>
        <v>0</v>
      </c>
      <c r="AD50" s="22">
        <f t="shared" si="24"/>
        <v>0</v>
      </c>
    </row>
    <row r="51" spans="1:30" x14ac:dyDescent="0.25">
      <c r="A51" s="1"/>
      <c r="B51" s="90" t="s">
        <v>3</v>
      </c>
      <c r="C51" s="37">
        <f t="shared" ref="C51:C58" si="25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5"/>
        <v>0</v>
      </c>
      <c r="D52" s="8">
        <v>0</v>
      </c>
      <c r="E52" s="22">
        <v>0.622</v>
      </c>
      <c r="I52" s="22" t="s">
        <v>531</v>
      </c>
      <c r="J52" s="22">
        <f>IF(J51=0,J19,J50*3)</f>
        <v>15922.87016586252</v>
      </c>
      <c r="K52" s="22">
        <f t="shared" ref="K52:AD52" si="26">IF(K51=0,K19,K50*3)</f>
        <v>49077.18842133772</v>
      </c>
      <c r="L52" s="22">
        <f t="shared" si="26"/>
        <v>52172.763836352897</v>
      </c>
      <c r="M52" s="22">
        <f t="shared" si="26"/>
        <v>87759.17362189175</v>
      </c>
      <c r="N52" s="22">
        <f t="shared" si="26"/>
        <v>98383.854646273801</v>
      </c>
      <c r="O52" s="22">
        <f t="shared" si="26"/>
        <v>66483.924502304188</v>
      </c>
      <c r="P52" s="22">
        <f t="shared" si="26"/>
        <v>719409.87025327026</v>
      </c>
      <c r="Q52" s="22">
        <f t="shared" si="26"/>
        <v>0</v>
      </c>
      <c r="R52" s="22">
        <f t="shared" si="26"/>
        <v>0</v>
      </c>
      <c r="S52" s="22">
        <f t="shared" si="26"/>
        <v>0</v>
      </c>
      <c r="T52" s="22">
        <f t="shared" si="26"/>
        <v>0</v>
      </c>
      <c r="U52" s="22">
        <f t="shared" si="26"/>
        <v>0</v>
      </c>
      <c r="V52" s="22">
        <f t="shared" si="26"/>
        <v>0</v>
      </c>
      <c r="W52" s="22">
        <f t="shared" si="26"/>
        <v>0</v>
      </c>
      <c r="X52" s="22">
        <f t="shared" si="26"/>
        <v>0</v>
      </c>
      <c r="Y52" s="22">
        <f t="shared" si="26"/>
        <v>0</v>
      </c>
      <c r="Z52" s="22">
        <f t="shared" si="26"/>
        <v>0</v>
      </c>
      <c r="AA52" s="22">
        <f t="shared" si="26"/>
        <v>0</v>
      </c>
      <c r="AB52" s="22">
        <f t="shared" si="26"/>
        <v>0</v>
      </c>
      <c r="AC52" s="22">
        <f t="shared" si="26"/>
        <v>0</v>
      </c>
      <c r="AD52" s="22">
        <f t="shared" si="26"/>
        <v>0</v>
      </c>
    </row>
    <row r="53" spans="1:30" x14ac:dyDescent="0.25">
      <c r="A53" s="1"/>
      <c r="B53" s="92" t="s">
        <v>1</v>
      </c>
      <c r="C53" s="22">
        <f t="shared" si="25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5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5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5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5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7">IF($I$5-K68&lt;0,0.5*($I$5-K68),$I$5-K68)*K58*K67</f>
        <v>0</v>
      </c>
      <c r="L57" s="22">
        <f t="shared" si="27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5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8">K63*K64</f>
        <v>0</v>
      </c>
      <c r="L58" s="22">
        <f t="shared" si="28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9">IFERROR(VLOOKUP(K61,$B$3:$D$8,3,FALSE)*K59*K60+K62,0)</f>
        <v>0</v>
      </c>
      <c r="L63" s="22">
        <f t="shared" si="29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30">1+$D$20+K65+K66</f>
        <v>1</v>
      </c>
      <c r="L64" s="85">
        <f t="shared" si="30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1">IFERROR(VLOOKUP(Q60,$B$3:$D$8,3,FALSE)*Q58*Q59+Q61,0)</f>
        <v>0</v>
      </c>
      <c r="R66" s="22">
        <f t="shared" si="31"/>
        <v>0</v>
      </c>
      <c r="S66" s="22">
        <f t="shared" si="31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2">1/((1-Q65)*(1-Q64))</f>
        <v>1</v>
      </c>
      <c r="R67" s="44">
        <f t="shared" si="32"/>
        <v>1</v>
      </c>
      <c r="S67" s="44">
        <f t="shared" si="32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3">(1+Q63)*(Q62)</f>
        <v>0</v>
      </c>
      <c r="R68" s="80">
        <f t="shared" si="33"/>
        <v>0</v>
      </c>
      <c r="S68" s="80">
        <f t="shared" si="33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4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4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4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4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4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4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3</v>
      </c>
      <c r="E93" s="70">
        <f t="shared" si="34"/>
        <v>5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9</v>
      </c>
      <c r="E94" s="70">
        <f t="shared" si="34"/>
        <v>11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4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8</v>
      </c>
      <c r="E96" s="70">
        <f t="shared" si="34"/>
        <v>10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SUM(J19:AC19)+SUM(Z65:Z65)</f>
        <v>770999.61646636866</v>
      </c>
      <c r="G97" s="82" t="s">
        <v>409</v>
      </c>
      <c r="H97" s="83">
        <f>SUM(J58:L58)</f>
        <v>0</v>
      </c>
      <c r="I97" s="82" t="s">
        <v>408</v>
      </c>
      <c r="J97" s="83">
        <f>SUM(P57:S57)+Z58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30474.293140963189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445685.78393192461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1090924.9085061166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5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6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7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8">20/16</f>
        <v>1.25</v>
      </c>
      <c r="V123" s="131">
        <f>30/22</f>
        <v>1.3636363636363635</v>
      </c>
      <c r="W123" s="131">
        <f t="shared" ref="W123:W129" si="39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0">21/16</f>
        <v>1.3125</v>
      </c>
      <c r="V124" s="129">
        <f>30/22</f>
        <v>1.3636363636363635</v>
      </c>
      <c r="W124" s="129">
        <f t="shared" si="39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0"/>
        <v>1.3125</v>
      </c>
      <c r="V125" s="131">
        <f t="shared" ref="V125:V129" si="41">30/22</f>
        <v>1.3636363636363635</v>
      </c>
      <c r="W125" s="131">
        <f t="shared" si="39"/>
        <v>1.3333333333333333</v>
      </c>
      <c r="X125" s="131">
        <f t="shared" ref="X125:X129" si="42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0"/>
        <v>1.3125</v>
      </c>
      <c r="V126" s="129">
        <f t="shared" si="41"/>
        <v>1.3636363636363635</v>
      </c>
      <c r="W126" s="129">
        <f t="shared" si="39"/>
        <v>1.3333333333333333</v>
      </c>
      <c r="X126" s="129">
        <f t="shared" si="42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0"/>
        <v>1.3125</v>
      </c>
      <c r="V127" s="131">
        <f t="shared" si="41"/>
        <v>1.3636363636363635</v>
      </c>
      <c r="W127" s="131">
        <f t="shared" si="39"/>
        <v>1.3333333333333333</v>
      </c>
      <c r="X127" s="131">
        <f t="shared" si="42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0"/>
        <v>1.3125</v>
      </c>
      <c r="V128" s="129">
        <f t="shared" si="41"/>
        <v>1.3636363636363635</v>
      </c>
      <c r="W128" s="129">
        <f t="shared" si="39"/>
        <v>1.3333333333333333</v>
      </c>
      <c r="X128" s="129">
        <f t="shared" si="42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0"/>
        <v>1.3125</v>
      </c>
      <c r="V129" s="131">
        <f t="shared" si="41"/>
        <v>1.3636363636363635</v>
      </c>
      <c r="W129" s="131">
        <f t="shared" si="39"/>
        <v>1.3333333333333333</v>
      </c>
      <c r="X129" s="131">
        <f t="shared" si="42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3">I178*2</f>
        <v>1.4918</v>
      </c>
      <c r="K178" s="121">
        <f t="shared" ref="K178" si="44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5">I181*2</f>
        <v>1.2786</v>
      </c>
      <c r="K181" s="121">
        <f t="shared" ref="K181" si="46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7">H184*2</f>
        <v>1.4918</v>
      </c>
      <c r="J184" s="121">
        <f t="shared" ref="J184" si="48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9">H187*2</f>
        <v>1.7902</v>
      </c>
      <c r="J187" s="121">
        <f t="shared" ref="J187" si="50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1">I196*2</f>
        <v>1.1366000000000001</v>
      </c>
      <c r="K196" s="121">
        <f t="shared" ref="K196" si="52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3">I208*2</f>
        <v>1.2786</v>
      </c>
      <c r="K208" s="121">
        <f t="shared" ref="K208" si="54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1C418A9-F7B0-4A4E-87A2-E6CC3BD7E616}">
      <formula1>$B$115:$B$155</formula1>
    </dataValidation>
    <dataValidation type="list" allowBlank="1" showInputMessage="1" showErrorMessage="1" sqref="D83:D84" xr:uid="{15CE55AF-CF1B-4A7A-963F-F3B2C846991D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E0E00-68DF-4788-990A-69FB52160B2F}">
  <sheetPr codeName="Sheet3">
    <tabColor theme="7" tint="0.79998168889431442"/>
  </sheetPr>
  <dimension ref="A1:CG345"/>
  <sheetViews>
    <sheetView topLeftCell="A73" zoomScale="79" zoomScaleNormal="79" zoomScaleSheetLayoutView="40" workbookViewId="0">
      <pane xSplit="1" topLeftCell="B1" activePane="topRight" state="frozen"/>
      <selection activeCell="A153" sqref="A153"/>
      <selection pane="topRight" activeCell="D3" sqref="D3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Main!C8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107102.43163857982</v>
      </c>
      <c r="L19" s="22">
        <f t="shared" si="13"/>
        <v>64846.261870969014</v>
      </c>
      <c r="M19" s="22">
        <f t="shared" si="13"/>
        <v>13500.312270566739</v>
      </c>
      <c r="N19" s="22">
        <f t="shared" si="13"/>
        <v>18087.630764150301</v>
      </c>
      <c r="O19" s="22">
        <f t="shared" si="13"/>
        <v>19875.591290979817</v>
      </c>
      <c r="P19" s="22">
        <f t="shared" si="13"/>
        <v>102698.26791636841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>
        <v>0.15</v>
      </c>
      <c r="L25" s="60">
        <v>0.15</v>
      </c>
      <c r="M25" s="60">
        <v>0.15</v>
      </c>
      <c r="N25" s="30">
        <v>0.15</v>
      </c>
      <c r="O25" s="30">
        <v>0.15</v>
      </c>
      <c r="P25" s="30">
        <v>0.15</v>
      </c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0.52777777777777779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0.52777777777777779</v>
      </c>
      <c r="O36" s="61">
        <f t="shared" si="21"/>
        <v>0.52777777777777779</v>
      </c>
      <c r="P36" s="61">
        <f t="shared" si="21"/>
        <v>0.52777777777777779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53551.215819289908</v>
      </c>
      <c r="L50" s="22">
        <f t="shared" si="23"/>
        <v>64846.261870969014</v>
      </c>
      <c r="M50" s="22">
        <f t="shared" si="23"/>
        <v>13500.312270566739</v>
      </c>
      <c r="N50" s="22">
        <f t="shared" si="23"/>
        <v>18087.630764150301</v>
      </c>
      <c r="O50" s="22">
        <f t="shared" si="23"/>
        <v>19875.591290979817</v>
      </c>
      <c r="P50" s="22">
        <f t="shared" si="23"/>
        <v>51349.133958184204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160653.64745786972</v>
      </c>
      <c r="L52" s="22">
        <f t="shared" si="25"/>
        <v>64846.261870969014</v>
      </c>
      <c r="M52" s="22">
        <f t="shared" si="25"/>
        <v>13500.312270566739</v>
      </c>
      <c r="N52" s="22">
        <f t="shared" si="25"/>
        <v>18087.630764150301</v>
      </c>
      <c r="O52" s="22">
        <f t="shared" si="25"/>
        <v>19875.591290979817</v>
      </c>
      <c r="P52" s="22">
        <f t="shared" si="25"/>
        <v>102698.26791636841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SUM(J19:AC19)+SUM(Z64:Z64)</f>
        <v>334643.16717763181</v>
      </c>
      <c r="G97" s="82" t="s">
        <v>409</v>
      </c>
      <c r="H97" s="83">
        <f>SUM(J58:L58)</f>
        <v>0</v>
      </c>
      <c r="I97" s="82" t="s">
        <v>408</v>
      </c>
      <c r="J97" s="83" t="e">
        <f>SUM(P57:S57)+Z57</f>
        <v>#VALUE!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 t="str">
        <f>IFERROR(IF(F98&gt;=0,J97/F98,"-"),"-")</f>
        <v>-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13227.002655242364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225476.48168714886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388194.38299692178</v>
      </c>
    </row>
    <row r="102" spans="1:10" ht="10.9" customHeight="1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497FF44B-7D7E-44EE-87FE-228EA66B0B83}">
      <formula1>$B$115:$B$155</formula1>
    </dataValidation>
    <dataValidation type="list" allowBlank="1" showInputMessage="1" showErrorMessage="1" sqref="D83:D84" xr:uid="{F95E54A5-2923-4F69-9016-10C8F1ED6129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134C-F4E5-42FC-AA95-53FC9B4D5BA2}">
  <sheetPr codeName="Sheet4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26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231.50079515768877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1367.1212849748251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573.29204201986249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684.38025523032547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19182.899930284457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96</v>
      </c>
      <c r="D8" s="36">
        <f>C8+C32+C95*E95+C53+F8+C67</f>
        <v>136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Charged Attack DMG</v>
      </c>
      <c r="O8" s="124" t="str">
        <f t="shared" si="2"/>
        <v>Plunge DMG</v>
      </c>
      <c r="P8" s="124" t="str">
        <f t="shared" si="2"/>
        <v>Low Plunge DMG</v>
      </c>
      <c r="Q8" s="124" t="str">
        <f t="shared" si="2"/>
        <v>High Plunge DMG</v>
      </c>
      <c r="R8" s="124" t="str">
        <f t="shared" si="2"/>
        <v/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0.67320000000000002</v>
      </c>
      <c r="K9" s="134">
        <f t="shared" si="3"/>
        <v>0.61064000000000007</v>
      </c>
      <c r="L9" s="134">
        <f t="shared" si="3"/>
        <v>0.72759999999999991</v>
      </c>
      <c r="M9" s="134">
        <f t="shared" si="3"/>
        <v>0.93431999999999993</v>
      </c>
      <c r="N9" s="134">
        <f t="shared" si="3"/>
        <v>3.0110399999999999</v>
      </c>
      <c r="O9" s="134">
        <f t="shared" si="3"/>
        <v>1.0439670999999999</v>
      </c>
      <c r="P9" s="134">
        <f t="shared" si="3"/>
        <v>2.0879341999999999</v>
      </c>
      <c r="Q9" s="134">
        <f t="shared" si="3"/>
        <v>2.6099177499999997</v>
      </c>
      <c r="R9" s="134" t="str">
        <f t="shared" si="3"/>
        <v/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Non-Conductive Hold DMG</v>
      </c>
      <c r="L10" s="124" t="str">
        <f t="shared" si="5"/>
        <v>Stack 1 Conductive Hold DMG</v>
      </c>
      <c r="M10" s="124" t="str">
        <f t="shared" si="5"/>
        <v>Stack 2 Conductive Hold DMG</v>
      </c>
      <c r="N10" s="124" t="str">
        <f t="shared" si="5"/>
        <v>Stack 3 Conductive Hold DMG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2.0187265917602994</v>
      </c>
      <c r="AB10" s="64">
        <f>1+(16*($D$8+AB13))/(2000+(AB13+$D$8))</f>
        <v>2.0187265917602994</v>
      </c>
      <c r="AC10" s="64">
        <f t="shared" ref="AC10:AD10" si="6">1+(16*($D$8+AC13))/(2000+(AC13+$D$8))</f>
        <v>2.0187265917602994</v>
      </c>
      <c r="AD10" s="64">
        <f t="shared" si="6"/>
        <v>2.0187265917602994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1.36</v>
      </c>
      <c r="K11" s="134">
        <f t="shared" si="7"/>
        <v>5.44</v>
      </c>
      <c r="L11" s="134">
        <f t="shared" si="7"/>
        <v>6.2560000000000002</v>
      </c>
      <c r="M11" s="134">
        <f t="shared" si="7"/>
        <v>7.2080000000000002</v>
      </c>
      <c r="N11" s="134">
        <f t="shared" si="7"/>
        <v>8.2823999999999991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Discharge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0.62151999999999996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0.58349999999999991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449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1.3739999999999999</v>
      </c>
      <c r="E19" s="13">
        <f>Main!D8</f>
        <v>1.32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99208.641279281132</v>
      </c>
      <c r="K19" s="22">
        <f t="shared" si="13"/>
        <v>0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0.62150000000000005</v>
      </c>
      <c r="K20" s="60"/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29</v>
      </c>
      <c r="K21" s="51"/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/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/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72</v>
      </c>
      <c r="K24" s="51"/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401</v>
      </c>
      <c r="H25" s="66"/>
      <c r="I25" s="67" t="s">
        <v>137</v>
      </c>
      <c r="J25" s="60">
        <v>0.15</v>
      </c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>
        <v>0.35199999999999998</v>
      </c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1493.6214440063629</v>
      </c>
      <c r="K29" s="34">
        <f t="shared" si="14"/>
        <v>1367.1212849748251</v>
      </c>
      <c r="L29" s="34">
        <f t="shared" si="14"/>
        <v>1367.1212849748251</v>
      </c>
      <c r="M29" s="34">
        <f t="shared" si="14"/>
        <v>1367.1212849748251</v>
      </c>
      <c r="N29" s="34">
        <f t="shared" si="14"/>
        <v>1367.1212849748251</v>
      </c>
      <c r="O29" s="34">
        <f t="shared" si="14"/>
        <v>1367.1212849748251</v>
      </c>
      <c r="P29" s="34">
        <f t="shared" si="14"/>
        <v>1367.1212849748251</v>
      </c>
      <c r="Q29" s="34">
        <f t="shared" si="14"/>
        <v>1367.1212849748251</v>
      </c>
      <c r="R29" s="34">
        <f t="shared" si="14"/>
        <v>1367.1212849748251</v>
      </c>
      <c r="S29" s="34">
        <f t="shared" si="14"/>
        <v>1367.1212849748251</v>
      </c>
      <c r="T29" s="34">
        <f t="shared" si="14"/>
        <v>1367.1212849748251</v>
      </c>
      <c r="U29" s="34">
        <f t="shared" si="14"/>
        <v>1367.1212849748251</v>
      </c>
      <c r="V29" s="34">
        <f t="shared" si="14"/>
        <v>1367.1212849748251</v>
      </c>
      <c r="W29" s="34">
        <f t="shared" si="14"/>
        <v>1367.1212849748251</v>
      </c>
      <c r="X29" s="34">
        <f t="shared" si="14"/>
        <v>1367.1212849748251</v>
      </c>
      <c r="Y29" s="34">
        <f t="shared" si="14"/>
        <v>1367.1212849748251</v>
      </c>
      <c r="Z29" s="34">
        <f t="shared" si="14"/>
        <v>1367.1212849748251</v>
      </c>
      <c r="AA29" s="34">
        <f t="shared" si="14"/>
        <v>1367.1212849748251</v>
      </c>
      <c r="AB29" s="34">
        <f t="shared" si="14"/>
        <v>1367.1212849748251</v>
      </c>
      <c r="AC29" s="34">
        <f t="shared" si="14"/>
        <v>1367.1212849748251</v>
      </c>
      <c r="AD29" s="34">
        <f t="shared" si="14"/>
        <v>1367.1212849748251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684.38025523032547</v>
      </c>
      <c r="K30" s="34">
        <f t="shared" si="15"/>
        <v>684.38025523032547</v>
      </c>
      <c r="L30" s="34">
        <f t="shared" si="15"/>
        <v>684.38025523032547</v>
      </c>
      <c r="M30" s="34">
        <f t="shared" si="15"/>
        <v>684.38025523032547</v>
      </c>
      <c r="N30" s="34">
        <f t="shared" si="15"/>
        <v>684.38025523032547</v>
      </c>
      <c r="O30" s="34">
        <f t="shared" si="15"/>
        <v>684.38025523032547</v>
      </c>
      <c r="P30" s="34">
        <f t="shared" si="15"/>
        <v>684.38025523032547</v>
      </c>
      <c r="Q30" s="34">
        <f t="shared" si="15"/>
        <v>684.38025523032547</v>
      </c>
      <c r="R30" s="34">
        <f t="shared" si="15"/>
        <v>684.38025523032547</v>
      </c>
      <c r="S30" s="34">
        <f t="shared" si="15"/>
        <v>684.38025523032547</v>
      </c>
      <c r="T30" s="34">
        <f t="shared" si="15"/>
        <v>684.38025523032547</v>
      </c>
      <c r="U30" s="34">
        <f t="shared" si="15"/>
        <v>684.38025523032547</v>
      </c>
      <c r="V30" s="34">
        <f t="shared" si="15"/>
        <v>684.38025523032547</v>
      </c>
      <c r="W30" s="34">
        <f t="shared" si="15"/>
        <v>684.38025523032547</v>
      </c>
      <c r="X30" s="34">
        <f t="shared" si="15"/>
        <v>684.38025523032547</v>
      </c>
      <c r="Y30" s="34">
        <f t="shared" si="15"/>
        <v>684.38025523032547</v>
      </c>
      <c r="Z30" s="34">
        <f t="shared" si="15"/>
        <v>684.38025523032547</v>
      </c>
      <c r="AA30" s="34">
        <f t="shared" si="15"/>
        <v>684.38025523032547</v>
      </c>
      <c r="AB30" s="34">
        <f t="shared" si="15"/>
        <v>684.38025523032547</v>
      </c>
      <c r="AC30" s="34">
        <f t="shared" si="15"/>
        <v>684.38025523032547</v>
      </c>
      <c r="AD30" s="34">
        <f t="shared" si="15"/>
        <v>684.38025523032547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19182.899930284457</v>
      </c>
      <c r="K31" s="34">
        <f t="shared" si="16"/>
        <v>19182.899930284457</v>
      </c>
      <c r="L31" s="34">
        <f t="shared" si="16"/>
        <v>19182.899930284457</v>
      </c>
      <c r="M31" s="34">
        <f t="shared" si="16"/>
        <v>19182.899930284457</v>
      </c>
      <c r="N31" s="34">
        <f t="shared" si="16"/>
        <v>19182.899930284457</v>
      </c>
      <c r="O31" s="34">
        <f t="shared" si="16"/>
        <v>19182.899930284457</v>
      </c>
      <c r="P31" s="34">
        <f t="shared" si="16"/>
        <v>19182.899930284457</v>
      </c>
      <c r="Q31" s="34">
        <f t="shared" si="16"/>
        <v>19182.899930284457</v>
      </c>
      <c r="R31" s="34">
        <f t="shared" si="16"/>
        <v>19182.899930284457</v>
      </c>
      <c r="S31" s="34">
        <f t="shared" si="16"/>
        <v>19182.899930284457</v>
      </c>
      <c r="T31" s="34">
        <f t="shared" si="16"/>
        <v>19182.899930284457</v>
      </c>
      <c r="U31" s="34">
        <f t="shared" si="16"/>
        <v>19182.899930284457</v>
      </c>
      <c r="V31" s="34">
        <f t="shared" si="16"/>
        <v>19182.899930284457</v>
      </c>
      <c r="W31" s="34">
        <f t="shared" si="16"/>
        <v>19182.899930284457</v>
      </c>
      <c r="X31" s="34">
        <f t="shared" si="16"/>
        <v>19182.899930284457</v>
      </c>
      <c r="Y31" s="34">
        <f t="shared" si="16"/>
        <v>19182.899930284457</v>
      </c>
      <c r="Z31" s="34">
        <f t="shared" si="16"/>
        <v>19182.899930284457</v>
      </c>
      <c r="AA31" s="34">
        <f t="shared" si="16"/>
        <v>19182.899930284457</v>
      </c>
      <c r="AB31" s="34">
        <f t="shared" si="16"/>
        <v>19182.899930284457</v>
      </c>
      <c r="AC31" s="34">
        <f t="shared" si="16"/>
        <v>19182.899930284457</v>
      </c>
      <c r="AD31" s="34">
        <f t="shared" si="16"/>
        <v>19182.899930284457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2.0495000000000001</v>
      </c>
      <c r="K32" s="33" t="e">
        <f t="shared" si="17"/>
        <v>#N/A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0.52777777777777779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49604.320639640566</v>
      </c>
      <c r="K50" s="22">
        <f t="shared" ref="K50:AD50" si="23">IF(K49&gt;1,K19/K49,K19)</f>
        <v>0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148812.9619189217</v>
      </c>
      <c r="K52" s="22">
        <f t="shared" ref="K52:AD52" si="25">IF(K51=0,K19,K50*3)</f>
        <v>0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1.3931249999999999</v>
      </c>
      <c r="W65" s="81">
        <f>1+(4.44*($D$8+W71))/(1400+$D$8+W71)+W72</f>
        <v>1.3931249999999999</v>
      </c>
      <c r="X65" s="81">
        <f>1+(4.44*($D$8+X71))/(1400+$D$8+X71)+X72</f>
        <v>1.3931249999999999</v>
      </c>
      <c r="Y65" s="81">
        <f>1+(4.44*($D$8+Y71))/(1400+$D$8+Y71)+Y72</f>
        <v>1.3931249999999999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2.4611759944235301</v>
      </c>
      <c r="W68" s="80">
        <f>($D$4+$C$4*W69+W70+1000)/($D$4+$C$4*W69+W70)</f>
        <v>2.4611759944235301</v>
      </c>
      <c r="X68" s="80">
        <f>($D$4+$C$4*X69+X70+1000)/($D$4+$C$4*X69+X70)</f>
        <v>2.4611759944235301</v>
      </c>
      <c r="Y68" s="80">
        <f>($D$4+$C$4*Y69+Y70+1000)/($D$4+$C$4*Y69+Y70)</f>
        <v>2.4611759944235301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2.4611759944235301</v>
      </c>
      <c r="Q69" s="80">
        <f>($D$4+$C$4*Q70+Q71+1000)/($D$4+$C$4*Q70+Q71)</f>
        <v>2.4611759944235301</v>
      </c>
      <c r="R69" s="80">
        <f>($D$4+$C$4*R70+R71+1000)/($D$4+$C$4*R70+R71)</f>
        <v>2.4611759944235301</v>
      </c>
      <c r="S69" s="80">
        <f>($D$4+$C$4*S70+S71+1000)/($D$4+$C$4*S70+S71)</f>
        <v>2.4611759944235301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0.34349999999999997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19.999999999999996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1</v>
      </c>
      <c r="E90" s="70">
        <f t="shared" si="33"/>
        <v>3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0.99999999999999678</v>
      </c>
      <c r="E96" s="70">
        <f t="shared" si="33"/>
        <v>2.9999999999999969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99208.641279281132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3921.2901691415468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49604.320639640566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148812.9619189217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64C6CF2E-F4B6-47A6-82B9-96FF496D0C0E}">
      <formula1>$B$115:$B$155</formula1>
    </dataValidation>
    <dataValidation type="list" allowBlank="1" showInputMessage="1" showErrorMessage="1" sqref="D83:D84" xr:uid="{BF093BE9-8B02-47EA-A68D-BE93D60AA23B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FAA7-EDBA-4B2B-8161-4CA70F809CBC}">
  <sheetPr codeName="Sheet5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12" sqref="D1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1344.5790724615886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453</v>
      </c>
      <c r="AB3" s="23" t="s">
        <v>465</v>
      </c>
      <c r="AC3" s="23" t="s">
        <v>466</v>
      </c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5145.7891764705882</v>
      </c>
      <c r="AB4" s="22">
        <f>AB9*AB6*(AB10+AB11)*(1-AB12)*IF(ISBLANK(AB15),1,AB15)</f>
        <v>5145.7891764705882</v>
      </c>
      <c r="AC4" s="22">
        <f t="shared" ref="AC4:AD4" si="0">AC9*AC6*(AC10+AC11)*(1-AC12)*IF(ISBLANK(AC15),1,AC15)</f>
        <v>4078.5143843137253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0.55899999999999994</v>
      </c>
      <c r="E6" s="7">
        <v>0</v>
      </c>
      <c r="F6" s="1"/>
      <c r="J6"/>
      <c r="Z6" s="67" t="s">
        <v>83</v>
      </c>
      <c r="AA6" s="24">
        <v>3</v>
      </c>
      <c r="AB6" s="24">
        <v>3</v>
      </c>
      <c r="AC6" s="24">
        <v>2</v>
      </c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>
        <v>0.24</v>
      </c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-6.9999999999999993E-2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2572.8945882352941</v>
      </c>
      <c r="AB16" s="51">
        <f t="shared" ref="AB16:AD16" si="12">IF(AB15&gt;1,AB4/AB15,AB4)</f>
        <v>2572.8945882352941</v>
      </c>
      <c r="AC16" s="51">
        <f t="shared" si="12"/>
        <v>2039.2571921568626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464</v>
      </c>
      <c r="L18" s="23" t="s">
        <v>463</v>
      </c>
      <c r="M18" s="23" t="s">
        <v>457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Main!E8</f>
        <v>1.44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5051.6581551752242</v>
      </c>
      <c r="K19" s="22">
        <f t="shared" si="13"/>
        <v>9520.9577066128586</v>
      </c>
      <c r="L19" s="22">
        <f t="shared" si="13"/>
        <v>12280.197862238601</v>
      </c>
      <c r="M19" s="22">
        <f t="shared" si="13"/>
        <v>9733.1938611817059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</f>
        <v>2.6528</v>
      </c>
      <c r="L20" s="60">
        <f>105.28%*3</f>
        <v>3.1583999999999999</v>
      </c>
      <c r="M20" s="60">
        <f>105.28%*2</f>
        <v>2.1055999999999999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>
        <v>0.15</v>
      </c>
      <c r="M25" s="60">
        <v>0.15</v>
      </c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1344.5790724615886</v>
      </c>
      <c r="K29" s="34">
        <f t="shared" si="14"/>
        <v>1477.8562821231337</v>
      </c>
      <c r="L29" s="34">
        <f t="shared" si="14"/>
        <v>1477.8562821231337</v>
      </c>
      <c r="M29" s="34">
        <f t="shared" si="14"/>
        <v>1477.8562821231337</v>
      </c>
      <c r="N29" s="34">
        <f t="shared" si="14"/>
        <v>1344.5790724615886</v>
      </c>
      <c r="O29" s="34">
        <f t="shared" si="14"/>
        <v>1344.5790724615886</v>
      </c>
      <c r="P29" s="34">
        <f t="shared" si="14"/>
        <v>1344.5790724615886</v>
      </c>
      <c r="Q29" s="34">
        <f t="shared" si="14"/>
        <v>1344.5790724615886</v>
      </c>
      <c r="R29" s="34">
        <f t="shared" si="14"/>
        <v>1344.5790724615886</v>
      </c>
      <c r="S29" s="34">
        <f t="shared" si="14"/>
        <v>1344.5790724615886</v>
      </c>
      <c r="T29" s="34">
        <f t="shared" si="14"/>
        <v>1344.5790724615886</v>
      </c>
      <c r="U29" s="34">
        <f t="shared" si="14"/>
        <v>1344.5790724615886</v>
      </c>
      <c r="V29" s="34">
        <f t="shared" si="14"/>
        <v>1344.5790724615886</v>
      </c>
      <c r="W29" s="34">
        <f t="shared" si="14"/>
        <v>1344.5790724615886</v>
      </c>
      <c r="X29" s="34">
        <f t="shared" si="14"/>
        <v>1344.5790724615886</v>
      </c>
      <c r="Y29" s="34">
        <f t="shared" si="14"/>
        <v>1344.5790724615886</v>
      </c>
      <c r="Z29" s="34">
        <f t="shared" si="14"/>
        <v>1344.5790724615886</v>
      </c>
      <c r="AA29" s="34">
        <f t="shared" si="14"/>
        <v>1344.5790724615886</v>
      </c>
      <c r="AB29" s="34">
        <f t="shared" si="14"/>
        <v>1344.5790724615886</v>
      </c>
      <c r="AC29" s="34">
        <f t="shared" si="14"/>
        <v>1344.5790724615886</v>
      </c>
      <c r="AD29" s="34">
        <f t="shared" si="14"/>
        <v>1344.5790724615886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0.55899999999999994</v>
      </c>
      <c r="K33" s="33">
        <f t="shared" ref="K33:AD33" si="18">IF($D$6+K44&lt;0,0,IF($D$6+K44&gt;1,1,$D$6+K44))</f>
        <v>0.55899999999999994</v>
      </c>
      <c r="L33" s="33">
        <f t="shared" si="18"/>
        <v>0.55899999999999994</v>
      </c>
      <c r="M33" s="33">
        <f t="shared" si="18"/>
        <v>0.55899999999999994</v>
      </c>
      <c r="N33" s="33">
        <f t="shared" si="18"/>
        <v>0.55899999999999994</v>
      </c>
      <c r="O33" s="33">
        <f t="shared" si="18"/>
        <v>0.55899999999999994</v>
      </c>
      <c r="P33" s="33">
        <f t="shared" si="18"/>
        <v>0.55899999999999994</v>
      </c>
      <c r="Q33" s="33">
        <f t="shared" si="18"/>
        <v>0.55899999999999994</v>
      </c>
      <c r="R33" s="33">
        <f t="shared" si="18"/>
        <v>0.55899999999999994</v>
      </c>
      <c r="S33" s="33">
        <f t="shared" si="18"/>
        <v>0.55899999999999994</v>
      </c>
      <c r="T33" s="33">
        <f t="shared" si="18"/>
        <v>0.55899999999999994</v>
      </c>
      <c r="U33" s="33">
        <f t="shared" si="18"/>
        <v>0.55899999999999994</v>
      </c>
      <c r="V33" s="33">
        <f t="shared" si="18"/>
        <v>0.55899999999999994</v>
      </c>
      <c r="W33" s="33">
        <f t="shared" si="18"/>
        <v>0.55899999999999994</v>
      </c>
      <c r="X33" s="33">
        <f t="shared" si="18"/>
        <v>0.55899999999999994</v>
      </c>
      <c r="Y33" s="33">
        <f t="shared" si="18"/>
        <v>0.55899999999999994</v>
      </c>
      <c r="Z33" s="33">
        <f t="shared" si="18"/>
        <v>0.55899999999999994</v>
      </c>
      <c r="AA33" s="33">
        <f t="shared" si="18"/>
        <v>0.55899999999999994</v>
      </c>
      <c r="AB33" s="33">
        <f t="shared" si="18"/>
        <v>0.55899999999999994</v>
      </c>
      <c r="AC33" s="33">
        <f t="shared" si="18"/>
        <v>0.55899999999999994</v>
      </c>
      <c r="AD33" s="33">
        <f t="shared" si="18"/>
        <v>0.55899999999999994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0.52777777777777779</v>
      </c>
      <c r="M36" s="61">
        <f t="shared" si="21"/>
        <v>0.52777777777777779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>
        <v>0.2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5051.6581551752242</v>
      </c>
      <c r="K50" s="22">
        <f t="shared" ref="K50:AD50" si="23">IF(K49&gt;1,K19/K49,K19)</f>
        <v>4760.4788533064293</v>
      </c>
      <c r="L50" s="22">
        <f t="shared" si="23"/>
        <v>6140.0989311193007</v>
      </c>
      <c r="M50" s="22">
        <f t="shared" si="23"/>
        <v>4866.5969305908529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1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5051.6581551752242</v>
      </c>
      <c r="K52" s="22">
        <f t="shared" ref="K52:AD52" si="25">IF(K51=0,K19,K50*3)</f>
        <v>14281.436559919288</v>
      </c>
      <c r="L52" s="22">
        <f t="shared" si="25"/>
        <v>18420.296793357902</v>
      </c>
      <c r="M52" s="22">
        <f t="shared" si="25"/>
        <v>14599.790791772559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4</v>
      </c>
      <c r="E93" s="70">
        <f t="shared" si="33"/>
        <v>6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36586.00758520839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1446.0872563323474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28003.879238819256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66723.275037479878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AA87CBE0-492B-4BAC-8C13-C48BA0301545}">
      <formula1>$B$115:$B$155</formula1>
    </dataValidation>
    <dataValidation type="list" allowBlank="1" showInputMessage="1" showErrorMessage="1" sqref="D83:D84" xr:uid="{A56E0DD3-9114-4B3F-A5C0-220CA66CC438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ECA3B-C736-405A-9A6E-64272B342934}">
  <sheetPr codeName="Sheet6">
    <tabColor theme="8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1.9020000000000001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 t="s">
        <v>448</v>
      </c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1.4640000579999999</v>
      </c>
      <c r="E19" s="13">
        <f>Main!B26</f>
        <v>1.41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16608.008475075905</v>
      </c>
      <c r="K19" s="22">
        <f t="shared" si="13"/>
        <v>28919.365697389723</v>
      </c>
      <c r="L19" s="22">
        <f t="shared" si="13"/>
        <v>54552.37798465597</v>
      </c>
      <c r="M19" s="22">
        <f t="shared" si="13"/>
        <v>51687.837809009128</v>
      </c>
      <c r="N19" s="22">
        <f t="shared" si="13"/>
        <v>57172.19152026769</v>
      </c>
      <c r="O19" s="22">
        <f t="shared" si="13"/>
        <v>63788.613245571978</v>
      </c>
      <c r="P19" s="22">
        <f t="shared" si="13"/>
        <v>418058.82714769861</v>
      </c>
      <c r="Q19" s="22">
        <f t="shared" si="13"/>
        <v>6854.0046179593337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>
        <v>2.4887999999999999</v>
      </c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 t="s">
        <v>47</v>
      </c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 t="s">
        <v>91</v>
      </c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 t="s">
        <v>105</v>
      </c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2022.1263345661278</v>
      </c>
      <c r="K29" s="34">
        <f t="shared" si="14"/>
        <v>2098.9022094954012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1851.5132791677424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1.3</v>
      </c>
      <c r="L32" s="33">
        <f t="shared" si="17"/>
        <v>2.133</v>
      </c>
      <c r="M32" s="33">
        <f t="shared" si="17"/>
        <v>1.3</v>
      </c>
      <c r="N32" s="33">
        <f t="shared" si="17"/>
        <v>2.383</v>
      </c>
      <c r="O32" s="33">
        <f t="shared" si="17"/>
        <v>2.383</v>
      </c>
      <c r="P32" s="33">
        <f t="shared" si="17"/>
        <v>2.383</v>
      </c>
      <c r="Q32" s="33">
        <f t="shared" si="17"/>
        <v>1.3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0.99619999999999997</v>
      </c>
      <c r="K33" s="33">
        <f t="shared" ref="K33:AD33" si="18">IF($D$6+K44&lt;0,0,IF($D$6+K44&gt;1,1,$D$6+K44))</f>
        <v>0.99619999999999997</v>
      </c>
      <c r="L33" s="33">
        <f t="shared" si="18"/>
        <v>0.99619999999999997</v>
      </c>
      <c r="M33" s="33">
        <f t="shared" si="18"/>
        <v>0.872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0.84619999999999995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1.9020000000000001</v>
      </c>
      <c r="K34" s="33">
        <f t="shared" si="19"/>
        <v>1.9020000000000001</v>
      </c>
      <c r="L34" s="33">
        <f t="shared" si="19"/>
        <v>1.9020000000000001</v>
      </c>
      <c r="M34" s="33">
        <f t="shared" si="19"/>
        <v>1.9020000000000001</v>
      </c>
      <c r="N34" s="33">
        <f t="shared" si="19"/>
        <v>1.9020000000000001</v>
      </c>
      <c r="O34" s="33">
        <f t="shared" si="19"/>
        <v>1.9020000000000001</v>
      </c>
      <c r="P34" s="33">
        <f t="shared" si="19"/>
        <v>1.9020000000000001</v>
      </c>
      <c r="Q34" s="33">
        <f t="shared" si="19"/>
        <v>1.9020000000000001</v>
      </c>
      <c r="R34" s="33">
        <f t="shared" si="19"/>
        <v>1.9020000000000001</v>
      </c>
      <c r="S34" s="33">
        <f t="shared" si="19"/>
        <v>1.9020000000000001</v>
      </c>
      <c r="T34" s="33">
        <f t="shared" si="19"/>
        <v>1.9020000000000001</v>
      </c>
      <c r="U34" s="33">
        <f t="shared" si="19"/>
        <v>1.9020000000000001</v>
      </c>
      <c r="V34" s="33">
        <f t="shared" si="19"/>
        <v>1.9020000000000001</v>
      </c>
      <c r="W34" s="33">
        <f t="shared" si="19"/>
        <v>1.9020000000000001</v>
      </c>
      <c r="X34" s="33">
        <f t="shared" si="19"/>
        <v>1.9020000000000001</v>
      </c>
      <c r="Y34" s="33">
        <f t="shared" si="19"/>
        <v>1.9020000000000001</v>
      </c>
      <c r="Z34" s="33">
        <f t="shared" si="19"/>
        <v>1.9020000000000001</v>
      </c>
      <c r="AA34" s="33">
        <f t="shared" si="19"/>
        <v>1.9020000000000001</v>
      </c>
      <c r="AB34" s="33">
        <f t="shared" si="19"/>
        <v>1.9020000000000001</v>
      </c>
      <c r="AC34" s="33">
        <f t="shared" si="19"/>
        <v>1.9020000000000001</v>
      </c>
      <c r="AD34" s="33">
        <f t="shared" si="19"/>
        <v>1.9020000000000001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0.1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0.49</v>
      </c>
      <c r="L38" s="30">
        <f>29%</f>
        <v>0.28999999999999998</v>
      </c>
      <c r="M38" s="30">
        <v>0.28999999999999998</v>
      </c>
      <c r="N38" s="30">
        <f>38%</f>
        <v>0.38</v>
      </c>
      <c r="O38" s="30">
        <f>38%</f>
        <v>0.38</v>
      </c>
      <c r="P38" s="30">
        <f>38%</f>
        <v>0.38</v>
      </c>
      <c r="Q38" s="30">
        <v>0.2</v>
      </c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15%*'2-Rosaria'!$D$6+15%</f>
        <v>0.2742</v>
      </c>
      <c r="K44" s="30">
        <f>15%*'2-Rosaria'!$D$6+15%</f>
        <v>0.2742</v>
      </c>
      <c r="L44" s="30">
        <f>15%*'2-Rosaria'!$D$6+15%</f>
        <v>0.2742</v>
      </c>
      <c r="M44" s="30">
        <v>0.15</v>
      </c>
      <c r="N44" s="30">
        <v>0.15</v>
      </c>
      <c r="O44" s="30">
        <v>0.15</v>
      </c>
      <c r="P44" s="30">
        <v>0.15</v>
      </c>
      <c r="Q44" s="30">
        <f>15%*'2-Rosaria'!$D$6</f>
        <v>0.12419999999999999</v>
      </c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8304.0042375379526</v>
      </c>
      <c r="K50" s="22">
        <f t="shared" ref="K50:AD50" si="23">IF(K49&gt;1,K19/K49,K19)</f>
        <v>14459.682848694862</v>
      </c>
      <c r="L50" s="22">
        <f t="shared" si="23"/>
        <v>54552.37798465597</v>
      </c>
      <c r="M50" s="22">
        <f t="shared" si="23"/>
        <v>25843.918904504564</v>
      </c>
      <c r="N50" s="22">
        <f t="shared" si="23"/>
        <v>28586.095760133845</v>
      </c>
      <c r="O50" s="22">
        <f t="shared" si="23"/>
        <v>63788.613245571978</v>
      </c>
      <c r="P50" s="22">
        <f t="shared" si="23"/>
        <v>209029.41357384931</v>
      </c>
      <c r="Q50" s="22">
        <f t="shared" si="23"/>
        <v>6854.0046179593337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16608.008475075905</v>
      </c>
      <c r="K52" s="22">
        <f t="shared" ref="K52:AD52" si="25">IF(K51=0,K19,K50*3)</f>
        <v>43379.048546084581</v>
      </c>
      <c r="L52" s="22">
        <f t="shared" si="25"/>
        <v>54552.37798465597</v>
      </c>
      <c r="M52" s="22">
        <f t="shared" si="25"/>
        <v>77531.756713513692</v>
      </c>
      <c r="N52" s="22">
        <f t="shared" si="25"/>
        <v>85758.287280401535</v>
      </c>
      <c r="O52" s="22">
        <f t="shared" si="25"/>
        <v>63788.613245571978</v>
      </c>
      <c r="P52" s="22">
        <f t="shared" si="25"/>
        <v>627088.24072154798</v>
      </c>
      <c r="Q52" s="22">
        <f t="shared" si="25"/>
        <v>6854.0046179593337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4</v>
      </c>
      <c r="E94" s="70">
        <f t="shared" si="33"/>
        <v>6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6.0000009999999993</v>
      </c>
      <c r="E96" s="70">
        <f t="shared" si="33"/>
        <v>8.0000009999999993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697641.22649762838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31710.964840801291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411418.11117290781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975560.33758481103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59817A40-5E99-4AED-9FCF-7E4DD67C15AF}">
      <formula1>"amp,trans,nil"</formula1>
    </dataValidation>
    <dataValidation type="list" allowBlank="1" showInputMessage="1" showErrorMessage="1" sqref="C1" xr:uid="{EFEDC8A8-023A-4A48-A6BB-0C5465DF923B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A30D-50FA-4823-9988-27065DCD9D9F}">
  <sheetPr codeName="Sheet7">
    <tabColor theme="8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33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244.24395214170312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1707.164577567916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593.76677080507397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707.3938503849032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6495.6728163265298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9188.8851765442851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15395.773694198715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4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205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0.81048439999999999</v>
      </c>
      <c r="K9" s="134">
        <f t="shared" si="3"/>
        <v>0.85934860000000002</v>
      </c>
      <c r="L9" s="134">
        <f t="shared" si="3"/>
        <v>1.0680318</v>
      </c>
      <c r="M9" s="134">
        <f t="shared" si="3"/>
        <v>1.0601326999999998</v>
      </c>
      <c r="N9" s="134">
        <f t="shared" si="3"/>
        <v>1.3239259000000001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Oz's ATK DMG</v>
      </c>
      <c r="K10" s="124" t="str">
        <f t="shared" si="5"/>
        <v>Summoning DMG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2.487528344671202</v>
      </c>
      <c r="AB10" s="64">
        <f>1+(16*($D$8+AB13))/(2000+(AB13+$D$8))</f>
        <v>2.487528344671202</v>
      </c>
      <c r="AC10" s="64">
        <f t="shared" ref="AC10:AD10" si="6">1+(16*($D$8+AC13))/(2000+(AC13+$D$8))</f>
        <v>2.487528344671202</v>
      </c>
      <c r="AD10" s="64">
        <f t="shared" si="6"/>
        <v>2.487528344671202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1.5096000000000001</v>
      </c>
      <c r="K11" s="134">
        <f t="shared" si="7"/>
        <v>1.96248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Falling Thunder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3.536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1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0.24</v>
      </c>
      <c r="F16" s="12"/>
      <c r="I16"/>
      <c r="J16"/>
      <c r="Z16" s="152" t="s">
        <v>534</v>
      </c>
      <c r="AA16" s="51">
        <f>IF(AA15&gt;1,AA4/AA15,AA4)</f>
        <v>6495.6728163265298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492</v>
      </c>
      <c r="L18" s="23" t="s">
        <v>493</v>
      </c>
      <c r="M18" s="23" t="s">
        <v>494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1.3480000000000001</v>
      </c>
      <c r="E19" s="13">
        <f>Main!C26</f>
        <v>1.32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10658.118301524215</v>
      </c>
      <c r="K19" s="22">
        <f t="shared" si="13"/>
        <v>49191.315237804047</v>
      </c>
      <c r="L19" s="22">
        <f t="shared" si="13"/>
        <v>4154.6718950848017</v>
      </c>
      <c r="M19" s="22">
        <f t="shared" si="13"/>
        <v>1846.5208422599121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2.3088000000000002</v>
      </c>
      <c r="K20" s="60">
        <v>1.776</v>
      </c>
      <c r="L20" s="60">
        <v>0.3</v>
      </c>
      <c r="M20" s="60">
        <v>0.8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6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1707.164577567916</v>
      </c>
      <c r="K29" s="34">
        <f t="shared" si="14"/>
        <v>1707.164577567916</v>
      </c>
      <c r="L29" s="34">
        <f t="shared" si="14"/>
        <v>1707.164577567916</v>
      </c>
      <c r="M29" s="34">
        <f t="shared" si="14"/>
        <v>1707.164577567916</v>
      </c>
      <c r="N29" s="34">
        <f t="shared" si="14"/>
        <v>1707.164577567916</v>
      </c>
      <c r="O29" s="34">
        <f t="shared" si="14"/>
        <v>1707.164577567916</v>
      </c>
      <c r="P29" s="34">
        <f t="shared" si="14"/>
        <v>1707.164577567916</v>
      </c>
      <c r="Q29" s="34">
        <f t="shared" si="14"/>
        <v>1707.164577567916</v>
      </c>
      <c r="R29" s="34">
        <f t="shared" si="14"/>
        <v>1707.164577567916</v>
      </c>
      <c r="S29" s="34">
        <f t="shared" si="14"/>
        <v>1707.164577567916</v>
      </c>
      <c r="T29" s="34">
        <f t="shared" si="14"/>
        <v>1707.164577567916</v>
      </c>
      <c r="U29" s="34">
        <f t="shared" si="14"/>
        <v>1707.164577567916</v>
      </c>
      <c r="V29" s="34">
        <f t="shared" si="14"/>
        <v>1707.164577567916</v>
      </c>
      <c r="W29" s="34">
        <f t="shared" si="14"/>
        <v>1707.164577567916</v>
      </c>
      <c r="X29" s="34">
        <f t="shared" si="14"/>
        <v>1707.164577567916</v>
      </c>
      <c r="Y29" s="34">
        <f t="shared" si="14"/>
        <v>1707.164577567916</v>
      </c>
      <c r="Z29" s="34">
        <f t="shared" si="14"/>
        <v>1707.164577567916</v>
      </c>
      <c r="AA29" s="34">
        <f t="shared" si="14"/>
        <v>1707.164577567916</v>
      </c>
      <c r="AB29" s="34">
        <f t="shared" si="14"/>
        <v>1707.164577567916</v>
      </c>
      <c r="AC29" s="34">
        <f t="shared" si="14"/>
        <v>1707.164577567916</v>
      </c>
      <c r="AD29" s="34">
        <f t="shared" si="14"/>
        <v>1707.164577567916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707.3938503849032</v>
      </c>
      <c r="K30" s="34">
        <f t="shared" si="15"/>
        <v>707.3938503849032</v>
      </c>
      <c r="L30" s="34">
        <f t="shared" si="15"/>
        <v>707.3938503849032</v>
      </c>
      <c r="M30" s="34">
        <f t="shared" si="15"/>
        <v>707.3938503849032</v>
      </c>
      <c r="N30" s="34">
        <f t="shared" si="15"/>
        <v>707.3938503849032</v>
      </c>
      <c r="O30" s="34">
        <f t="shared" si="15"/>
        <v>707.3938503849032</v>
      </c>
      <c r="P30" s="34">
        <f t="shared" si="15"/>
        <v>707.3938503849032</v>
      </c>
      <c r="Q30" s="34">
        <f t="shared" si="15"/>
        <v>707.3938503849032</v>
      </c>
      <c r="R30" s="34">
        <f t="shared" si="15"/>
        <v>707.3938503849032</v>
      </c>
      <c r="S30" s="34">
        <f t="shared" si="15"/>
        <v>707.3938503849032</v>
      </c>
      <c r="T30" s="34">
        <f t="shared" si="15"/>
        <v>707.3938503849032</v>
      </c>
      <c r="U30" s="34">
        <f t="shared" si="15"/>
        <v>707.3938503849032</v>
      </c>
      <c r="V30" s="34">
        <f t="shared" si="15"/>
        <v>707.3938503849032</v>
      </c>
      <c r="W30" s="34">
        <f t="shared" si="15"/>
        <v>707.3938503849032</v>
      </c>
      <c r="X30" s="34">
        <f t="shared" si="15"/>
        <v>707.3938503849032</v>
      </c>
      <c r="Y30" s="34">
        <f t="shared" si="15"/>
        <v>707.3938503849032</v>
      </c>
      <c r="Z30" s="34">
        <f t="shared" si="15"/>
        <v>707.3938503849032</v>
      </c>
      <c r="AA30" s="34">
        <f t="shared" si="15"/>
        <v>707.3938503849032</v>
      </c>
      <c r="AB30" s="34">
        <f t="shared" si="15"/>
        <v>707.3938503849032</v>
      </c>
      <c r="AC30" s="34">
        <f t="shared" si="15"/>
        <v>707.3938503849032</v>
      </c>
      <c r="AD30" s="34">
        <f t="shared" si="15"/>
        <v>707.3938503849032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15395.773694198715</v>
      </c>
      <c r="K31" s="34">
        <f t="shared" si="16"/>
        <v>15395.773694198715</v>
      </c>
      <c r="L31" s="34">
        <f t="shared" si="16"/>
        <v>15395.773694198715</v>
      </c>
      <c r="M31" s="34">
        <f t="shared" si="16"/>
        <v>15395.773694198715</v>
      </c>
      <c r="N31" s="34">
        <f t="shared" si="16"/>
        <v>15395.773694198715</v>
      </c>
      <c r="O31" s="34">
        <f t="shared" si="16"/>
        <v>15395.773694198715</v>
      </c>
      <c r="P31" s="34">
        <f t="shared" si="16"/>
        <v>15395.773694198715</v>
      </c>
      <c r="Q31" s="34">
        <f t="shared" si="16"/>
        <v>15395.773694198715</v>
      </c>
      <c r="R31" s="34">
        <f t="shared" si="16"/>
        <v>15395.773694198715</v>
      </c>
      <c r="S31" s="34">
        <f t="shared" si="16"/>
        <v>15395.773694198715</v>
      </c>
      <c r="T31" s="34">
        <f t="shared" si="16"/>
        <v>15395.773694198715</v>
      </c>
      <c r="U31" s="34">
        <f t="shared" si="16"/>
        <v>15395.773694198715</v>
      </c>
      <c r="V31" s="34">
        <f t="shared" si="16"/>
        <v>15395.773694198715</v>
      </c>
      <c r="W31" s="34">
        <f t="shared" si="16"/>
        <v>15395.773694198715</v>
      </c>
      <c r="X31" s="34">
        <f t="shared" si="16"/>
        <v>15395.773694198715</v>
      </c>
      <c r="Y31" s="34">
        <f t="shared" si="16"/>
        <v>15395.773694198715</v>
      </c>
      <c r="Z31" s="34">
        <f t="shared" si="16"/>
        <v>15395.773694198715</v>
      </c>
      <c r="AA31" s="34">
        <f t="shared" si="16"/>
        <v>15395.773694198715</v>
      </c>
      <c r="AB31" s="34">
        <f t="shared" si="16"/>
        <v>15395.773694198715</v>
      </c>
      <c r="AC31" s="34">
        <f t="shared" si="16"/>
        <v>15395.773694198715</v>
      </c>
      <c r="AD31" s="34">
        <f t="shared" si="16"/>
        <v>15395.773694198715</v>
      </c>
    </row>
    <row r="32" spans="1:30" x14ac:dyDescent="0.25">
      <c r="A32" s="1"/>
      <c r="B32" s="92" t="s">
        <v>1</v>
      </c>
      <c r="C32">
        <v>165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1.706</v>
      </c>
      <c r="L32" s="33">
        <f t="shared" si="17"/>
        <v>1.706</v>
      </c>
      <c r="M32" s="33">
        <f t="shared" si="17"/>
        <v>1.706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0.625</v>
      </c>
      <c r="L33" s="33">
        <f t="shared" si="18"/>
        <v>0.625</v>
      </c>
      <c r="M33" s="33">
        <f t="shared" si="18"/>
        <v>0.625</v>
      </c>
      <c r="N33" s="33">
        <f t="shared" si="18"/>
        <v>0.625</v>
      </c>
      <c r="O33" s="33">
        <f t="shared" si="18"/>
        <v>0.625</v>
      </c>
      <c r="P33" s="33">
        <f t="shared" si="18"/>
        <v>0.625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>
        <v>0.24</v>
      </c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5329.0591507621075</v>
      </c>
      <c r="K50" s="22">
        <f t="shared" ref="K50:AD50" si="23">IF(K49&gt;1,K19/K49,K19)</f>
        <v>49191.315237804047</v>
      </c>
      <c r="L50" s="22">
        <f t="shared" si="23"/>
        <v>4154.6718950848017</v>
      </c>
      <c r="M50" s="22">
        <f t="shared" si="23"/>
        <v>1846.5208422599121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15987.177452286323</v>
      </c>
      <c r="K52" s="22">
        <f t="shared" ref="K52:AD52" si="25">IF(K51=0,K19,K50*3)</f>
        <v>49191.315237804047</v>
      </c>
      <c r="L52" s="22">
        <f t="shared" si="25"/>
        <v>4154.6718950848017</v>
      </c>
      <c r="M52" s="22">
        <f t="shared" si="25"/>
        <v>1846.5208422599121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1.5671028037383179</v>
      </c>
      <c r="W65" s="81">
        <f>1+(4.44*($D$8+W71))/(1400+$D$8+W71)+W72</f>
        <v>1.5671028037383179</v>
      </c>
      <c r="X65" s="81">
        <f>1+(4.44*($D$8+X71))/(1400+$D$8+X71)+X72</f>
        <v>1.5671028037383179</v>
      </c>
      <c r="Y65" s="81">
        <f>1+(4.44*($D$8+Y71))/(1400+$D$8+Y71)+Y72</f>
        <v>1.5671028037383179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2.4136396569688658</v>
      </c>
      <c r="W68" s="80">
        <f>($D$4+$C$4*W69+W70+1000)/($D$4+$C$4*W69+W70)</f>
        <v>2.4136396569688658</v>
      </c>
      <c r="X68" s="80">
        <f>($D$4+$C$4*X69+X70+1000)/($D$4+$C$4*X69+X70)</f>
        <v>2.4136396569688658</v>
      </c>
      <c r="Y68" s="80">
        <f>($D$4+$C$4*Y69+Y70+1000)/($D$4+$C$4*Y69+Y70)</f>
        <v>2.4136396569688658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2.4136396569688658</v>
      </c>
      <c r="Q69" s="80">
        <f>($D$4+$C$4*Q70+Q71+1000)/($D$4+$C$4*Q70+Q71)</f>
        <v>2.4136396569688658</v>
      </c>
      <c r="R69" s="80">
        <f>($D$4+$C$4*R70+R71+1000)/($D$4+$C$4*R70+R71)</f>
        <v>2.4136396569688658</v>
      </c>
      <c r="S69" s="80">
        <f>($D$4+$C$4*S70+S71+1000)/($D$4+$C$4*S70+S71)</f>
        <v>2.4136396569688658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4.0000000000000009</v>
      </c>
      <c r="E96" s="70">
        <f t="shared" si="33"/>
        <v>6.0000000000000009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65850.626276672978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2993.2102853033171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67017.2399422374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77675.358243761613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AD3B096C-15F7-4781-87C8-9126A1841B7E}">
      <formula1>$B$115:$B$155</formula1>
    </dataValidation>
    <dataValidation type="list" allowBlank="1" showInputMessage="1" showErrorMessage="1" sqref="D83:D84" xr:uid="{96B3B808-8A12-4C42-B4D5-474F80A52C37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7349-0EC5-46B4-8C8E-F0208B581403}">
  <sheetPr codeName="Sheet8">
    <tabColor theme="8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1882.8956190476219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0.82799999999999996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0.38700000000000001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1.548</v>
      </c>
      <c r="E19" s="13">
        <f>Main!D26</f>
        <v>1.54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10457.567686354425</v>
      </c>
      <c r="K19" s="22">
        <f t="shared" si="13"/>
        <v>155861.5119206454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208%+304%+264%*6</f>
        <v>20.96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2021.6948626439778</v>
      </c>
      <c r="K29" s="34">
        <f t="shared" si="14"/>
        <v>2021.6948626439778</v>
      </c>
      <c r="L29" s="34">
        <f t="shared" si="14"/>
        <v>1882.8956190476219</v>
      </c>
      <c r="M29" s="34">
        <f t="shared" si="14"/>
        <v>1882.8956190476219</v>
      </c>
      <c r="N29" s="34">
        <f t="shared" si="14"/>
        <v>1882.8956190476219</v>
      </c>
      <c r="O29" s="34">
        <f t="shared" si="14"/>
        <v>1882.8956190476219</v>
      </c>
      <c r="P29" s="34">
        <f t="shared" si="14"/>
        <v>1882.8956190476219</v>
      </c>
      <c r="Q29" s="34">
        <f t="shared" si="14"/>
        <v>1882.8956190476219</v>
      </c>
      <c r="R29" s="34">
        <f t="shared" si="14"/>
        <v>1882.8956190476219</v>
      </c>
      <c r="S29" s="34">
        <f t="shared" si="14"/>
        <v>1882.8956190476219</v>
      </c>
      <c r="T29" s="34">
        <f t="shared" si="14"/>
        <v>1882.8956190476219</v>
      </c>
      <c r="U29" s="34">
        <f t="shared" si="14"/>
        <v>1882.8956190476219</v>
      </c>
      <c r="V29" s="34">
        <f t="shared" si="14"/>
        <v>1882.8956190476219</v>
      </c>
      <c r="W29" s="34">
        <f t="shared" si="14"/>
        <v>1882.8956190476219</v>
      </c>
      <c r="X29" s="34">
        <f t="shared" si="14"/>
        <v>1882.8956190476219</v>
      </c>
      <c r="Y29" s="34">
        <f t="shared" si="14"/>
        <v>1882.8956190476219</v>
      </c>
      <c r="Z29" s="34">
        <f t="shared" si="14"/>
        <v>1882.8956190476219</v>
      </c>
      <c r="AA29" s="34">
        <f t="shared" si="14"/>
        <v>1882.8956190476219</v>
      </c>
      <c r="AB29" s="34">
        <f t="shared" si="14"/>
        <v>1882.8956190476219</v>
      </c>
      <c r="AC29" s="34">
        <f t="shared" si="14"/>
        <v>1882.8956190476219</v>
      </c>
      <c r="AD29" s="34">
        <f t="shared" si="14"/>
        <v>1882.8956190476219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1.853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0.82799999999999996</v>
      </c>
      <c r="K33" s="33">
        <f t="shared" ref="K33:AD33" si="18">IF($D$6+K44&lt;0,0,IF($D$6+K44&gt;1,1,$D$6+K44))</f>
        <v>0.97799999999999998</v>
      </c>
      <c r="L33" s="33">
        <f t="shared" si="18"/>
        <v>0.82799999999999996</v>
      </c>
      <c r="M33" s="33">
        <f t="shared" si="18"/>
        <v>0.82799999999999996</v>
      </c>
      <c r="N33" s="33">
        <f t="shared" si="18"/>
        <v>0.82799999999999996</v>
      </c>
      <c r="O33" s="33">
        <f t="shared" si="18"/>
        <v>0.82799999999999996</v>
      </c>
      <c r="P33" s="33">
        <f t="shared" si="18"/>
        <v>0.82799999999999996</v>
      </c>
      <c r="Q33" s="33">
        <f t="shared" si="18"/>
        <v>0.82799999999999996</v>
      </c>
      <c r="R33" s="33">
        <f t="shared" si="18"/>
        <v>0.82799999999999996</v>
      </c>
      <c r="S33" s="33">
        <f t="shared" si="18"/>
        <v>0.82799999999999996</v>
      </c>
      <c r="T33" s="33">
        <f t="shared" si="18"/>
        <v>0.82799999999999996</v>
      </c>
      <c r="U33" s="33">
        <f t="shared" si="18"/>
        <v>0.82799999999999996</v>
      </c>
      <c r="V33" s="33">
        <f t="shared" si="18"/>
        <v>0.82799999999999996</v>
      </c>
      <c r="W33" s="33">
        <f t="shared" si="18"/>
        <v>0.82799999999999996</v>
      </c>
      <c r="X33" s="33">
        <f t="shared" si="18"/>
        <v>0.82799999999999996</v>
      </c>
      <c r="Y33" s="33">
        <f t="shared" si="18"/>
        <v>0.82799999999999996</v>
      </c>
      <c r="Z33" s="33">
        <f t="shared" si="18"/>
        <v>0.82799999999999996</v>
      </c>
      <c r="AA33" s="33">
        <f t="shared" si="18"/>
        <v>0.82799999999999996</v>
      </c>
      <c r="AB33" s="33">
        <f t="shared" si="18"/>
        <v>0.82799999999999996</v>
      </c>
      <c r="AC33" s="33">
        <f t="shared" si="18"/>
        <v>0.82799999999999996</v>
      </c>
      <c r="AD33" s="33">
        <f t="shared" si="18"/>
        <v>0.82799999999999996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10457.567686354425</v>
      </c>
      <c r="K50" s="22">
        <f t="shared" ref="K50:AD50" si="23">IF(K49&gt;1,K19/K49,K19)</f>
        <v>77930.755960322698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10457.567686354425</v>
      </c>
      <c r="K52" s="22">
        <f t="shared" ref="K52:AD52" si="25">IF(K51=0,K19,K50*3)</f>
        <v>233792.26788096811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0.38700000000000001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5</v>
      </c>
      <c r="E90" s="70">
        <f t="shared" si="33"/>
        <v>7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1</v>
      </c>
      <c r="E93" s="70">
        <f t="shared" si="33"/>
        <v>3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3.9999999999999991</v>
      </c>
      <c r="E96" s="70">
        <f t="shared" si="33"/>
        <v>5.9999999999999991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166319.07960699982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7559.9581639545368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89245.955176088886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245965.09862614606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F38FD17-598C-4BC7-BF89-C9EF76E28AD0}">
      <formula1>$B$115:$B$155</formula1>
    </dataValidation>
    <dataValidation type="list" allowBlank="1" showInputMessage="1" showErrorMessage="1" sqref="D83:D84" xr:uid="{8EC134A4-811D-439B-A769-ADE3F2AEAC3F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4D15-0014-40FB-852F-F114EC9A1E8F}">
  <sheetPr codeName="Sheet9">
    <tabColor theme="8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J20" sqref="J20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1411.217677292361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0.42699999999999999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1.845</v>
      </c>
      <c r="E19" s="13">
        <f>Main!E26</f>
        <v>1.82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6366.2582692557289</v>
      </c>
      <c r="K19" s="22">
        <f t="shared" si="13"/>
        <v>18232.290045354755</v>
      </c>
      <c r="L19" s="22">
        <f t="shared" si="13"/>
        <v>14387.610546214381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160%+105.28%*3</f>
        <v>4.7584</v>
      </c>
      <c r="L20" s="60">
        <f>105.28%*3</f>
        <v>3.1583999999999999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1544.4948869539062</v>
      </c>
      <c r="K29" s="34">
        <f t="shared" si="14"/>
        <v>1677.7720966154513</v>
      </c>
      <c r="L29" s="34">
        <f t="shared" si="14"/>
        <v>1677.7720966154513</v>
      </c>
      <c r="M29" s="34">
        <f t="shared" si="14"/>
        <v>1411.217677292361</v>
      </c>
      <c r="N29" s="34">
        <f t="shared" si="14"/>
        <v>1411.217677292361</v>
      </c>
      <c r="O29" s="34">
        <f t="shared" si="14"/>
        <v>1411.217677292361</v>
      </c>
      <c r="P29" s="34">
        <f t="shared" si="14"/>
        <v>1411.217677292361</v>
      </c>
      <c r="Q29" s="34">
        <f t="shared" si="14"/>
        <v>1411.217677292361</v>
      </c>
      <c r="R29" s="34">
        <f t="shared" si="14"/>
        <v>1411.217677292361</v>
      </c>
      <c r="S29" s="34">
        <f t="shared" si="14"/>
        <v>1411.217677292361</v>
      </c>
      <c r="T29" s="34">
        <f t="shared" si="14"/>
        <v>1411.217677292361</v>
      </c>
      <c r="U29" s="34">
        <f t="shared" si="14"/>
        <v>1411.217677292361</v>
      </c>
      <c r="V29" s="34">
        <f t="shared" si="14"/>
        <v>1411.217677292361</v>
      </c>
      <c r="W29" s="34">
        <f t="shared" si="14"/>
        <v>1411.217677292361</v>
      </c>
      <c r="X29" s="34">
        <f t="shared" si="14"/>
        <v>1411.217677292361</v>
      </c>
      <c r="Y29" s="34">
        <f t="shared" si="14"/>
        <v>1411.217677292361</v>
      </c>
      <c r="Z29" s="34">
        <f t="shared" si="14"/>
        <v>1411.217677292361</v>
      </c>
      <c r="AA29" s="34">
        <f t="shared" si="14"/>
        <v>1411.217677292361</v>
      </c>
      <c r="AB29" s="34">
        <f t="shared" si="14"/>
        <v>1411.217677292361</v>
      </c>
      <c r="AC29" s="34">
        <f t="shared" si="14"/>
        <v>1411.217677292361</v>
      </c>
      <c r="AD29" s="34">
        <f t="shared" si="14"/>
        <v>1411.217677292361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1.44</v>
      </c>
      <c r="L32" s="33">
        <f t="shared" si="17"/>
        <v>1.44</v>
      </c>
      <c r="M32" s="33">
        <f t="shared" si="17"/>
        <v>1.44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0.69700000000000006</v>
      </c>
      <c r="K33" s="33">
        <f t="shared" ref="K33:AD33" si="18">IF($D$6+K44&lt;0,0,IF($D$6+K44&gt;1,1,$D$6+K44))</f>
        <v>0.69700000000000006</v>
      </c>
      <c r="L33" s="33">
        <f t="shared" si="18"/>
        <v>0.69700000000000006</v>
      </c>
      <c r="M33" s="33">
        <f t="shared" si="18"/>
        <v>0.42699999999999999</v>
      </c>
      <c r="N33" s="33">
        <f t="shared" si="18"/>
        <v>0.42699999999999999</v>
      </c>
      <c r="O33" s="33">
        <f t="shared" si="18"/>
        <v>0.42699999999999999</v>
      </c>
      <c r="P33" s="33">
        <f t="shared" si="18"/>
        <v>0.42699999999999999</v>
      </c>
      <c r="Q33" s="33">
        <f t="shared" si="18"/>
        <v>0.42699999999999999</v>
      </c>
      <c r="R33" s="33">
        <f t="shared" si="18"/>
        <v>0.42699999999999999</v>
      </c>
      <c r="S33" s="33">
        <f t="shared" si="18"/>
        <v>0.42699999999999999</v>
      </c>
      <c r="T33" s="33">
        <f t="shared" si="18"/>
        <v>0.42699999999999999</v>
      </c>
      <c r="U33" s="33">
        <f t="shared" si="18"/>
        <v>0.42699999999999999</v>
      </c>
      <c r="V33" s="33">
        <f t="shared" si="18"/>
        <v>0.42699999999999999</v>
      </c>
      <c r="W33" s="33">
        <f t="shared" si="18"/>
        <v>0.42699999999999999</v>
      </c>
      <c r="X33" s="33">
        <f t="shared" si="18"/>
        <v>0.42699999999999999</v>
      </c>
      <c r="Y33" s="33">
        <f t="shared" si="18"/>
        <v>0.42699999999999999</v>
      </c>
      <c r="Z33" s="33">
        <f t="shared" si="18"/>
        <v>0.42699999999999999</v>
      </c>
      <c r="AA33" s="33">
        <f t="shared" si="18"/>
        <v>0.42699999999999999</v>
      </c>
      <c r="AB33" s="33">
        <f t="shared" si="18"/>
        <v>0.42699999999999999</v>
      </c>
      <c r="AC33" s="33">
        <f t="shared" si="18"/>
        <v>0.42699999999999999</v>
      </c>
      <c r="AD33" s="33">
        <f t="shared" si="18"/>
        <v>0.42699999999999999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0.4</v>
      </c>
      <c r="L38" s="30">
        <v>0.4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v>0.27</v>
      </c>
      <c r="K44" s="30">
        <v>0.27</v>
      </c>
      <c r="L44" s="30">
        <v>0.27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6366.2582692557289</v>
      </c>
      <c r="K50" s="22">
        <f t="shared" ref="K50:AD50" si="23">IF(K49&gt;1,K19/K49,K19)</f>
        <v>9116.1450226773777</v>
      </c>
      <c r="L50" s="22">
        <f t="shared" si="23"/>
        <v>7193.8052731071903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6366.2582692557289</v>
      </c>
      <c r="K52" s="22">
        <f t="shared" ref="K52:AD52" si="25">IF(K51=0,K19,K50*3)</f>
        <v>27348.435068032133</v>
      </c>
      <c r="L52" s="22">
        <f t="shared" si="25"/>
        <v>21581.41581932157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10</v>
      </c>
      <c r="E90" s="70">
        <f t="shared" si="33"/>
        <v>12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3"/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1.9999999999999998</v>
      </c>
      <c r="E96" s="70">
        <f t="shared" si="33"/>
        <v>4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38986.158860824864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1772.0981300374938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22676.208565040299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55296.109156609433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disablePrompts="1" count="2">
    <dataValidation type="list" allowBlank="1" showInputMessage="1" showErrorMessage="1" sqref="D83:D84" xr:uid="{108F16C6-1B33-4075-87DD-32F36AE38CFB}">
      <formula1>"amp,trans,nil"</formula1>
    </dataValidation>
    <dataValidation type="list" allowBlank="1" showInputMessage="1" showErrorMessage="1" sqref="C1" xr:uid="{81BF27C5-21FD-4690-B7D8-7C35766172D8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D255-2D69-49F1-ACE2-565225D2A6A1}">
  <sheetPr codeName="Sheet10">
    <tabColor theme="9" tint="0.79998168889431442"/>
  </sheetPr>
  <dimension ref="A1:CG345"/>
  <sheetViews>
    <sheetView topLeftCell="A70" zoomScale="70" zoomScaleNormal="70" zoomScaleSheetLayoutView="40" workbookViewId="0">
      <pane xSplit="1" topLeftCell="B1" activePane="topRight" state="frozen"/>
      <selection activeCell="A153" sqref="A153"/>
      <selection pane="topRight" activeCell="G44" sqref="G44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29.7109375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0.96700000000000008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1.6760000000000002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L15" t="s">
        <v>499</v>
      </c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500</v>
      </c>
      <c r="K18" s="23" t="s">
        <v>448</v>
      </c>
      <c r="L18" s="23" t="s">
        <v>500</v>
      </c>
      <c r="M18" s="23" t="s">
        <v>449</v>
      </c>
      <c r="N18" s="23" t="s">
        <v>500</v>
      </c>
      <c r="O18" s="23" t="s">
        <v>448</v>
      </c>
      <c r="P18" s="23" t="s">
        <v>450</v>
      </c>
      <c r="Q18" s="23" t="s">
        <v>461</v>
      </c>
      <c r="R18" s="23" t="s">
        <v>451</v>
      </c>
      <c r="S18" s="23" t="s">
        <v>455</v>
      </c>
      <c r="T18" s="23" t="s">
        <v>452</v>
      </c>
      <c r="U18" s="23" t="s">
        <v>500</v>
      </c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1.232</v>
      </c>
      <c r="E19" s="13">
        <f>Main!B44</f>
        <v>1.21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9559.5136878107223</v>
      </c>
      <c r="K19" s="22">
        <f t="shared" si="13"/>
        <v>13766.947732613753</v>
      </c>
      <c r="L19" s="22">
        <f t="shared" si="13"/>
        <v>9955.9137760725498</v>
      </c>
      <c r="M19" s="22">
        <f t="shared" si="13"/>
        <v>28493.621120286331</v>
      </c>
      <c r="N19" s="22">
        <f t="shared" si="13"/>
        <v>9955.9137760725498</v>
      </c>
      <c r="O19" s="22">
        <f t="shared" si="13"/>
        <v>14337.815610889034</v>
      </c>
      <c r="P19" s="22">
        <f t="shared" si="13"/>
        <v>52782.816977117007</v>
      </c>
      <c r="Q19" s="22">
        <f t="shared" si="13"/>
        <v>23623.113268168483</v>
      </c>
      <c r="R19" s="22">
        <f t="shared" si="13"/>
        <v>62999.338501185099</v>
      </c>
      <c r="S19" s="22">
        <f t="shared" si="13"/>
        <v>57506.160538291457</v>
      </c>
      <c r="T19" s="22">
        <f t="shared" si="13"/>
        <v>420500.90068495664</v>
      </c>
      <c r="U19" s="22">
        <f t="shared" si="13"/>
        <v>11685.690562932721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v>1.6486000000000001</v>
      </c>
      <c r="K20" s="60">
        <v>2.4887999999999999</v>
      </c>
      <c r="L20" s="134">
        <v>1.6486000000000001</v>
      </c>
      <c r="M20" s="60">
        <v>4.1752000000000002</v>
      </c>
      <c r="N20" s="134">
        <v>1.6486000000000001</v>
      </c>
      <c r="O20" s="60">
        <v>2.4887999999999999</v>
      </c>
      <c r="P20" s="30">
        <f>SUM(164.86,171.87,104.35*2,206.95)%</f>
        <v>7.5238000000000014</v>
      </c>
      <c r="Q20" s="30">
        <f>SUM(164.86%,171.87%)</f>
        <v>3.3673000000000002</v>
      </c>
      <c r="R20" s="30">
        <f>417.52%+162.2%*2</f>
        <v>7.4192</v>
      </c>
      <c r="S20" s="30">
        <f>674.34%/2</f>
        <v>3.3717000000000001</v>
      </c>
      <c r="T20" s="134">
        <f>674.34%+137.78%*13</f>
        <v>24.654800000000002</v>
      </c>
      <c r="U20" s="134">
        <v>1.6486000000000001</v>
      </c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>
        <v>1</v>
      </c>
      <c r="S21" s="24">
        <v>1</v>
      </c>
      <c r="T21" s="24">
        <v>1</v>
      </c>
      <c r="U21" s="24">
        <v>1</v>
      </c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51" t="s">
        <v>47</v>
      </c>
      <c r="R22" s="51" t="s">
        <v>47</v>
      </c>
      <c r="S22" s="51" t="s">
        <v>47</v>
      </c>
      <c r="T22" s="51" t="s">
        <v>47</v>
      </c>
      <c r="U22" s="51" t="s">
        <v>47</v>
      </c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103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91</v>
      </c>
      <c r="P23" s="24" t="s">
        <v>103</v>
      </c>
      <c r="Q23" s="24" t="s">
        <v>103</v>
      </c>
      <c r="R23" s="24" t="s">
        <v>91</v>
      </c>
      <c r="S23" s="24" t="s">
        <v>103</v>
      </c>
      <c r="T23" s="24" t="s">
        <v>103</v>
      </c>
      <c r="U23" s="24" t="s">
        <v>103</v>
      </c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93</v>
      </c>
      <c r="K24" s="51" t="s">
        <v>105</v>
      </c>
      <c r="L24" s="51" t="s">
        <v>93</v>
      </c>
      <c r="M24" s="51" t="s">
        <v>72</v>
      </c>
      <c r="N24" s="24" t="s">
        <v>93</v>
      </c>
      <c r="O24" s="24" t="s">
        <v>105</v>
      </c>
      <c r="P24" s="24" t="s">
        <v>93</v>
      </c>
      <c r="Q24" s="24" t="s">
        <v>93</v>
      </c>
      <c r="R24" s="24" t="s">
        <v>105</v>
      </c>
      <c r="S24" s="24" t="s">
        <v>72</v>
      </c>
      <c r="T24" s="24" t="s">
        <v>72</v>
      </c>
      <c r="U24" s="24" t="s">
        <v>93</v>
      </c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0.4</v>
      </c>
      <c r="K26" s="60"/>
      <c r="L26" s="60">
        <v>0.4</v>
      </c>
      <c r="M26" s="60"/>
      <c r="N26" s="30">
        <v>0.4</v>
      </c>
      <c r="O26" s="30"/>
      <c r="P26" s="30">
        <v>0.4</v>
      </c>
      <c r="Q26" s="30">
        <v>0.4</v>
      </c>
      <c r="R26" s="30">
        <v>0.24</v>
      </c>
      <c r="S26" s="30">
        <v>0.64</v>
      </c>
      <c r="T26" s="30">
        <v>0.64</v>
      </c>
      <c r="U26" s="30">
        <v>0.64</v>
      </c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1851.5132791677424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1928.2891540970159</v>
      </c>
      <c r="O29" s="34">
        <f t="shared" si="14"/>
        <v>1928.2891540970159</v>
      </c>
      <c r="P29" s="34">
        <f t="shared" si="14"/>
        <v>2005.0650290262893</v>
      </c>
      <c r="Q29" s="34">
        <f t="shared" si="14"/>
        <v>2005.0650290262893</v>
      </c>
      <c r="R29" s="34">
        <f t="shared" si="14"/>
        <v>2005.0650290262893</v>
      </c>
      <c r="S29" s="34">
        <f t="shared" si="14"/>
        <v>2005.0650290262893</v>
      </c>
      <c r="T29" s="34">
        <f t="shared" si="14"/>
        <v>2005.0650290262893</v>
      </c>
      <c r="U29" s="34">
        <f t="shared" si="14"/>
        <v>1834.451973627904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2.133</v>
      </c>
      <c r="K32" s="33">
        <f t="shared" ref="K32:AD32" si="17">($D$9+VLOOKUP(K23,$B$10:$D$12,3,FALSE)+VLOOKUP(K24,$B$13:$D$18,3,FALSE)+K47)</f>
        <v>1.3</v>
      </c>
      <c r="L32" s="33">
        <f t="shared" si="17"/>
        <v>2.133</v>
      </c>
      <c r="M32" s="33">
        <f t="shared" si="17"/>
        <v>1.54</v>
      </c>
      <c r="N32" s="33">
        <f t="shared" si="17"/>
        <v>2.133</v>
      </c>
      <c r="O32" s="33">
        <f t="shared" si="17"/>
        <v>1.3</v>
      </c>
      <c r="P32" s="33">
        <f t="shared" si="17"/>
        <v>2.383</v>
      </c>
      <c r="Q32" s="33">
        <f t="shared" si="17"/>
        <v>2.383</v>
      </c>
      <c r="R32" s="33">
        <f t="shared" si="17"/>
        <v>1.55</v>
      </c>
      <c r="S32" s="33">
        <f t="shared" si="17"/>
        <v>2.6230000000000002</v>
      </c>
      <c r="T32" s="33">
        <f t="shared" si="17"/>
        <v>2.6230000000000002</v>
      </c>
      <c r="U32" s="33">
        <f t="shared" si="17"/>
        <v>2.383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0.96700000000000008</v>
      </c>
      <c r="K33" s="33">
        <f t="shared" ref="K33:AD33" si="18">IF($D$6+K44&lt;0,0,IF($D$6+K44&gt;1,1,$D$6+K44))</f>
        <v>0.96700000000000008</v>
      </c>
      <c r="L33" s="33">
        <f t="shared" si="18"/>
        <v>0.96700000000000008</v>
      </c>
      <c r="M33" s="33">
        <f t="shared" si="18"/>
        <v>0.96700000000000008</v>
      </c>
      <c r="N33" s="33">
        <f t="shared" si="18"/>
        <v>0.96700000000000008</v>
      </c>
      <c r="O33" s="33">
        <f t="shared" si="18"/>
        <v>0.96700000000000008</v>
      </c>
      <c r="P33" s="33">
        <f t="shared" si="18"/>
        <v>0.96700000000000008</v>
      </c>
      <c r="Q33" s="33">
        <f t="shared" si="18"/>
        <v>0.96700000000000008</v>
      </c>
      <c r="R33" s="33">
        <f t="shared" si="18"/>
        <v>0.96700000000000008</v>
      </c>
      <c r="S33" s="33">
        <f t="shared" si="18"/>
        <v>0.96700000000000008</v>
      </c>
      <c r="T33" s="33">
        <f t="shared" si="18"/>
        <v>0.96700000000000008</v>
      </c>
      <c r="U33" s="33">
        <f t="shared" si="18"/>
        <v>0.96700000000000008</v>
      </c>
      <c r="V33" s="33">
        <f t="shared" si="18"/>
        <v>0.96700000000000008</v>
      </c>
      <c r="W33" s="33">
        <f t="shared" si="18"/>
        <v>0.96700000000000008</v>
      </c>
      <c r="X33" s="33">
        <f t="shared" si="18"/>
        <v>0.96700000000000008</v>
      </c>
      <c r="Y33" s="33">
        <f t="shared" si="18"/>
        <v>0.96700000000000008</v>
      </c>
      <c r="Z33" s="33">
        <f t="shared" si="18"/>
        <v>0.96700000000000008</v>
      </c>
      <c r="AA33" s="33">
        <f t="shared" si="18"/>
        <v>0.96700000000000008</v>
      </c>
      <c r="AB33" s="33">
        <f t="shared" si="18"/>
        <v>0.96700000000000008</v>
      </c>
      <c r="AC33" s="33">
        <f t="shared" si="18"/>
        <v>0.96700000000000008</v>
      </c>
      <c r="AD33" s="33">
        <f t="shared" si="18"/>
        <v>0.96700000000000008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1.6760000000000002</v>
      </c>
      <c r="K34" s="33">
        <f t="shared" si="19"/>
        <v>1.6760000000000002</v>
      </c>
      <c r="L34" s="33">
        <f t="shared" si="19"/>
        <v>1.6760000000000002</v>
      </c>
      <c r="M34" s="33">
        <f t="shared" si="19"/>
        <v>1.6760000000000002</v>
      </c>
      <c r="N34" s="33">
        <f t="shared" si="19"/>
        <v>1.6760000000000002</v>
      </c>
      <c r="O34" s="33">
        <f t="shared" si="19"/>
        <v>1.6760000000000002</v>
      </c>
      <c r="P34" s="33">
        <f t="shared" si="19"/>
        <v>1.6760000000000002</v>
      </c>
      <c r="Q34" s="33">
        <f t="shared" si="19"/>
        <v>1.6760000000000002</v>
      </c>
      <c r="R34" s="33">
        <f t="shared" si="19"/>
        <v>1.6760000000000002</v>
      </c>
      <c r="S34" s="33">
        <f t="shared" si="19"/>
        <v>1.6760000000000002</v>
      </c>
      <c r="T34" s="33">
        <f t="shared" si="19"/>
        <v>1.6760000000000002</v>
      </c>
      <c r="U34" s="33">
        <f t="shared" si="19"/>
        <v>1.6760000000000002</v>
      </c>
      <c r="V34" s="33">
        <f t="shared" si="19"/>
        <v>1.6760000000000002</v>
      </c>
      <c r="W34" s="33">
        <f t="shared" si="19"/>
        <v>1.6760000000000002</v>
      </c>
      <c r="X34" s="33">
        <f t="shared" si="19"/>
        <v>1.6760000000000002</v>
      </c>
      <c r="Y34" s="33">
        <f t="shared" si="19"/>
        <v>1.6760000000000002</v>
      </c>
      <c r="Z34" s="33">
        <f t="shared" si="19"/>
        <v>1.6760000000000002</v>
      </c>
      <c r="AA34" s="33">
        <f t="shared" si="19"/>
        <v>1.6760000000000002</v>
      </c>
      <c r="AB34" s="33">
        <f t="shared" si="19"/>
        <v>1.6760000000000002</v>
      </c>
      <c r="AC34" s="33">
        <f t="shared" si="19"/>
        <v>1.6760000000000002</v>
      </c>
      <c r="AD34" s="33">
        <f t="shared" si="19"/>
        <v>1.6760000000000002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-0.15000000000000002</v>
      </c>
      <c r="K37" s="61">
        <f t="shared" si="22"/>
        <v>0.1</v>
      </c>
      <c r="L37" s="61">
        <f t="shared" si="22"/>
        <v>-0.15000000000000002</v>
      </c>
      <c r="M37" s="61">
        <f t="shared" si="22"/>
        <v>0.1</v>
      </c>
      <c r="N37" s="61">
        <f t="shared" si="22"/>
        <v>-0.15000000000000002</v>
      </c>
      <c r="O37" s="61">
        <f t="shared" si="22"/>
        <v>0.1</v>
      </c>
      <c r="P37" s="61">
        <f t="shared" si="22"/>
        <v>-0.15000000000000002</v>
      </c>
      <c r="Q37" s="61">
        <f t="shared" si="22"/>
        <v>-0.15000000000000002</v>
      </c>
      <c r="R37" s="61">
        <f t="shared" si="22"/>
        <v>-6.9999999999999993E-2</v>
      </c>
      <c r="S37" s="61">
        <f t="shared" si="22"/>
        <v>-0.27</v>
      </c>
      <c r="T37" s="61">
        <f t="shared" si="22"/>
        <v>-0.27</v>
      </c>
      <c r="U37" s="61">
        <f t="shared" si="22"/>
        <v>-0.27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f>20%</f>
        <v>0.2</v>
      </c>
      <c r="K38" s="30">
        <v>0.2</v>
      </c>
      <c r="L38" s="30">
        <f>29%</f>
        <v>0.28999999999999998</v>
      </c>
      <c r="M38" s="30">
        <v>0.28999999999999998</v>
      </c>
      <c r="N38" s="30">
        <v>0.28999999999999998</v>
      </c>
      <c r="O38" s="30">
        <v>0.28999999999999998</v>
      </c>
      <c r="P38" s="30">
        <f>38%</f>
        <v>0.38</v>
      </c>
      <c r="Q38" s="30">
        <v>0.38</v>
      </c>
      <c r="R38" s="30">
        <v>0.38</v>
      </c>
      <c r="S38" s="30">
        <v>0.38</v>
      </c>
      <c r="T38" s="30">
        <v>0.38</v>
      </c>
      <c r="U38" s="30">
        <v>0.18</v>
      </c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>
        <v>0.25</v>
      </c>
      <c r="Q47" s="30">
        <v>0.25</v>
      </c>
      <c r="R47" s="30">
        <v>0.25</v>
      </c>
      <c r="S47" s="30">
        <v>0.25</v>
      </c>
      <c r="T47" s="30">
        <v>0.25</v>
      </c>
      <c r="U47" s="30">
        <v>0.25</v>
      </c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2</v>
      </c>
      <c r="N49" s="51">
        <v>1</v>
      </c>
      <c r="O49" s="51">
        <v>2</v>
      </c>
      <c r="P49" s="51">
        <v>1</v>
      </c>
      <c r="Q49" s="51">
        <v>1</v>
      </c>
      <c r="R49" s="51">
        <v>2</v>
      </c>
      <c r="S49" s="51">
        <v>2</v>
      </c>
      <c r="T49" s="51">
        <v>2</v>
      </c>
      <c r="U49" s="51">
        <v>1</v>
      </c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9559.5136878107223</v>
      </c>
      <c r="K50" s="22">
        <f t="shared" ref="K50:AD50" si="23">IF(K49&gt;1,K19/K49,K19)</f>
        <v>6883.4738663068765</v>
      </c>
      <c r="L50" s="22">
        <f t="shared" si="23"/>
        <v>9955.9137760725498</v>
      </c>
      <c r="M50" s="22">
        <f t="shared" si="23"/>
        <v>14246.810560143165</v>
      </c>
      <c r="N50" s="22">
        <f t="shared" si="23"/>
        <v>9955.9137760725498</v>
      </c>
      <c r="O50" s="22">
        <f t="shared" si="23"/>
        <v>7168.9078054445172</v>
      </c>
      <c r="P50" s="22">
        <f t="shared" si="23"/>
        <v>52782.816977117007</v>
      </c>
      <c r="Q50" s="22">
        <f t="shared" si="23"/>
        <v>23623.113268168483</v>
      </c>
      <c r="R50" s="22">
        <f t="shared" si="23"/>
        <v>31499.669250592549</v>
      </c>
      <c r="S50" s="22">
        <f t="shared" si="23"/>
        <v>28753.080269145728</v>
      </c>
      <c r="T50" s="22">
        <f t="shared" si="23"/>
        <v>210250.45034247832</v>
      </c>
      <c r="U50" s="22">
        <f t="shared" si="23"/>
        <v>11685.690562932721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0</v>
      </c>
      <c r="L51" s="51">
        <v>0</v>
      </c>
      <c r="M51" s="51">
        <v>1</v>
      </c>
      <c r="N51" s="51">
        <v>0</v>
      </c>
      <c r="O51" s="51">
        <v>0</v>
      </c>
      <c r="P51" s="51">
        <v>0</v>
      </c>
      <c r="Q51" s="51">
        <v>0</v>
      </c>
      <c r="R51" s="51">
        <v>1</v>
      </c>
      <c r="S51" s="51">
        <v>1</v>
      </c>
      <c r="T51" s="51">
        <v>1</v>
      </c>
      <c r="U51" s="51">
        <v>0</v>
      </c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9559.5136878107223</v>
      </c>
      <c r="K52" s="22">
        <f t="shared" ref="K52:AD52" si="25">IF(K51=0,K19,K50*3)</f>
        <v>13766.947732613753</v>
      </c>
      <c r="L52" s="22">
        <f t="shared" si="25"/>
        <v>9955.9137760725498</v>
      </c>
      <c r="M52" s="22">
        <f t="shared" si="25"/>
        <v>42740.431680429494</v>
      </c>
      <c r="N52" s="22">
        <f t="shared" si="25"/>
        <v>9955.9137760725498</v>
      </c>
      <c r="O52" s="22">
        <f t="shared" si="25"/>
        <v>14337.815610889034</v>
      </c>
      <c r="P52" s="22">
        <f t="shared" si="25"/>
        <v>52782.816977117007</v>
      </c>
      <c r="Q52" s="22">
        <f t="shared" si="25"/>
        <v>23623.113268168483</v>
      </c>
      <c r="R52" s="22">
        <f t="shared" si="25"/>
        <v>94499.007751777652</v>
      </c>
      <c r="S52" s="22">
        <f t="shared" si="25"/>
        <v>86259.240807437192</v>
      </c>
      <c r="T52" s="22">
        <f t="shared" si="25"/>
        <v>630751.35102743492</v>
      </c>
      <c r="U52" s="22">
        <f t="shared" si="25"/>
        <v>11685.690562932721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/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2.0000000000000004</v>
      </c>
      <c r="E96" s="70">
        <f t="shared" si="33"/>
        <v>4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715167.74623639637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25633.252553275855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417222.98567169695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1001633.0197175796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E20AF939-EB16-4118-9B57-D51163BDA844}">
      <formula1>"amp,trans,nil"</formula1>
    </dataValidation>
    <dataValidation type="list" allowBlank="1" showInputMessage="1" showErrorMessage="1" sqref="C1" xr:uid="{A5B0E2B2-BED0-4E6A-83AA-0D3D6EDCBC57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4CCB8-700B-4DF3-B40C-48D1CE218738}">
  <sheetPr codeName="Sheet11">
    <tabColor theme="9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1.12175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2.1270000000000002</v>
      </c>
      <c r="E19" s="13">
        <f>Main!C44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96623.455609561599</v>
      </c>
      <c r="L19" s="22">
        <f t="shared" si="13"/>
        <v>58501.658734315788</v>
      </c>
      <c r="M19" s="22">
        <f t="shared" si="13"/>
        <v>12179.432375468543</v>
      </c>
      <c r="N19" s="22">
        <f t="shared" si="13"/>
        <v>19015.201572568261</v>
      </c>
      <c r="O19" s="22">
        <f t="shared" si="13"/>
        <v>18346.699653212137</v>
      </c>
      <c r="P19" s="22">
        <f t="shared" si="13"/>
        <v>92650.198313720262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>
        <v>0.15</v>
      </c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2.5877499999999998</v>
      </c>
      <c r="L32" s="33">
        <f t="shared" si="17"/>
        <v>2.5877499999999998</v>
      </c>
      <c r="M32" s="33">
        <f t="shared" si="17"/>
        <v>2.5877499999999998</v>
      </c>
      <c r="N32" s="33">
        <f t="shared" si="17"/>
        <v>1.466</v>
      </c>
      <c r="O32" s="33">
        <f t="shared" si="17"/>
        <v>1.466</v>
      </c>
      <c r="P32" s="33">
        <f t="shared" si="17"/>
        <v>2.5877499999999998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-2.4999999999999994E-2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0.45900000000000002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48311.727804780799</v>
      </c>
      <c r="L50" s="22">
        <f t="shared" si="23"/>
        <v>58501.658734315788</v>
      </c>
      <c r="M50" s="22">
        <f t="shared" si="23"/>
        <v>12179.432375468543</v>
      </c>
      <c r="N50" s="22">
        <f t="shared" si="23"/>
        <v>19015.201572568261</v>
      </c>
      <c r="O50" s="22">
        <f t="shared" si="23"/>
        <v>18346.699653212137</v>
      </c>
      <c r="P50" s="22">
        <f t="shared" si="23"/>
        <v>46325.099156860131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144935.18341434241</v>
      </c>
      <c r="L52" s="22">
        <f t="shared" si="25"/>
        <v>58501.658734315788</v>
      </c>
      <c r="M52" s="22">
        <f t="shared" si="25"/>
        <v>12179.432375468543</v>
      </c>
      <c r="N52" s="22">
        <f t="shared" si="25"/>
        <v>19015.201572568261</v>
      </c>
      <c r="O52" s="22">
        <f t="shared" si="25"/>
        <v>18346.699653212137</v>
      </c>
      <c r="P52" s="22">
        <f t="shared" si="25"/>
        <v>92650.198313720262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0.53175000000000006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305849.31768486428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10962.341135658218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206946.15501021454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354161.0454896451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C3BD86FA-3334-4A2E-AE0B-6367706CA473}">
      <formula1>"amp,trans,nil"</formula1>
    </dataValidation>
    <dataValidation type="list" allowBlank="1" showInputMessage="1" showErrorMessage="1" sqref="C1" xr:uid="{2C7CAA51-A524-4248-BA1B-20E75187DD74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5DF3E-8A39-4179-ACE9-089DECE21989}">
  <sheetPr codeName="Sheet12">
    <tabColor theme="9" tint="0.79998168889431442"/>
  </sheetPr>
  <dimension ref="A1:CG345"/>
  <sheetViews>
    <sheetView topLeftCell="A70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225.12920529174121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1850.6294481317905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648.3660020698801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768.76338632654529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13049.304306579739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19642.234737237712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1.3064744000000001</v>
      </c>
      <c r="K9" s="134">
        <f t="shared" si="3"/>
        <v>1.3016981999999999</v>
      </c>
      <c r="L9" s="134">
        <f t="shared" si="3"/>
        <v>1.6224383999999998</v>
      </c>
      <c r="M9" s="134">
        <f t="shared" si="3"/>
        <v>1.5893724</v>
      </c>
      <c r="N9" s="134">
        <f t="shared" si="3"/>
        <v>2.0600117999999998</v>
      </c>
      <c r="O9" s="134">
        <f t="shared" si="3"/>
        <v>1.0331288000000001</v>
      </c>
      <c r="P9" s="134">
        <f t="shared" si="3"/>
        <v>1.8704334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0.70599999999999996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Shield DMG Absorption</v>
      </c>
      <c r="K10" s="124" t="str">
        <f t="shared" si="5"/>
        <v>Shield DMG Absorption (flat)</v>
      </c>
      <c r="L10" s="124" t="str">
        <f t="shared" si="5"/>
        <v>Base DMG</v>
      </c>
      <c r="M10" s="124" t="str">
        <f t="shared" si="5"/>
        <v>DMG Bonus on Hit Taken</v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0.24479999999999996</v>
      </c>
      <c r="K11" s="134">
        <f t="shared" si="7"/>
        <v>2817.7379999999998</v>
      </c>
      <c r="L11" s="134">
        <f t="shared" si="7"/>
        <v>2.0671999999999997</v>
      </c>
      <c r="M11" s="134">
        <f t="shared" si="7"/>
        <v>2.72</v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Lightning DMG</v>
      </c>
      <c r="L12" s="124" t="str">
        <f t="shared" si="9"/>
        <v>DMG Reduction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2.0671999999999997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1.6319999999999999</v>
      </c>
      <c r="L13" s="134">
        <f t="shared" si="11"/>
        <v>0.32000000000000006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0.80899999999999994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1.3160000000000001</v>
      </c>
      <c r="E19" s="13">
        <f>Main!D44</f>
        <v>1.0900000000000001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46282.55837844401</v>
      </c>
      <c r="K19" s="22">
        <f t="shared" si="13"/>
        <v>348553.33199919382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243.2%+320%*2</f>
        <v>8.8320000000000007</v>
      </c>
      <c r="K20" s="60">
        <f>243.2%+192%*40</f>
        <v>79.231999999999999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0.15</v>
      </c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0.55100000000000005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1850.6294481317905</v>
      </c>
      <c r="K29" s="34">
        <f t="shared" si="14"/>
        <v>1850.6294481317905</v>
      </c>
      <c r="L29" s="34">
        <f t="shared" si="14"/>
        <v>1850.6294481317905</v>
      </c>
      <c r="M29" s="34">
        <f t="shared" si="14"/>
        <v>1850.6294481317905</v>
      </c>
      <c r="N29" s="34">
        <f t="shared" si="14"/>
        <v>1850.6294481317905</v>
      </c>
      <c r="O29" s="34">
        <f t="shared" si="14"/>
        <v>1850.6294481317905</v>
      </c>
      <c r="P29" s="34">
        <f t="shared" si="14"/>
        <v>1850.6294481317905</v>
      </c>
      <c r="Q29" s="34">
        <f t="shared" si="14"/>
        <v>1850.6294481317905</v>
      </c>
      <c r="R29" s="34">
        <f t="shared" si="14"/>
        <v>1850.6294481317905</v>
      </c>
      <c r="S29" s="34">
        <f t="shared" si="14"/>
        <v>1850.6294481317905</v>
      </c>
      <c r="T29" s="34">
        <f t="shared" si="14"/>
        <v>1850.6294481317905</v>
      </c>
      <c r="U29" s="34">
        <f t="shared" si="14"/>
        <v>1850.6294481317905</v>
      </c>
      <c r="V29" s="34">
        <f t="shared" si="14"/>
        <v>1850.6294481317905</v>
      </c>
      <c r="W29" s="34">
        <f t="shared" si="14"/>
        <v>1850.6294481317905</v>
      </c>
      <c r="X29" s="34">
        <f t="shared" si="14"/>
        <v>1850.6294481317905</v>
      </c>
      <c r="Y29" s="34">
        <f t="shared" si="14"/>
        <v>1850.6294481317905</v>
      </c>
      <c r="Z29" s="34">
        <f t="shared" si="14"/>
        <v>1850.6294481317905</v>
      </c>
      <c r="AA29" s="34">
        <f t="shared" si="14"/>
        <v>1850.6294481317905</v>
      </c>
      <c r="AB29" s="34">
        <f t="shared" si="14"/>
        <v>1850.6294481317905</v>
      </c>
      <c r="AC29" s="34">
        <f t="shared" si="14"/>
        <v>1850.6294481317905</v>
      </c>
      <c r="AD29" s="34">
        <f t="shared" si="14"/>
        <v>1850.6294481317905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768.76338632654529</v>
      </c>
      <c r="K30" s="34">
        <f t="shared" si="15"/>
        <v>768.76338632654529</v>
      </c>
      <c r="L30" s="34">
        <f t="shared" si="15"/>
        <v>768.76338632654529</v>
      </c>
      <c r="M30" s="34">
        <f t="shared" si="15"/>
        <v>768.76338632654529</v>
      </c>
      <c r="N30" s="34">
        <f t="shared" si="15"/>
        <v>768.76338632654529</v>
      </c>
      <c r="O30" s="34">
        <f t="shared" si="15"/>
        <v>768.76338632654529</v>
      </c>
      <c r="P30" s="34">
        <f t="shared" si="15"/>
        <v>768.76338632654529</v>
      </c>
      <c r="Q30" s="34">
        <f t="shared" si="15"/>
        <v>768.76338632654529</v>
      </c>
      <c r="R30" s="34">
        <f t="shared" si="15"/>
        <v>768.76338632654529</v>
      </c>
      <c r="S30" s="34">
        <f t="shared" si="15"/>
        <v>768.76338632654529</v>
      </c>
      <c r="T30" s="34">
        <f t="shared" si="15"/>
        <v>768.76338632654529</v>
      </c>
      <c r="U30" s="34">
        <f t="shared" si="15"/>
        <v>768.76338632654529</v>
      </c>
      <c r="V30" s="34">
        <f t="shared" si="15"/>
        <v>768.76338632654529</v>
      </c>
      <c r="W30" s="34">
        <f t="shared" si="15"/>
        <v>768.76338632654529</v>
      </c>
      <c r="X30" s="34">
        <f t="shared" si="15"/>
        <v>768.76338632654529</v>
      </c>
      <c r="Y30" s="34">
        <f t="shared" si="15"/>
        <v>768.76338632654529</v>
      </c>
      <c r="Z30" s="34">
        <f t="shared" si="15"/>
        <v>768.76338632654529</v>
      </c>
      <c r="AA30" s="34">
        <f t="shared" si="15"/>
        <v>768.76338632654529</v>
      </c>
      <c r="AB30" s="34">
        <f t="shared" si="15"/>
        <v>768.76338632654529</v>
      </c>
      <c r="AC30" s="34">
        <f t="shared" si="15"/>
        <v>768.76338632654529</v>
      </c>
      <c r="AD30" s="34">
        <f t="shared" si="15"/>
        <v>768.76338632654529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19642.234737237712</v>
      </c>
      <c r="K31" s="34">
        <f t="shared" si="16"/>
        <v>19642.234737237712</v>
      </c>
      <c r="L31" s="34">
        <f t="shared" si="16"/>
        <v>19642.234737237712</v>
      </c>
      <c r="M31" s="34">
        <f t="shared" si="16"/>
        <v>19642.234737237712</v>
      </c>
      <c r="N31" s="34">
        <f t="shared" si="16"/>
        <v>19642.234737237712</v>
      </c>
      <c r="O31" s="34">
        <f t="shared" si="16"/>
        <v>19642.234737237712</v>
      </c>
      <c r="P31" s="34">
        <f t="shared" si="16"/>
        <v>19642.234737237712</v>
      </c>
      <c r="Q31" s="34">
        <f t="shared" si="16"/>
        <v>19642.234737237712</v>
      </c>
      <c r="R31" s="34">
        <f t="shared" si="16"/>
        <v>19642.234737237712</v>
      </c>
      <c r="S31" s="34">
        <f t="shared" si="16"/>
        <v>19642.234737237712</v>
      </c>
      <c r="T31" s="34">
        <f t="shared" si="16"/>
        <v>19642.234737237712</v>
      </c>
      <c r="U31" s="34">
        <f t="shared" si="16"/>
        <v>19642.234737237712</v>
      </c>
      <c r="V31" s="34">
        <f t="shared" si="16"/>
        <v>19642.234737237712</v>
      </c>
      <c r="W31" s="34">
        <f t="shared" si="16"/>
        <v>19642.234737237712</v>
      </c>
      <c r="X31" s="34">
        <f t="shared" si="16"/>
        <v>19642.234737237712</v>
      </c>
      <c r="Y31" s="34">
        <f t="shared" si="16"/>
        <v>19642.234737237712</v>
      </c>
      <c r="Z31" s="34">
        <f t="shared" si="16"/>
        <v>19642.234737237712</v>
      </c>
      <c r="AA31" s="34">
        <f t="shared" si="16"/>
        <v>19642.234737237712</v>
      </c>
      <c r="AB31" s="34">
        <f t="shared" si="16"/>
        <v>19642.234737237712</v>
      </c>
      <c r="AC31" s="34">
        <f t="shared" si="16"/>
        <v>19642.234737237712</v>
      </c>
      <c r="AD31" s="34">
        <f t="shared" si="16"/>
        <v>19642.234737237712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2.5149999999999997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-2.4999999999999994E-2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24%+24%</f>
        <v>0.48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23141.279189222005</v>
      </c>
      <c r="K50" s="22">
        <f>K19*1779.2%/K20</f>
        <v>78269.649673486172</v>
      </c>
      <c r="L50" s="22">
        <f t="shared" ref="L50:AD50" si="23">IF(L49&gt;1,L19/L49,L19)</f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69423.837567666022</v>
      </c>
      <c r="K52" s="22">
        <f t="shared" ref="K52:AD52" si="25">IF(K51=0,K19,K50*3)</f>
        <v>348553.33199919382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2.3007903573274926</v>
      </c>
      <c r="W68" s="80">
        <f>($D$4+$C$4*W69+W70+1000)/($D$4+$C$4*W69+W70)</f>
        <v>2.3007903573274926</v>
      </c>
      <c r="X68" s="80">
        <f>($D$4+$C$4*X69+X70+1000)/($D$4+$C$4*X69+X70)</f>
        <v>2.3007903573274926</v>
      </c>
      <c r="Y68" s="80">
        <f>($D$4+$C$4*Y69+Y70+1000)/($D$4+$C$4*Y69+Y70)</f>
        <v>2.3007903573274926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2.3007903573274926</v>
      </c>
      <c r="Q69" s="80">
        <f>($D$4+$C$4*Q70+Q71+1000)/($D$4+$C$4*Q70+Q71)</f>
        <v>2.3007903573274926</v>
      </c>
      <c r="R69" s="80">
        <f>($D$4+$C$4*R70+R71+1000)/($D$4+$C$4*R70+R71)</f>
        <v>2.3007903573274926</v>
      </c>
      <c r="S69" s="80">
        <f>($D$4+$C$4*S70+S71+1000)/($D$4+$C$4*S70+S71)</f>
        <v>2.3007903573274926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0.32900000000000001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394835.89037763781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14151.824027872324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101410.92886270818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417977.16956685984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3DC34822-13CA-44AD-9B7C-1786E844272C}">
      <formula1>$B$115:$B$155</formula1>
    </dataValidation>
    <dataValidation type="list" allowBlank="1" showInputMessage="1" showErrorMessage="1" sqref="D83:D84" xr:uid="{E2758C48-C5CF-4A3C-B8B5-67AF366AA74B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26FA-C8EB-45F5-914E-6CB1B955FA79}">
  <sheetPr codeName="Sheet13">
    <tabColor theme="9" tint="0.79998168889431442"/>
  </sheetPr>
  <dimension ref="A1:CG345"/>
  <sheetViews>
    <sheetView topLeftCell="A73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1344.5790724615886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513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13674.458274509801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0.55899999999999994</v>
      </c>
      <c r="E6" s="7">
        <v>0</v>
      </c>
      <c r="F6" s="1"/>
      <c r="J6"/>
      <c r="Z6" s="67" t="s">
        <v>83</v>
      </c>
      <c r="AA6" s="24">
        <v>7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0.15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-2.4999999999999994E-2</v>
      </c>
      <c r="AB12" s="60">
        <f>IF(AB8-AB7&lt;0,0.5*(AB8-AB7),AB8-AB7)</f>
        <v>0.1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6837.2291372549007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511</v>
      </c>
      <c r="L18" s="23" t="s">
        <v>463</v>
      </c>
      <c r="M18" s="23" t="s">
        <v>496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Main!E44</f>
        <v>1.31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5051.6581551752242</v>
      </c>
      <c r="K19" s="22">
        <f t="shared" si="13"/>
        <v>9520.9577066128586</v>
      </c>
      <c r="L19" s="22">
        <f t="shared" si="13"/>
        <v>11335.567257451015</v>
      </c>
      <c r="M19" s="22">
        <f t="shared" si="13"/>
        <v>8984.4866410908035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</f>
        <v>2.6528</v>
      </c>
      <c r="L20" s="60">
        <f>105.28%*3</f>
        <v>3.1583999999999999</v>
      </c>
      <c r="M20" s="60">
        <f>105.28%*2</f>
        <v>2.1055999999999999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1344.5790724615886</v>
      </c>
      <c r="K29" s="34">
        <f t="shared" si="14"/>
        <v>1477.8562821231337</v>
      </c>
      <c r="L29" s="34">
        <f t="shared" si="14"/>
        <v>1477.8562821231337</v>
      </c>
      <c r="M29" s="34">
        <f t="shared" si="14"/>
        <v>1477.8562821231337</v>
      </c>
      <c r="N29" s="34">
        <f t="shared" si="14"/>
        <v>1344.5790724615886</v>
      </c>
      <c r="O29" s="34">
        <f t="shared" si="14"/>
        <v>1344.5790724615886</v>
      </c>
      <c r="P29" s="34">
        <f t="shared" si="14"/>
        <v>1344.5790724615886</v>
      </c>
      <c r="Q29" s="34">
        <f t="shared" si="14"/>
        <v>1344.5790724615886</v>
      </c>
      <c r="R29" s="34">
        <f t="shared" si="14"/>
        <v>1344.5790724615886</v>
      </c>
      <c r="S29" s="34">
        <f t="shared" si="14"/>
        <v>1344.5790724615886</v>
      </c>
      <c r="T29" s="34">
        <f t="shared" si="14"/>
        <v>1344.5790724615886</v>
      </c>
      <c r="U29" s="34">
        <f t="shared" si="14"/>
        <v>1344.5790724615886</v>
      </c>
      <c r="V29" s="34">
        <f t="shared" si="14"/>
        <v>1344.5790724615886</v>
      </c>
      <c r="W29" s="34">
        <f t="shared" si="14"/>
        <v>1344.5790724615886</v>
      </c>
      <c r="X29" s="34">
        <f t="shared" si="14"/>
        <v>1344.5790724615886</v>
      </c>
      <c r="Y29" s="34">
        <f t="shared" si="14"/>
        <v>1344.5790724615886</v>
      </c>
      <c r="Z29" s="34">
        <f t="shared" si="14"/>
        <v>1344.5790724615886</v>
      </c>
      <c r="AA29" s="34">
        <f t="shared" si="14"/>
        <v>1344.5790724615886</v>
      </c>
      <c r="AB29" s="34">
        <f t="shared" si="14"/>
        <v>1344.5790724615886</v>
      </c>
      <c r="AC29" s="34">
        <f t="shared" si="14"/>
        <v>1344.5790724615886</v>
      </c>
      <c r="AD29" s="34">
        <f t="shared" si="14"/>
        <v>1344.5790724615886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0.55899999999999994</v>
      </c>
      <c r="K33" s="33">
        <f t="shared" ref="K33:AD33" si="18">IF($D$6+K44&lt;0,0,IF($D$6+K44&gt;1,1,$D$6+K44))</f>
        <v>0.55899999999999994</v>
      </c>
      <c r="L33" s="33">
        <f t="shared" si="18"/>
        <v>0.55899999999999994</v>
      </c>
      <c r="M33" s="33">
        <f t="shared" si="18"/>
        <v>0.55899999999999994</v>
      </c>
      <c r="N33" s="33">
        <f t="shared" si="18"/>
        <v>0.55899999999999994</v>
      </c>
      <c r="O33" s="33">
        <f t="shared" si="18"/>
        <v>0.55899999999999994</v>
      </c>
      <c r="P33" s="33">
        <f t="shared" si="18"/>
        <v>0.55899999999999994</v>
      </c>
      <c r="Q33" s="33">
        <f t="shared" si="18"/>
        <v>0.55899999999999994</v>
      </c>
      <c r="R33" s="33">
        <f t="shared" si="18"/>
        <v>0.55899999999999994</v>
      </c>
      <c r="S33" s="33">
        <f t="shared" si="18"/>
        <v>0.55899999999999994</v>
      </c>
      <c r="T33" s="33">
        <f t="shared" si="18"/>
        <v>0.55899999999999994</v>
      </c>
      <c r="U33" s="33">
        <f t="shared" si="18"/>
        <v>0.55899999999999994</v>
      </c>
      <c r="V33" s="33">
        <f t="shared" si="18"/>
        <v>0.55899999999999994</v>
      </c>
      <c r="W33" s="33">
        <f t="shared" si="18"/>
        <v>0.55899999999999994</v>
      </c>
      <c r="X33" s="33">
        <f t="shared" si="18"/>
        <v>0.55899999999999994</v>
      </c>
      <c r="Y33" s="33">
        <f t="shared" si="18"/>
        <v>0.55899999999999994</v>
      </c>
      <c r="Z33" s="33">
        <f t="shared" si="18"/>
        <v>0.55899999999999994</v>
      </c>
      <c r="AA33" s="33">
        <f t="shared" si="18"/>
        <v>0.55899999999999994</v>
      </c>
      <c r="AB33" s="33">
        <f t="shared" si="18"/>
        <v>0.55899999999999994</v>
      </c>
      <c r="AC33" s="33">
        <f t="shared" si="18"/>
        <v>0.55899999999999994</v>
      </c>
      <c r="AD33" s="33">
        <f t="shared" si="18"/>
        <v>0.55899999999999994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>
        <v>0.2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5051.6581551752242</v>
      </c>
      <c r="K50" s="22">
        <f t="shared" ref="K50:AD50" si="23">IF(K49&gt;1,K19/K49,K19)</f>
        <v>4760.4788533064293</v>
      </c>
      <c r="L50" s="22">
        <f t="shared" si="23"/>
        <v>5667.7836287255077</v>
      </c>
      <c r="M50" s="22">
        <f t="shared" si="23"/>
        <v>4492.2433205454017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1</v>
      </c>
      <c r="N51" s="51">
        <v>0</v>
      </c>
      <c r="O51" s="51"/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5051.6581551752242</v>
      </c>
      <c r="K52" s="22">
        <f t="shared" ref="K52:AD52" si="25">IF(K51=0,K19,K50*3)</f>
        <v>14281.436559919288</v>
      </c>
      <c r="L52" s="22">
        <f t="shared" si="25"/>
        <v>17003.350886176522</v>
      </c>
      <c r="M52" s="22">
        <f t="shared" si="25"/>
        <v>13476.729961636205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4</v>
      </c>
      <c r="E93" s="70">
        <f t="shared" si="33"/>
        <v>6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34892.669760329896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Main!I38</f>
        <v>27.9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1250.6333247430071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26809.393095007465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63487.633837417045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FC56B718-7015-4172-84D6-51E7EAD23622}">
      <formula1>"amp,trans,nil"</formula1>
    </dataValidation>
    <dataValidation type="list" allowBlank="1" showInputMessage="1" showErrorMessage="1" sqref="C1" xr:uid="{3A4276D2-4FCC-4F29-900C-11BD4997FE51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7ED04-5FAE-4AB5-9487-BA9BCEBF694F}">
  <sheetPr>
    <tabColor theme="2" tint="-9.9978637043366805E-2"/>
  </sheetPr>
  <dimension ref="A1:CG345"/>
  <sheetViews>
    <sheetView topLeftCell="A73" zoomScale="70" zoomScaleNormal="70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29.7109375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1851.5132791677424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0.70300000000000007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1.6760000000000002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L15" t="s">
        <v>499</v>
      </c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500</v>
      </c>
      <c r="K18" s="23" t="s">
        <v>448</v>
      </c>
      <c r="L18" s="23" t="s">
        <v>500</v>
      </c>
      <c r="M18" s="23" t="s">
        <v>449</v>
      </c>
      <c r="N18" s="23" t="s">
        <v>500</v>
      </c>
      <c r="O18" s="23" t="s">
        <v>448</v>
      </c>
      <c r="P18" s="23" t="s">
        <v>450</v>
      </c>
      <c r="Q18" s="23" t="s">
        <v>461</v>
      </c>
      <c r="R18" s="23" t="s">
        <v>451</v>
      </c>
      <c r="S18" s="23" t="s">
        <v>455</v>
      </c>
      <c r="T18" s="23" t="s">
        <v>452</v>
      </c>
      <c r="U18" s="23" t="s">
        <v>450</v>
      </c>
      <c r="V18" s="23" t="s">
        <v>448</v>
      </c>
      <c r="W18" s="23" t="s">
        <v>461</v>
      </c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</v>
      </c>
      <c r="E19" s="13">
        <f>Main!B64</f>
        <v>1.44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9739.3378132280268</v>
      </c>
      <c r="K19" s="22">
        <f t="shared" si="13"/>
        <v>14025.917949774454</v>
      </c>
      <c r="L19" s="22">
        <f t="shared" si="13"/>
        <v>11248.935047281573</v>
      </c>
      <c r="M19" s="22">
        <f t="shared" si="13"/>
        <v>22556.936069570798</v>
      </c>
      <c r="N19" s="22">
        <f t="shared" si="13"/>
        <v>10430.956772624906</v>
      </c>
      <c r="O19" s="22">
        <f t="shared" si="13"/>
        <v>13445.991207594316</v>
      </c>
      <c r="P19" s="22">
        <f t="shared" si="13"/>
        <v>43871.240824343964</v>
      </c>
      <c r="Q19" s="22">
        <f t="shared" si="13"/>
        <v>19634.709751430579</v>
      </c>
      <c r="R19" s="22">
        <f t="shared" si="13"/>
        <v>52362.85801794313</v>
      </c>
      <c r="S19" s="22">
        <f t="shared" si="13"/>
        <v>43423.765191051578</v>
      </c>
      <c r="T19" s="22">
        <f t="shared" si="13"/>
        <v>317526.54329636041</v>
      </c>
      <c r="U19" s="22">
        <f t="shared" si="13"/>
        <v>48449.109432101599</v>
      </c>
      <c r="V19" s="22">
        <f t="shared" si="13"/>
        <v>13551.43243344525</v>
      </c>
      <c r="W19" s="22">
        <f t="shared" si="13"/>
        <v>19892.801297150756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v>1.6486000000000001</v>
      </c>
      <c r="K20" s="60">
        <v>2.4887999999999999</v>
      </c>
      <c r="L20" s="134">
        <v>1.6486000000000001</v>
      </c>
      <c r="M20" s="60">
        <v>4.1752000000000002</v>
      </c>
      <c r="N20" s="134">
        <v>1.6486000000000001</v>
      </c>
      <c r="O20" s="60">
        <v>2.4887999999999999</v>
      </c>
      <c r="P20" s="30">
        <f>SUM(164.86,171.87,104.35*2,206.95)%</f>
        <v>7.5238000000000014</v>
      </c>
      <c r="Q20" s="30">
        <f>SUM(164.86%,171.87%)</f>
        <v>3.3673000000000002</v>
      </c>
      <c r="R20" s="30">
        <f>417.52%+162.2%*2</f>
        <v>7.4192</v>
      </c>
      <c r="S20" s="30">
        <f>674.34%/2</f>
        <v>3.3717000000000001</v>
      </c>
      <c r="T20" s="134">
        <f>674.34%+137.78%*13</f>
        <v>24.654800000000002</v>
      </c>
      <c r="U20" s="134">
        <f>SUM(164.86,171.87,104.35*2,206.95)%</f>
        <v>7.5238000000000014</v>
      </c>
      <c r="V20" s="30">
        <v>2.4887999999999999</v>
      </c>
      <c r="W20" s="30">
        <f>SUM(164.86%,171.87%)</f>
        <v>3.3673000000000002</v>
      </c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>
        <v>1</v>
      </c>
      <c r="R21" s="24">
        <v>1</v>
      </c>
      <c r="S21" s="24">
        <v>1</v>
      </c>
      <c r="T21" s="24">
        <v>1</v>
      </c>
      <c r="U21" s="24">
        <v>1</v>
      </c>
      <c r="V21" s="24">
        <v>1</v>
      </c>
      <c r="W21" s="24">
        <v>1</v>
      </c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51" t="s">
        <v>47</v>
      </c>
      <c r="R22" s="51" t="s">
        <v>47</v>
      </c>
      <c r="S22" s="51" t="s">
        <v>47</v>
      </c>
      <c r="T22" s="51" t="s">
        <v>47</v>
      </c>
      <c r="U22" s="51" t="s">
        <v>47</v>
      </c>
      <c r="V22" s="24" t="s">
        <v>47</v>
      </c>
      <c r="W22" s="24" t="s">
        <v>47</v>
      </c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103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91</v>
      </c>
      <c r="P23" s="24" t="s">
        <v>103</v>
      </c>
      <c r="Q23" s="24" t="s">
        <v>103</v>
      </c>
      <c r="R23" s="24" t="s">
        <v>91</v>
      </c>
      <c r="S23" s="24" t="s">
        <v>103</v>
      </c>
      <c r="T23" s="24" t="s">
        <v>103</v>
      </c>
      <c r="U23" s="24" t="s">
        <v>103</v>
      </c>
      <c r="V23" s="24" t="s">
        <v>91</v>
      </c>
      <c r="W23" s="24" t="s">
        <v>103</v>
      </c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93</v>
      </c>
      <c r="K24" s="51" t="s">
        <v>105</v>
      </c>
      <c r="L24" s="51" t="s">
        <v>93</v>
      </c>
      <c r="M24" s="51" t="s">
        <v>72</v>
      </c>
      <c r="N24" s="24" t="s">
        <v>93</v>
      </c>
      <c r="O24" s="24" t="s">
        <v>105</v>
      </c>
      <c r="P24" s="24" t="s">
        <v>93</v>
      </c>
      <c r="Q24" s="24" t="s">
        <v>93</v>
      </c>
      <c r="R24" s="24" t="s">
        <v>105</v>
      </c>
      <c r="S24" s="24" t="s">
        <v>72</v>
      </c>
      <c r="T24" s="24" t="s">
        <v>72</v>
      </c>
      <c r="U24" s="24" t="s">
        <v>93</v>
      </c>
      <c r="V24" s="24" t="s">
        <v>93</v>
      </c>
      <c r="W24" s="24" t="s">
        <v>93</v>
      </c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0.4</v>
      </c>
      <c r="K26" s="60"/>
      <c r="L26" s="60">
        <v>0.4</v>
      </c>
      <c r="M26" s="60"/>
      <c r="N26" s="30">
        <v>0.4</v>
      </c>
      <c r="O26" s="30"/>
      <c r="P26" s="30">
        <v>0.4</v>
      </c>
      <c r="Q26" s="30">
        <v>0.4</v>
      </c>
      <c r="R26" s="30">
        <v>0.24</v>
      </c>
      <c r="S26" s="30">
        <v>0.64</v>
      </c>
      <c r="T26" s="30">
        <v>0.64</v>
      </c>
      <c r="U26" s="30">
        <v>0.64</v>
      </c>
      <c r="V26" s="30"/>
      <c r="W26" s="30">
        <v>0.4</v>
      </c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2269.5152648937865</v>
      </c>
      <c r="K29" s="34">
        <f t="shared" si="14"/>
        <v>2269.5152648937865</v>
      </c>
      <c r="L29" s="34">
        <f t="shared" si="14"/>
        <v>2346.2911398230599</v>
      </c>
      <c r="M29" s="34">
        <f t="shared" si="14"/>
        <v>2175.6780844246746</v>
      </c>
      <c r="N29" s="34">
        <f t="shared" si="14"/>
        <v>2175.6780844246746</v>
      </c>
      <c r="O29" s="34">
        <f t="shared" si="14"/>
        <v>2175.6780844246746</v>
      </c>
      <c r="P29" s="34">
        <f t="shared" si="14"/>
        <v>2005.0650290262893</v>
      </c>
      <c r="Q29" s="34">
        <f t="shared" si="14"/>
        <v>2005.0650290262893</v>
      </c>
      <c r="R29" s="34">
        <f t="shared" si="14"/>
        <v>2005.0650290262893</v>
      </c>
      <c r="S29" s="34">
        <f t="shared" si="14"/>
        <v>2005.0650290262893</v>
      </c>
      <c r="T29" s="34">
        <f t="shared" si="14"/>
        <v>2005.0650290262893</v>
      </c>
      <c r="U29" s="34">
        <f t="shared" si="14"/>
        <v>2005.0650290262893</v>
      </c>
      <c r="V29" s="34">
        <f t="shared" si="14"/>
        <v>2192.7393899645131</v>
      </c>
      <c r="W29" s="34">
        <f t="shared" si="14"/>
        <v>2269.5152648937865</v>
      </c>
      <c r="X29" s="34">
        <f t="shared" si="14"/>
        <v>1851.5132791677424</v>
      </c>
      <c r="Y29" s="34">
        <f t="shared" si="14"/>
        <v>1851.5132791677424</v>
      </c>
      <c r="Z29" s="34">
        <f t="shared" si="14"/>
        <v>1851.5132791677424</v>
      </c>
      <c r="AA29" s="34">
        <f t="shared" si="14"/>
        <v>1851.5132791677424</v>
      </c>
      <c r="AB29" s="34">
        <f t="shared" si="14"/>
        <v>1851.5132791677424</v>
      </c>
      <c r="AC29" s="34">
        <f t="shared" si="14"/>
        <v>1851.5132791677424</v>
      </c>
      <c r="AD29" s="34">
        <f t="shared" si="14"/>
        <v>1851.5132791677424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2.133</v>
      </c>
      <c r="K32" s="33">
        <f t="shared" ref="K32:AD32" si="17">($D$9+VLOOKUP(K23,$B$10:$D$12,3,FALSE)+VLOOKUP(K24,$B$13:$D$18,3,FALSE)+K47)</f>
        <v>1.3</v>
      </c>
      <c r="L32" s="33">
        <f t="shared" si="17"/>
        <v>2.383</v>
      </c>
      <c r="M32" s="33">
        <f t="shared" si="17"/>
        <v>1.3</v>
      </c>
      <c r="N32" s="33">
        <f t="shared" si="17"/>
        <v>2.383</v>
      </c>
      <c r="O32" s="33">
        <f t="shared" si="17"/>
        <v>1.3</v>
      </c>
      <c r="P32" s="33">
        <f t="shared" si="17"/>
        <v>2.383</v>
      </c>
      <c r="Q32" s="33">
        <f t="shared" si="17"/>
        <v>2.383</v>
      </c>
      <c r="R32" s="33">
        <f t="shared" si="17"/>
        <v>1.55</v>
      </c>
      <c r="S32" s="33">
        <f t="shared" si="17"/>
        <v>2.383</v>
      </c>
      <c r="T32" s="33">
        <f t="shared" si="17"/>
        <v>2.383</v>
      </c>
      <c r="U32" s="33">
        <f t="shared" si="17"/>
        <v>2.383</v>
      </c>
      <c r="V32" s="33">
        <f t="shared" si="17"/>
        <v>1.3</v>
      </c>
      <c r="W32" s="33">
        <f t="shared" si="17"/>
        <v>2.133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0.70300000000000007</v>
      </c>
      <c r="K33" s="33">
        <f t="shared" ref="K33:AD33" si="18">IF($D$6+K44&lt;0,0,IF($D$6+K44&gt;1,1,$D$6+K44))</f>
        <v>0.70300000000000007</v>
      </c>
      <c r="L33" s="33">
        <f t="shared" si="18"/>
        <v>0.70300000000000007</v>
      </c>
      <c r="M33" s="33">
        <f t="shared" si="18"/>
        <v>0.70300000000000007</v>
      </c>
      <c r="N33" s="33">
        <f t="shared" si="18"/>
        <v>0.70300000000000007</v>
      </c>
      <c r="O33" s="33">
        <f t="shared" si="18"/>
        <v>0.70300000000000007</v>
      </c>
      <c r="P33" s="33">
        <f t="shared" si="18"/>
        <v>0.70300000000000007</v>
      </c>
      <c r="Q33" s="33">
        <f t="shared" si="18"/>
        <v>0.70300000000000007</v>
      </c>
      <c r="R33" s="33">
        <f t="shared" si="18"/>
        <v>0.70300000000000007</v>
      </c>
      <c r="S33" s="33">
        <f t="shared" si="18"/>
        <v>0.70300000000000007</v>
      </c>
      <c r="T33" s="33">
        <f t="shared" si="18"/>
        <v>0.70300000000000007</v>
      </c>
      <c r="U33" s="33">
        <f t="shared" si="18"/>
        <v>0.70300000000000007</v>
      </c>
      <c r="V33" s="33">
        <f t="shared" si="18"/>
        <v>0.70300000000000007</v>
      </c>
      <c r="W33" s="33">
        <f t="shared" si="18"/>
        <v>0.70300000000000007</v>
      </c>
      <c r="X33" s="33">
        <f t="shared" si="18"/>
        <v>0.70300000000000007</v>
      </c>
      <c r="Y33" s="33">
        <f t="shared" si="18"/>
        <v>0.70300000000000007</v>
      </c>
      <c r="Z33" s="33">
        <f t="shared" si="18"/>
        <v>0.70300000000000007</v>
      </c>
      <c r="AA33" s="33">
        <f t="shared" si="18"/>
        <v>0.70300000000000007</v>
      </c>
      <c r="AB33" s="33">
        <f t="shared" si="18"/>
        <v>0.70300000000000007</v>
      </c>
      <c r="AC33" s="33">
        <f t="shared" si="18"/>
        <v>0.70300000000000007</v>
      </c>
      <c r="AD33" s="33">
        <f t="shared" si="18"/>
        <v>0.70300000000000007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1.6760000000000002</v>
      </c>
      <c r="K34" s="33">
        <f t="shared" si="19"/>
        <v>1.6760000000000002</v>
      </c>
      <c r="L34" s="33">
        <f t="shared" si="19"/>
        <v>1.6760000000000002</v>
      </c>
      <c r="M34" s="33">
        <f t="shared" si="19"/>
        <v>1.6760000000000002</v>
      </c>
      <c r="N34" s="33">
        <f t="shared" si="19"/>
        <v>1.6760000000000002</v>
      </c>
      <c r="O34" s="33">
        <f t="shared" si="19"/>
        <v>1.6760000000000002</v>
      </c>
      <c r="P34" s="33">
        <f t="shared" si="19"/>
        <v>1.6760000000000002</v>
      </c>
      <c r="Q34" s="33">
        <f t="shared" si="19"/>
        <v>1.6760000000000002</v>
      </c>
      <c r="R34" s="33">
        <f t="shared" si="19"/>
        <v>1.6760000000000002</v>
      </c>
      <c r="S34" s="33">
        <f t="shared" si="19"/>
        <v>1.6760000000000002</v>
      </c>
      <c r="T34" s="33">
        <f t="shared" si="19"/>
        <v>1.6760000000000002</v>
      </c>
      <c r="U34" s="33">
        <f t="shared" si="19"/>
        <v>1.6760000000000002</v>
      </c>
      <c r="V34" s="33">
        <f t="shared" si="19"/>
        <v>1.6760000000000002</v>
      </c>
      <c r="W34" s="33">
        <f t="shared" si="19"/>
        <v>1.6760000000000002</v>
      </c>
      <c r="X34" s="33">
        <f t="shared" si="19"/>
        <v>1.6760000000000002</v>
      </c>
      <c r="Y34" s="33">
        <f t="shared" si="19"/>
        <v>1.6760000000000002</v>
      </c>
      <c r="Z34" s="33">
        <f t="shared" si="19"/>
        <v>1.6760000000000002</v>
      </c>
      <c r="AA34" s="33">
        <f t="shared" si="19"/>
        <v>1.6760000000000002</v>
      </c>
      <c r="AB34" s="33">
        <f t="shared" si="19"/>
        <v>1.6760000000000002</v>
      </c>
      <c r="AC34" s="33">
        <f t="shared" si="19"/>
        <v>1.6760000000000002</v>
      </c>
      <c r="AD34" s="33">
        <f t="shared" si="19"/>
        <v>1.6760000000000002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-0.15000000000000002</v>
      </c>
      <c r="K37" s="61">
        <f t="shared" si="22"/>
        <v>0.1</v>
      </c>
      <c r="L37" s="61">
        <f t="shared" si="22"/>
        <v>-0.15000000000000002</v>
      </c>
      <c r="M37" s="61">
        <f t="shared" si="22"/>
        <v>0.1</v>
      </c>
      <c r="N37" s="61">
        <f t="shared" si="22"/>
        <v>-0.15000000000000002</v>
      </c>
      <c r="O37" s="61">
        <f t="shared" si="22"/>
        <v>0.1</v>
      </c>
      <c r="P37" s="61">
        <f t="shared" si="22"/>
        <v>-0.15000000000000002</v>
      </c>
      <c r="Q37" s="61">
        <f t="shared" si="22"/>
        <v>-0.15000000000000002</v>
      </c>
      <c r="R37" s="61">
        <f t="shared" si="22"/>
        <v>-6.9999999999999993E-2</v>
      </c>
      <c r="S37" s="61">
        <f t="shared" si="22"/>
        <v>-0.27</v>
      </c>
      <c r="T37" s="61">
        <f t="shared" si="22"/>
        <v>-0.27</v>
      </c>
      <c r="U37" s="61">
        <f t="shared" si="22"/>
        <v>-0.27</v>
      </c>
      <c r="V37" s="61">
        <f t="shared" si="22"/>
        <v>0.1</v>
      </c>
      <c r="W37" s="61">
        <f t="shared" si="22"/>
        <v>-0.15000000000000002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0.49</v>
      </c>
      <c r="K38" s="30">
        <v>0.49</v>
      </c>
      <c r="L38" s="30">
        <v>0.57999999999999996</v>
      </c>
      <c r="M38" s="30">
        <v>0.38</v>
      </c>
      <c r="N38" s="30">
        <v>0.38</v>
      </c>
      <c r="O38" s="30">
        <v>0.38</v>
      </c>
      <c r="P38" s="30">
        <v>0.18</v>
      </c>
      <c r="Q38" s="30">
        <v>0.18</v>
      </c>
      <c r="R38" s="30">
        <v>0.18</v>
      </c>
      <c r="S38" s="30">
        <v>0.18</v>
      </c>
      <c r="T38" s="30">
        <v>0.18</v>
      </c>
      <c r="U38" s="30">
        <v>0.18</v>
      </c>
      <c r="V38" s="30">
        <v>0.4</v>
      </c>
      <c r="W38" s="30">
        <v>0.49</v>
      </c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>
        <v>0.25</v>
      </c>
      <c r="M47" s="30"/>
      <c r="N47" s="30">
        <v>0.25</v>
      </c>
      <c r="O47" s="30"/>
      <c r="P47" s="30">
        <v>0.25</v>
      </c>
      <c r="Q47" s="30">
        <v>0.25</v>
      </c>
      <c r="R47" s="30">
        <v>0.25</v>
      </c>
      <c r="S47" s="30">
        <v>0.25</v>
      </c>
      <c r="T47" s="30">
        <v>0.25</v>
      </c>
      <c r="U47" s="30">
        <v>0.25</v>
      </c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2</v>
      </c>
      <c r="N49" s="51">
        <v>1</v>
      </c>
      <c r="O49" s="51">
        <v>2</v>
      </c>
      <c r="P49" s="51">
        <v>1</v>
      </c>
      <c r="Q49" s="51">
        <v>1</v>
      </c>
      <c r="R49" s="51">
        <v>2</v>
      </c>
      <c r="S49" s="51">
        <v>2</v>
      </c>
      <c r="T49" s="51">
        <v>2</v>
      </c>
      <c r="U49" s="51">
        <v>1</v>
      </c>
      <c r="V49" s="51">
        <v>2</v>
      </c>
      <c r="W49" s="51">
        <v>1</v>
      </c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9739.3378132280268</v>
      </c>
      <c r="K50" s="22">
        <f t="shared" ref="K50:AD50" si="23">IF(K49&gt;1,K19/K49,K19)</f>
        <v>7012.9589748872268</v>
      </c>
      <c r="L50" s="22">
        <f t="shared" si="23"/>
        <v>11248.935047281573</v>
      </c>
      <c r="M50" s="22">
        <f t="shared" si="23"/>
        <v>11278.468034785399</v>
      </c>
      <c r="N50" s="22">
        <f t="shared" si="23"/>
        <v>10430.956772624906</v>
      </c>
      <c r="O50" s="22">
        <f t="shared" si="23"/>
        <v>6722.9956037971579</v>
      </c>
      <c r="P50" s="22">
        <f t="shared" si="23"/>
        <v>43871.240824343964</v>
      </c>
      <c r="Q50" s="22">
        <f t="shared" si="23"/>
        <v>19634.709751430579</v>
      </c>
      <c r="R50" s="22">
        <f t="shared" si="23"/>
        <v>26181.429008971565</v>
      </c>
      <c r="S50" s="22">
        <f t="shared" si="23"/>
        <v>21711.882595525789</v>
      </c>
      <c r="T50" s="22">
        <f t="shared" si="23"/>
        <v>158763.27164818021</v>
      </c>
      <c r="U50" s="22">
        <f t="shared" si="23"/>
        <v>48449.109432101599</v>
      </c>
      <c r="V50" s="22">
        <f t="shared" si="23"/>
        <v>6775.7162167226252</v>
      </c>
      <c r="W50" s="22">
        <f t="shared" si="23"/>
        <v>19892.801297150756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0</v>
      </c>
      <c r="L51" s="51">
        <v>0</v>
      </c>
      <c r="M51" s="51">
        <v>1</v>
      </c>
      <c r="N51" s="51">
        <v>0</v>
      </c>
      <c r="O51" s="51">
        <v>0</v>
      </c>
      <c r="P51" s="51">
        <v>0</v>
      </c>
      <c r="Q51" s="51">
        <v>0</v>
      </c>
      <c r="R51" s="51">
        <v>1</v>
      </c>
      <c r="S51" s="51">
        <v>1</v>
      </c>
      <c r="T51" s="51">
        <v>1</v>
      </c>
      <c r="U51" s="51">
        <v>0</v>
      </c>
      <c r="V51" s="51">
        <v>0</v>
      </c>
      <c r="W51" s="51">
        <v>0</v>
      </c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9739.3378132280268</v>
      </c>
      <c r="K52" s="22">
        <f t="shared" ref="K52:AD52" si="25">IF(K51=0,K19,K50*3)</f>
        <v>14025.917949774454</v>
      </c>
      <c r="L52" s="22">
        <f t="shared" si="25"/>
        <v>11248.935047281573</v>
      </c>
      <c r="M52" s="22">
        <f t="shared" si="25"/>
        <v>33835.404104356196</v>
      </c>
      <c r="N52" s="22">
        <f t="shared" si="25"/>
        <v>10430.956772624906</v>
      </c>
      <c r="O52" s="22">
        <f t="shared" si="25"/>
        <v>13445.991207594316</v>
      </c>
      <c r="P52" s="22">
        <f t="shared" si="25"/>
        <v>43871.240824343964</v>
      </c>
      <c r="Q52" s="22">
        <f t="shared" si="25"/>
        <v>19634.709751430579</v>
      </c>
      <c r="R52" s="22">
        <f t="shared" si="25"/>
        <v>78544.287026914695</v>
      </c>
      <c r="S52" s="22">
        <f t="shared" si="25"/>
        <v>65135.647786577363</v>
      </c>
      <c r="T52" s="22">
        <f t="shared" si="25"/>
        <v>476289.81494454062</v>
      </c>
      <c r="U52" s="22">
        <f t="shared" si="25"/>
        <v>48449.109432101599</v>
      </c>
      <c r="V52" s="22">
        <f t="shared" si="25"/>
        <v>13551.43243344525</v>
      </c>
      <c r="W52" s="22">
        <f t="shared" si="25"/>
        <v>19892.801297150756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/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3"/>
        <v>2</v>
      </c>
      <c r="F93">
        <f>F86-D51*2</f>
        <v>8</v>
      </c>
    </row>
    <row r="94" spans="1:7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5.9999999999999982</v>
      </c>
      <c r="E96" s="70">
        <f t="shared" si="33"/>
        <v>7.9999999999999982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640160.53510390141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29098.206141086426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402571.44455044321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859810.84945018787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C956AEA-1278-4073-BE84-631BF22916C1}">
      <formula1>$B$115:$B$155</formula1>
    </dataValidation>
    <dataValidation type="list" allowBlank="1" showInputMessage="1" showErrorMessage="1" sqref="D83:D84" xr:uid="{FD82FB43-82BC-4335-BB54-F7FBEBA06591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44C7C-ADE6-4D2F-B0C0-5E0410141C6F}">
  <sheetPr>
    <tabColor theme="2" tint="-9.9978637043366805E-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33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244.24395214170312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1782.5889727820861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593.76677080507397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707.3938503849032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3247.8364081632649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9188.8851765442851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15395.773694198715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>
        <v>2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205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0.81048439999999999</v>
      </c>
      <c r="K9" s="134">
        <f t="shared" si="3"/>
        <v>0.85934860000000002</v>
      </c>
      <c r="L9" s="134">
        <f t="shared" si="3"/>
        <v>1.0680318</v>
      </c>
      <c r="M9" s="134">
        <f t="shared" si="3"/>
        <v>1.0601326999999998</v>
      </c>
      <c r="N9" s="134">
        <f t="shared" si="3"/>
        <v>1.3239259000000001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Oz's ATK DMG</v>
      </c>
      <c r="K10" s="124" t="str">
        <f t="shared" si="5"/>
        <v>Summoning DMG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2.487528344671202</v>
      </c>
      <c r="AB10" s="64">
        <f>1+(16*($D$8+AB13))/(2000+(AB13+$D$8))</f>
        <v>2.487528344671202</v>
      </c>
      <c r="AC10" s="64">
        <f t="shared" ref="AC10:AD10" si="6">1+(16*($D$8+AC13))/(2000+(AC13+$D$8))</f>
        <v>2.487528344671202</v>
      </c>
      <c r="AD10" s="64">
        <f t="shared" si="6"/>
        <v>2.487528344671202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1.5096000000000001</v>
      </c>
      <c r="K11" s="134">
        <f t="shared" si="7"/>
        <v>1.96248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Falling Thunder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3.536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1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0.24</v>
      </c>
      <c r="F16" s="12"/>
      <c r="I16"/>
      <c r="J16"/>
      <c r="Z16" s="152" t="s">
        <v>534</v>
      </c>
      <c r="AA16" s="51">
        <f>IF(AA15&gt;1,AA4/AA15,AA4)</f>
        <v>3247.8364081632649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492</v>
      </c>
      <c r="L18" s="23" t="s">
        <v>493</v>
      </c>
      <c r="M18" s="23" t="s">
        <v>494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Main!C64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11654.036071784967</v>
      </c>
      <c r="K19" s="22">
        <f t="shared" si="13"/>
        <v>53787.858792853694</v>
      </c>
      <c r="L19" s="22">
        <f t="shared" si="13"/>
        <v>3028.5956527507715</v>
      </c>
      <c r="M19" s="22">
        <f t="shared" si="13"/>
        <v>2019.0637685005147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2.3088000000000002</v>
      </c>
      <c r="K20" s="60">
        <v>1.776</v>
      </c>
      <c r="L20" s="60">
        <v>0.3</v>
      </c>
      <c r="M20" s="60">
        <v>0.8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4</v>
      </c>
      <c r="M21" s="51">
        <v>1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1782.5889727820861</v>
      </c>
      <c r="K29" s="34">
        <f t="shared" si="14"/>
        <v>1782.5889727820861</v>
      </c>
      <c r="L29" s="34">
        <f t="shared" si="14"/>
        <v>1782.5889727820861</v>
      </c>
      <c r="M29" s="34">
        <f t="shared" si="14"/>
        <v>1782.5889727820861</v>
      </c>
      <c r="N29" s="34">
        <f t="shared" si="14"/>
        <v>1782.5889727820861</v>
      </c>
      <c r="O29" s="34">
        <f t="shared" si="14"/>
        <v>1782.5889727820861</v>
      </c>
      <c r="P29" s="34">
        <f t="shared" si="14"/>
        <v>1782.5889727820861</v>
      </c>
      <c r="Q29" s="34">
        <f t="shared" si="14"/>
        <v>1782.5889727820861</v>
      </c>
      <c r="R29" s="34">
        <f t="shared" si="14"/>
        <v>1782.5889727820861</v>
      </c>
      <c r="S29" s="34">
        <f t="shared" si="14"/>
        <v>1782.5889727820861</v>
      </c>
      <c r="T29" s="34">
        <f t="shared" si="14"/>
        <v>1782.5889727820861</v>
      </c>
      <c r="U29" s="34">
        <f t="shared" si="14"/>
        <v>1782.5889727820861</v>
      </c>
      <c r="V29" s="34">
        <f t="shared" si="14"/>
        <v>1782.5889727820861</v>
      </c>
      <c r="W29" s="34">
        <f t="shared" si="14"/>
        <v>1782.5889727820861</v>
      </c>
      <c r="X29" s="34">
        <f t="shared" si="14"/>
        <v>1782.5889727820861</v>
      </c>
      <c r="Y29" s="34">
        <f t="shared" si="14"/>
        <v>1782.5889727820861</v>
      </c>
      <c r="Z29" s="34">
        <f t="shared" si="14"/>
        <v>1782.5889727820861</v>
      </c>
      <c r="AA29" s="34">
        <f t="shared" si="14"/>
        <v>1782.5889727820861</v>
      </c>
      <c r="AB29" s="34">
        <f t="shared" si="14"/>
        <v>1782.5889727820861</v>
      </c>
      <c r="AC29" s="34">
        <f t="shared" si="14"/>
        <v>1782.5889727820861</v>
      </c>
      <c r="AD29" s="34">
        <f t="shared" si="14"/>
        <v>1782.5889727820861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707.3938503849032</v>
      </c>
      <c r="K30" s="34">
        <f t="shared" si="15"/>
        <v>707.3938503849032</v>
      </c>
      <c r="L30" s="34">
        <f t="shared" si="15"/>
        <v>707.3938503849032</v>
      </c>
      <c r="M30" s="34">
        <f t="shared" si="15"/>
        <v>707.3938503849032</v>
      </c>
      <c r="N30" s="34">
        <f t="shared" si="15"/>
        <v>707.3938503849032</v>
      </c>
      <c r="O30" s="34">
        <f t="shared" si="15"/>
        <v>707.3938503849032</v>
      </c>
      <c r="P30" s="34">
        <f t="shared" si="15"/>
        <v>707.3938503849032</v>
      </c>
      <c r="Q30" s="34">
        <f t="shared" si="15"/>
        <v>707.3938503849032</v>
      </c>
      <c r="R30" s="34">
        <f t="shared" si="15"/>
        <v>707.3938503849032</v>
      </c>
      <c r="S30" s="34">
        <f t="shared" si="15"/>
        <v>707.3938503849032</v>
      </c>
      <c r="T30" s="34">
        <f t="shared" si="15"/>
        <v>707.3938503849032</v>
      </c>
      <c r="U30" s="34">
        <f t="shared" si="15"/>
        <v>707.3938503849032</v>
      </c>
      <c r="V30" s="34">
        <f t="shared" si="15"/>
        <v>707.3938503849032</v>
      </c>
      <c r="W30" s="34">
        <f t="shared" si="15"/>
        <v>707.3938503849032</v>
      </c>
      <c r="X30" s="34">
        <f t="shared" si="15"/>
        <v>707.3938503849032</v>
      </c>
      <c r="Y30" s="34">
        <f t="shared" si="15"/>
        <v>707.3938503849032</v>
      </c>
      <c r="Z30" s="34">
        <f t="shared" si="15"/>
        <v>707.3938503849032</v>
      </c>
      <c r="AA30" s="34">
        <f t="shared" si="15"/>
        <v>707.3938503849032</v>
      </c>
      <c r="AB30" s="34">
        <f t="shared" si="15"/>
        <v>707.3938503849032</v>
      </c>
      <c r="AC30" s="34">
        <f t="shared" si="15"/>
        <v>707.3938503849032</v>
      </c>
      <c r="AD30" s="34">
        <f t="shared" si="15"/>
        <v>707.3938503849032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15395.773694198715</v>
      </c>
      <c r="K31" s="34">
        <f t="shared" si="16"/>
        <v>15395.773694198715</v>
      </c>
      <c r="L31" s="34">
        <f t="shared" si="16"/>
        <v>15395.773694198715</v>
      </c>
      <c r="M31" s="34">
        <f t="shared" si="16"/>
        <v>15395.773694198715</v>
      </c>
      <c r="N31" s="34">
        <f t="shared" si="16"/>
        <v>15395.773694198715</v>
      </c>
      <c r="O31" s="34">
        <f t="shared" si="16"/>
        <v>15395.773694198715</v>
      </c>
      <c r="P31" s="34">
        <f t="shared" si="16"/>
        <v>15395.773694198715</v>
      </c>
      <c r="Q31" s="34">
        <f t="shared" si="16"/>
        <v>15395.773694198715</v>
      </c>
      <c r="R31" s="34">
        <f t="shared" si="16"/>
        <v>15395.773694198715</v>
      </c>
      <c r="S31" s="34">
        <f t="shared" si="16"/>
        <v>15395.773694198715</v>
      </c>
      <c r="T31" s="34">
        <f t="shared" si="16"/>
        <v>15395.773694198715</v>
      </c>
      <c r="U31" s="34">
        <f t="shared" si="16"/>
        <v>15395.773694198715</v>
      </c>
      <c r="V31" s="34">
        <f t="shared" si="16"/>
        <v>15395.773694198715</v>
      </c>
      <c r="W31" s="34">
        <f t="shared" si="16"/>
        <v>15395.773694198715</v>
      </c>
      <c r="X31" s="34">
        <f t="shared" si="16"/>
        <v>15395.773694198715</v>
      </c>
      <c r="Y31" s="34">
        <f t="shared" si="16"/>
        <v>15395.773694198715</v>
      </c>
      <c r="Z31" s="34">
        <f t="shared" si="16"/>
        <v>15395.773694198715</v>
      </c>
      <c r="AA31" s="34">
        <f t="shared" si="16"/>
        <v>15395.773694198715</v>
      </c>
      <c r="AB31" s="34">
        <f t="shared" si="16"/>
        <v>15395.773694198715</v>
      </c>
      <c r="AC31" s="34">
        <f t="shared" si="16"/>
        <v>15395.773694198715</v>
      </c>
      <c r="AD31" s="34">
        <f t="shared" si="16"/>
        <v>15395.773694198715</v>
      </c>
    </row>
    <row r="32" spans="1:30" x14ac:dyDescent="0.25">
      <c r="A32" s="1"/>
      <c r="B32" s="92" t="s">
        <v>1</v>
      </c>
      <c r="C32">
        <v>165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1.706</v>
      </c>
      <c r="L32" s="33">
        <f t="shared" si="17"/>
        <v>1.706</v>
      </c>
      <c r="M32" s="33">
        <f t="shared" si="17"/>
        <v>1.706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0.69100000000000006</v>
      </c>
      <c r="L33" s="33">
        <f t="shared" si="18"/>
        <v>0.69100000000000006</v>
      </c>
      <c r="M33" s="33">
        <f t="shared" si="18"/>
        <v>0.69100000000000006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0.69100000000000006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>
        <v>0.24</v>
      </c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5827.0180358924836</v>
      </c>
      <c r="K50" s="22">
        <f t="shared" ref="K50:AD50" si="23">IF(K49&gt;1,K19/K49,K19)</f>
        <v>53787.858792853694</v>
      </c>
      <c r="L50" s="22">
        <f t="shared" si="23"/>
        <v>3028.5956527507715</v>
      </c>
      <c r="M50" s="22">
        <f t="shared" si="23"/>
        <v>2019.0637685005147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17481.05410767745</v>
      </c>
      <c r="K52" s="22">
        <f t="shared" ref="K52:AD52" si="25">IF(K51=0,K19,K50*3)</f>
        <v>53787.858792853694</v>
      </c>
      <c r="L52" s="22">
        <f t="shared" si="25"/>
        <v>3028.5956527507715</v>
      </c>
      <c r="M52" s="22">
        <f t="shared" si="25"/>
        <v>2019.0637685005147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1.5671028037383179</v>
      </c>
      <c r="W65" s="81">
        <f>1+(4.44*($D$8+W71))/(1400+$D$8+W71)+W72</f>
        <v>1.5671028037383179</v>
      </c>
      <c r="X65" s="81">
        <f>1+(4.44*($D$8+X71))/(1400+$D$8+X71)+X72</f>
        <v>1.5671028037383179</v>
      </c>
      <c r="Y65" s="81">
        <f>1+(4.44*($D$8+Y71))/(1400+$D$8+Y71)+Y72</f>
        <v>1.5671028037383179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2.4136396569688658</v>
      </c>
      <c r="W68" s="80">
        <f>($D$4+$C$4*W69+W70+1000)/($D$4+$C$4*W69+W70)</f>
        <v>2.4136396569688658</v>
      </c>
      <c r="X68" s="80">
        <f>($D$4+$C$4*X69+X70+1000)/($D$4+$C$4*X69+X70)</f>
        <v>2.4136396569688658</v>
      </c>
      <c r="Y68" s="80">
        <f>($D$4+$C$4*Y69+Y70+1000)/($D$4+$C$4*Y69+Y70)</f>
        <v>2.4136396569688658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2.4136396569688658</v>
      </c>
      <c r="Q69" s="80">
        <f>($D$4+$C$4*Q70+Q71+1000)/($D$4+$C$4*Q70+Q71)</f>
        <v>2.4136396569688658</v>
      </c>
      <c r="R69" s="80">
        <f>($D$4+$C$4*R70+R71+1000)/($D$4+$C$4*R70+R71)</f>
        <v>2.4136396569688658</v>
      </c>
      <c r="S69" s="80">
        <f>($D$4+$C$4*S70+S71+1000)/($D$4+$C$4*S70+S71)</f>
        <v>2.4136396569688658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70489.554285889957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3204.0706493586345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67910.372658160733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79564.408729945688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6CC74ABF-DB30-49D6-AB49-FBE39BDF9DB4}">
      <formula1>"amp,trans,nil"</formula1>
    </dataValidation>
    <dataValidation type="list" allowBlank="1" showInputMessage="1" showErrorMessage="1" sqref="C1" xr:uid="{7BB1C430-B67C-48D1-BEF7-E3BBDD1829E5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5D87-AE96-4319-B254-B2CAC62CFBF8}">
  <sheetPr>
    <tabColor theme="2" tint="-9.9978637043366805E-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225.12920529174121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1782.7165276026165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648.3660020698801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768.76338632654529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976.74701960784284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13049.304306579739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19642.234737237712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1.226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0.15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1.3064744000000001</v>
      </c>
      <c r="K9" s="134">
        <f t="shared" si="3"/>
        <v>1.3016981999999999</v>
      </c>
      <c r="L9" s="134">
        <f t="shared" si="3"/>
        <v>1.6224383999999998</v>
      </c>
      <c r="M9" s="134">
        <f t="shared" si="3"/>
        <v>1.5893724</v>
      </c>
      <c r="N9" s="134">
        <f t="shared" si="3"/>
        <v>2.0600117999999998</v>
      </c>
      <c r="O9" s="134">
        <f t="shared" si="3"/>
        <v>1.0331288000000001</v>
      </c>
      <c r="P9" s="134">
        <f t="shared" si="3"/>
        <v>1.8704334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0.70599999999999996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Shield DMG Absorption</v>
      </c>
      <c r="K10" s="124" t="str">
        <f t="shared" si="5"/>
        <v>Shield DMG Absorption (flat)</v>
      </c>
      <c r="L10" s="124" t="str">
        <f t="shared" si="5"/>
        <v>Base DMG</v>
      </c>
      <c r="M10" s="124" t="str">
        <f t="shared" si="5"/>
        <v>DMG Bonus on Hit Taken</v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0.24479999999999996</v>
      </c>
      <c r="K11" s="134">
        <f t="shared" si="7"/>
        <v>2817.7379999999998</v>
      </c>
      <c r="L11" s="134">
        <f t="shared" si="7"/>
        <v>2.0671999999999997</v>
      </c>
      <c r="M11" s="134">
        <f t="shared" si="7"/>
        <v>2.72</v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Lightning DMG</v>
      </c>
      <c r="L12" s="124" t="str">
        <f t="shared" si="9"/>
        <v>DMG Reduction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-2.4999999999999994E-2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2.0671999999999997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1.6319999999999999</v>
      </c>
      <c r="L13" s="134">
        <f t="shared" si="11"/>
        <v>0.32000000000000006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976.74701960784284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0.64149999999999996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1.6059999999999999</v>
      </c>
      <c r="E19" s="13">
        <f>Main!D64</f>
        <v>1.55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47943.534396820622</v>
      </c>
      <c r="K19" s="22">
        <f t="shared" si="13"/>
        <v>377849.07308762561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243.2%+320%*2</f>
        <v>8.8320000000000007</v>
      </c>
      <c r="K20" s="60">
        <f>243.2%+192%*45</f>
        <v>88.831999999999994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0.15</v>
      </c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0.55100000000000005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2054.3682097193127</v>
      </c>
      <c r="K29" s="34">
        <f t="shared" si="14"/>
        <v>2054.3682097193127</v>
      </c>
      <c r="L29" s="34">
        <f t="shared" si="14"/>
        <v>1782.7165276026165</v>
      </c>
      <c r="M29" s="34">
        <f t="shared" si="14"/>
        <v>1782.7165276026165</v>
      </c>
      <c r="N29" s="34">
        <f t="shared" si="14"/>
        <v>1782.7165276026165</v>
      </c>
      <c r="O29" s="34">
        <f t="shared" si="14"/>
        <v>1782.7165276026165</v>
      </c>
      <c r="P29" s="34">
        <f t="shared" si="14"/>
        <v>1782.7165276026165</v>
      </c>
      <c r="Q29" s="34">
        <f t="shared" si="14"/>
        <v>1782.7165276026165</v>
      </c>
      <c r="R29" s="34">
        <f t="shared" si="14"/>
        <v>1782.7165276026165</v>
      </c>
      <c r="S29" s="34">
        <f t="shared" si="14"/>
        <v>1782.7165276026165</v>
      </c>
      <c r="T29" s="34">
        <f t="shared" si="14"/>
        <v>1782.7165276026165</v>
      </c>
      <c r="U29" s="34">
        <f t="shared" si="14"/>
        <v>1782.7165276026165</v>
      </c>
      <c r="V29" s="34">
        <f t="shared" si="14"/>
        <v>1782.7165276026165</v>
      </c>
      <c r="W29" s="34">
        <f t="shared" si="14"/>
        <v>1782.7165276026165</v>
      </c>
      <c r="X29" s="34">
        <f t="shared" si="14"/>
        <v>1782.7165276026165</v>
      </c>
      <c r="Y29" s="34">
        <f t="shared" si="14"/>
        <v>1782.7165276026165</v>
      </c>
      <c r="Z29" s="34">
        <f t="shared" si="14"/>
        <v>1782.7165276026165</v>
      </c>
      <c r="AA29" s="34">
        <f t="shared" si="14"/>
        <v>1782.7165276026165</v>
      </c>
      <c r="AB29" s="34">
        <f t="shared" si="14"/>
        <v>1782.7165276026165</v>
      </c>
      <c r="AC29" s="34">
        <f t="shared" si="14"/>
        <v>1782.7165276026165</v>
      </c>
      <c r="AD29" s="34">
        <f t="shared" si="14"/>
        <v>1782.7165276026165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768.76338632654529</v>
      </c>
      <c r="K30" s="34">
        <f t="shared" si="15"/>
        <v>768.76338632654529</v>
      </c>
      <c r="L30" s="34">
        <f t="shared" si="15"/>
        <v>768.76338632654529</v>
      </c>
      <c r="M30" s="34">
        <f t="shared" si="15"/>
        <v>768.76338632654529</v>
      </c>
      <c r="N30" s="34">
        <f t="shared" si="15"/>
        <v>768.76338632654529</v>
      </c>
      <c r="O30" s="34">
        <f t="shared" si="15"/>
        <v>768.76338632654529</v>
      </c>
      <c r="P30" s="34">
        <f t="shared" si="15"/>
        <v>768.76338632654529</v>
      </c>
      <c r="Q30" s="34">
        <f t="shared" si="15"/>
        <v>768.76338632654529</v>
      </c>
      <c r="R30" s="34">
        <f t="shared" si="15"/>
        <v>768.76338632654529</v>
      </c>
      <c r="S30" s="34">
        <f t="shared" si="15"/>
        <v>768.76338632654529</v>
      </c>
      <c r="T30" s="34">
        <f t="shared" si="15"/>
        <v>768.76338632654529</v>
      </c>
      <c r="U30" s="34">
        <f t="shared" si="15"/>
        <v>768.76338632654529</v>
      </c>
      <c r="V30" s="34">
        <f t="shared" si="15"/>
        <v>768.76338632654529</v>
      </c>
      <c r="W30" s="34">
        <f t="shared" si="15"/>
        <v>768.76338632654529</v>
      </c>
      <c r="X30" s="34">
        <f t="shared" si="15"/>
        <v>768.76338632654529</v>
      </c>
      <c r="Y30" s="34">
        <f t="shared" si="15"/>
        <v>768.76338632654529</v>
      </c>
      <c r="Z30" s="34">
        <f t="shared" si="15"/>
        <v>768.76338632654529</v>
      </c>
      <c r="AA30" s="34">
        <f t="shared" si="15"/>
        <v>768.76338632654529</v>
      </c>
      <c r="AB30" s="34">
        <f t="shared" si="15"/>
        <v>768.76338632654529</v>
      </c>
      <c r="AC30" s="34">
        <f t="shared" si="15"/>
        <v>768.76338632654529</v>
      </c>
      <c r="AD30" s="34">
        <f t="shared" si="15"/>
        <v>768.76338632654529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19642.234737237712</v>
      </c>
      <c r="K31" s="34">
        <f t="shared" si="16"/>
        <v>19642.234737237712</v>
      </c>
      <c r="L31" s="34">
        <f t="shared" si="16"/>
        <v>19642.234737237712</v>
      </c>
      <c r="M31" s="34">
        <f t="shared" si="16"/>
        <v>19642.234737237712</v>
      </c>
      <c r="N31" s="34">
        <f t="shared" si="16"/>
        <v>19642.234737237712</v>
      </c>
      <c r="O31" s="34">
        <f t="shared" si="16"/>
        <v>19642.234737237712</v>
      </c>
      <c r="P31" s="34">
        <f t="shared" si="16"/>
        <v>19642.234737237712</v>
      </c>
      <c r="Q31" s="34">
        <f t="shared" si="16"/>
        <v>19642.234737237712</v>
      </c>
      <c r="R31" s="34">
        <f t="shared" si="16"/>
        <v>19642.234737237712</v>
      </c>
      <c r="S31" s="34">
        <f t="shared" si="16"/>
        <v>19642.234737237712</v>
      </c>
      <c r="T31" s="34">
        <f t="shared" si="16"/>
        <v>19642.234737237712</v>
      </c>
      <c r="U31" s="34">
        <f t="shared" si="16"/>
        <v>19642.234737237712</v>
      </c>
      <c r="V31" s="34">
        <f t="shared" si="16"/>
        <v>19642.234737237712</v>
      </c>
      <c r="W31" s="34">
        <f t="shared" si="16"/>
        <v>19642.234737237712</v>
      </c>
      <c r="X31" s="34">
        <f t="shared" si="16"/>
        <v>19642.234737237712</v>
      </c>
      <c r="Y31" s="34">
        <f t="shared" si="16"/>
        <v>19642.234737237712</v>
      </c>
      <c r="Z31" s="34">
        <f t="shared" si="16"/>
        <v>19642.234737237712</v>
      </c>
      <c r="AA31" s="34">
        <f t="shared" si="16"/>
        <v>19642.234737237712</v>
      </c>
      <c r="AB31" s="34">
        <f t="shared" si="16"/>
        <v>19642.234737237712</v>
      </c>
      <c r="AC31" s="34">
        <f t="shared" si="16"/>
        <v>19642.234737237712</v>
      </c>
      <c r="AD31" s="34">
        <f t="shared" si="16"/>
        <v>19642.234737237712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1.706</v>
      </c>
      <c r="K32" s="33">
        <f t="shared" si="17"/>
        <v>2.3475000000000001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0.625</v>
      </c>
      <c r="L33" s="33">
        <f t="shared" si="18"/>
        <v>0.625</v>
      </c>
      <c r="M33" s="33">
        <f t="shared" si="18"/>
        <v>0.625</v>
      </c>
      <c r="N33" s="33">
        <f t="shared" si="18"/>
        <v>0.625</v>
      </c>
      <c r="O33" s="33">
        <f t="shared" si="18"/>
        <v>0.625</v>
      </c>
      <c r="P33" s="33">
        <f t="shared" si="18"/>
        <v>0.625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1.226</v>
      </c>
      <c r="K34" s="33">
        <f t="shared" si="19"/>
        <v>1.226</v>
      </c>
      <c r="L34" s="33">
        <f t="shared" si="19"/>
        <v>1.226</v>
      </c>
      <c r="M34" s="33">
        <f t="shared" si="19"/>
        <v>1.226</v>
      </c>
      <c r="N34" s="33">
        <f t="shared" si="19"/>
        <v>1.226</v>
      </c>
      <c r="O34" s="33">
        <f t="shared" si="19"/>
        <v>1.226</v>
      </c>
      <c r="P34" s="33">
        <f t="shared" si="19"/>
        <v>1.226</v>
      </c>
      <c r="Q34" s="33">
        <f t="shared" si="19"/>
        <v>1.226</v>
      </c>
      <c r="R34" s="33">
        <f t="shared" si="19"/>
        <v>1.226</v>
      </c>
      <c r="S34" s="33">
        <f t="shared" si="19"/>
        <v>1.226</v>
      </c>
      <c r="T34" s="33">
        <f t="shared" si="19"/>
        <v>1.226</v>
      </c>
      <c r="U34" s="33">
        <f t="shared" si="19"/>
        <v>1.226</v>
      </c>
      <c r="V34" s="33">
        <f t="shared" si="19"/>
        <v>1.226</v>
      </c>
      <c r="W34" s="33">
        <f t="shared" si="19"/>
        <v>1.226</v>
      </c>
      <c r="X34" s="33">
        <f t="shared" si="19"/>
        <v>1.226</v>
      </c>
      <c r="Y34" s="33">
        <f t="shared" si="19"/>
        <v>1.226</v>
      </c>
      <c r="Z34" s="33">
        <f t="shared" si="19"/>
        <v>1.226</v>
      </c>
      <c r="AA34" s="33">
        <f t="shared" si="19"/>
        <v>1.226</v>
      </c>
      <c r="AB34" s="33">
        <f t="shared" si="19"/>
        <v>1.226</v>
      </c>
      <c r="AC34" s="33">
        <f t="shared" si="19"/>
        <v>1.226</v>
      </c>
      <c r="AD34" s="33">
        <f t="shared" si="19"/>
        <v>1.226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-2.4999999999999994E-2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</f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1</v>
      </c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23971.767198410311</v>
      </c>
      <c r="K50" s="22">
        <f>K19*1971.2%/K20</f>
        <v>83845.471549703681</v>
      </c>
      <c r="L50" s="22">
        <f t="shared" ref="L50:AD50" si="23">IF(L49&gt;1,L19/L49,L19)</f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71915.301595230936</v>
      </c>
      <c r="K52" s="22">
        <f t="shared" ref="K52:AD52" si="25">IF(K51=0,K19,K50*3)</f>
        <v>377849.07308762561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2.3007903573274926</v>
      </c>
      <c r="W68" s="80">
        <f>($D$4+$C$4*W69+W70+1000)/($D$4+$C$4*W69+W70)</f>
        <v>2.3007903573274926</v>
      </c>
      <c r="X68" s="80">
        <f>($D$4+$C$4*X69+X70+1000)/($D$4+$C$4*X69+X70)</f>
        <v>2.3007903573274926</v>
      </c>
      <c r="Y68" s="80">
        <f>($D$4+$C$4*Y69+Y70+1000)/($D$4+$C$4*Y69+Y70)</f>
        <v>2.3007903573274926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2.3007903573274926</v>
      </c>
      <c r="Q69" s="80">
        <f>($D$4+$C$4*Q70+Q71+1000)/($D$4+$C$4*Q70+Q71)</f>
        <v>2.3007903573274926</v>
      </c>
      <c r="R69" s="80">
        <f>($D$4+$C$4*R70+R71+1000)/($D$4+$C$4*R70+R71)</f>
        <v>2.3007903573274926</v>
      </c>
      <c r="S69" s="80">
        <f>($D$4+$C$4*S70+S71+1000)/($D$4+$C$4*S70+S71)</f>
        <v>2.3007903573274926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0.40149999999999997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9</v>
      </c>
      <c r="E94" s="70">
        <f t="shared" si="33"/>
        <v>11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4.9999999999999982</v>
      </c>
      <c r="E96" s="70">
        <f t="shared" si="33"/>
        <v>6.9999999999999982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425792.60748444626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19354.209431111194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108793.98576772182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450741.12170246441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0A9B7342-2DBC-4B49-8432-29CE5CB94CD5}">
      <formula1>"amp,trans,nil"</formula1>
    </dataValidation>
    <dataValidation type="list" allowBlank="1" showInputMessage="1" showErrorMessage="1" sqref="C1" xr:uid="{E6A4A69F-28EA-4C9B-BE44-3EA2FA201039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5726-C759-429D-8559-FFBC8C6E64E8}">
  <sheetPr>
    <tabColor theme="2" tint="-9.9978637043366805E-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1377.8983748769749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453</v>
      </c>
      <c r="AB3" s="23" t="s">
        <v>512</v>
      </c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3430.5261176470585</v>
      </c>
      <c r="AB4" s="22">
        <f>AB9*AB6*(AB10+AB11)*(1-AB12)*IF(ISBLANK(AB15),1,AB15)</f>
        <v>9767.4701960784296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0.49299999999999999</v>
      </c>
      <c r="E6" s="7">
        <v>0</v>
      </c>
      <c r="F6" s="1"/>
      <c r="J6"/>
      <c r="Z6" s="67" t="s">
        <v>83</v>
      </c>
      <c r="AA6" s="24">
        <v>2</v>
      </c>
      <c r="AB6" s="24">
        <v>5</v>
      </c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1.1600000000000001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>
        <v>0.15</v>
      </c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-2.4999999999999994E-2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1715.2630588235293</v>
      </c>
      <c r="AB16" s="51">
        <f t="shared" ref="AB16:AD16" si="12">IF(AB15&gt;1,AB4/AB15,AB4)</f>
        <v>4883.7350980392148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457</v>
      </c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1.7869999999999999</v>
      </c>
      <c r="E19" s="13">
        <f>Main!E64</f>
        <v>1.78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4936.4078993819803</v>
      </c>
      <c r="K19" s="22">
        <f t="shared" si="13"/>
        <v>23746.957838186201</v>
      </c>
      <c r="L19" s="22">
        <f t="shared" si="13"/>
        <v>0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160%+105.28%*6</f>
        <v>7.9168000000000003</v>
      </c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1377.8983748769749</v>
      </c>
      <c r="K29" s="34">
        <f t="shared" si="14"/>
        <v>1511.1755845385201</v>
      </c>
      <c r="L29" s="34">
        <f t="shared" si="14"/>
        <v>1377.8983748769749</v>
      </c>
      <c r="M29" s="34">
        <f t="shared" si="14"/>
        <v>1377.8983748769749</v>
      </c>
      <c r="N29" s="34">
        <f t="shared" si="14"/>
        <v>1377.8983748769749</v>
      </c>
      <c r="O29" s="34">
        <f t="shared" si="14"/>
        <v>1377.8983748769749</v>
      </c>
      <c r="P29" s="34">
        <f t="shared" si="14"/>
        <v>1377.8983748769749</v>
      </c>
      <c r="Q29" s="34">
        <f t="shared" si="14"/>
        <v>1377.8983748769749</v>
      </c>
      <c r="R29" s="34">
        <f t="shared" si="14"/>
        <v>1377.8983748769749</v>
      </c>
      <c r="S29" s="34">
        <f t="shared" si="14"/>
        <v>1377.8983748769749</v>
      </c>
      <c r="T29" s="34">
        <f t="shared" si="14"/>
        <v>1377.8983748769749</v>
      </c>
      <c r="U29" s="34">
        <f t="shared" si="14"/>
        <v>1377.8983748769749</v>
      </c>
      <c r="V29" s="34">
        <f t="shared" si="14"/>
        <v>1377.8983748769749</v>
      </c>
      <c r="W29" s="34">
        <f t="shared" si="14"/>
        <v>1377.8983748769749</v>
      </c>
      <c r="X29" s="34">
        <f t="shared" si="14"/>
        <v>1377.8983748769749</v>
      </c>
      <c r="Y29" s="34">
        <f t="shared" si="14"/>
        <v>1377.8983748769749</v>
      </c>
      <c r="Z29" s="34">
        <f t="shared" si="14"/>
        <v>1377.8983748769749</v>
      </c>
      <c r="AA29" s="34">
        <f t="shared" si="14"/>
        <v>1377.8983748769749</v>
      </c>
      <c r="AB29" s="34">
        <f t="shared" si="14"/>
        <v>1377.8983748769749</v>
      </c>
      <c r="AC29" s="34">
        <f t="shared" si="14"/>
        <v>1377.8983748769749</v>
      </c>
      <c r="AD29" s="34">
        <f t="shared" si="14"/>
        <v>1377.8983748769749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1.44</v>
      </c>
      <c r="L32" s="33" t="e">
        <f t="shared" si="17"/>
        <v>#N/A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0.49299999999999999</v>
      </c>
      <c r="K33" s="33">
        <f t="shared" ref="K33:AD33" si="18">IF($D$6+K44&lt;0,0,IF($D$6+K44&gt;1,1,$D$6+K44))</f>
        <v>0.49299999999999999</v>
      </c>
      <c r="L33" s="33">
        <f t="shared" si="18"/>
        <v>0.49299999999999999</v>
      </c>
      <c r="M33" s="33">
        <f t="shared" si="18"/>
        <v>0.49299999999999999</v>
      </c>
      <c r="N33" s="33">
        <f t="shared" si="18"/>
        <v>0.49299999999999999</v>
      </c>
      <c r="O33" s="33">
        <f t="shared" si="18"/>
        <v>0.49299999999999999</v>
      </c>
      <c r="P33" s="33">
        <f t="shared" si="18"/>
        <v>0.49299999999999999</v>
      </c>
      <c r="Q33" s="33">
        <f t="shared" si="18"/>
        <v>0.49299999999999999</v>
      </c>
      <c r="R33" s="33">
        <f t="shared" si="18"/>
        <v>0.49299999999999999</v>
      </c>
      <c r="S33" s="33">
        <f t="shared" si="18"/>
        <v>0.49299999999999999</v>
      </c>
      <c r="T33" s="33">
        <f t="shared" si="18"/>
        <v>0.49299999999999999</v>
      </c>
      <c r="U33" s="33">
        <f t="shared" si="18"/>
        <v>0.49299999999999999</v>
      </c>
      <c r="V33" s="33">
        <f t="shared" si="18"/>
        <v>0.49299999999999999</v>
      </c>
      <c r="W33" s="33">
        <f t="shared" si="18"/>
        <v>0.49299999999999999</v>
      </c>
      <c r="X33" s="33">
        <f t="shared" si="18"/>
        <v>0.49299999999999999</v>
      </c>
      <c r="Y33" s="33">
        <f t="shared" si="18"/>
        <v>0.49299999999999999</v>
      </c>
      <c r="Z33" s="33">
        <f t="shared" si="18"/>
        <v>0.49299999999999999</v>
      </c>
      <c r="AA33" s="33">
        <f t="shared" si="18"/>
        <v>0.49299999999999999</v>
      </c>
      <c r="AB33" s="33">
        <f t="shared" si="18"/>
        <v>0.49299999999999999</v>
      </c>
      <c r="AC33" s="33">
        <f t="shared" si="18"/>
        <v>0.49299999999999999</v>
      </c>
      <c r="AD33" s="33">
        <f t="shared" si="18"/>
        <v>0.49299999999999999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1.1600000000000001</v>
      </c>
      <c r="K34" s="33">
        <f t="shared" si="19"/>
        <v>1.1600000000000001</v>
      </c>
      <c r="L34" s="33">
        <f t="shared" si="19"/>
        <v>1.1600000000000001</v>
      </c>
      <c r="M34" s="33">
        <f t="shared" si="19"/>
        <v>1.1600000000000001</v>
      </c>
      <c r="N34" s="33">
        <f t="shared" si="19"/>
        <v>1.1600000000000001</v>
      </c>
      <c r="O34" s="33">
        <f t="shared" si="19"/>
        <v>1.1600000000000001</v>
      </c>
      <c r="P34" s="33">
        <f t="shared" si="19"/>
        <v>1.1600000000000001</v>
      </c>
      <c r="Q34" s="33">
        <f t="shared" si="19"/>
        <v>1.1600000000000001</v>
      </c>
      <c r="R34" s="33">
        <f t="shared" si="19"/>
        <v>1.1600000000000001</v>
      </c>
      <c r="S34" s="33">
        <f t="shared" si="19"/>
        <v>1.1600000000000001</v>
      </c>
      <c r="T34" s="33">
        <f t="shared" si="19"/>
        <v>1.1600000000000001</v>
      </c>
      <c r="U34" s="33">
        <f t="shared" si="19"/>
        <v>1.1600000000000001</v>
      </c>
      <c r="V34" s="33">
        <f t="shared" si="19"/>
        <v>1.1600000000000001</v>
      </c>
      <c r="W34" s="33">
        <f t="shared" si="19"/>
        <v>1.1600000000000001</v>
      </c>
      <c r="X34" s="33">
        <f t="shared" si="19"/>
        <v>1.1600000000000001</v>
      </c>
      <c r="Y34" s="33">
        <f t="shared" si="19"/>
        <v>1.1600000000000001</v>
      </c>
      <c r="Z34" s="33">
        <f t="shared" si="19"/>
        <v>1.1600000000000001</v>
      </c>
      <c r="AA34" s="33">
        <f t="shared" si="19"/>
        <v>1.1600000000000001</v>
      </c>
      <c r="AB34" s="33">
        <f t="shared" si="19"/>
        <v>1.1600000000000001</v>
      </c>
      <c r="AC34" s="33">
        <f t="shared" si="19"/>
        <v>1.1600000000000001</v>
      </c>
      <c r="AD34" s="33">
        <f t="shared" si="19"/>
        <v>1.1600000000000001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>
        <v>2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4936.4078993819803</v>
      </c>
      <c r="K50" s="22">
        <f t="shared" ref="K50:AD50" si="23">IF(K49&gt;1,K19/K49,K19)</f>
        <v>11873.478919093101</v>
      </c>
      <c r="L50" s="22">
        <f t="shared" si="23"/>
        <v>0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4936.4078993819803</v>
      </c>
      <c r="K52" s="22">
        <f t="shared" ref="K52:AD52" si="25">IF(K51=0,K19,K50*3)</f>
        <v>35620.436757279298</v>
      </c>
      <c r="L52" s="22">
        <f t="shared" si="25"/>
        <v>0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9</v>
      </c>
      <c r="E90" s="70">
        <f t="shared" si="33"/>
        <v>11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2</v>
      </c>
      <c r="E93" s="70">
        <f t="shared" si="33"/>
        <v>4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0.99999999999999944</v>
      </c>
      <c r="E96" s="70">
        <f t="shared" si="33"/>
        <v>2.9999999999999996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28683.36573756818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Main!I58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1303.7893517076445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23408.884975337827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53754.840970386766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8F9D32F5-DDCC-484F-BE5D-160A9B9D52D8}">
      <formula1>$B$115:$B$155</formula1>
    </dataValidation>
    <dataValidation type="list" allowBlank="1" showInputMessage="1" showErrorMessage="1" sqref="D83:D84" xr:uid="{E9A77187-3445-45EA-A8CB-AFAD598C050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6A7E9-3879-4501-BDF6-B0834850E909}">
  <sheetPr codeName="Sheet14">
    <tabColor theme="5" tint="0.79998168889431442"/>
  </sheetPr>
  <dimension ref="A1:CG345"/>
  <sheetViews>
    <sheetView topLeftCell="A76"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1723.5534876189533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2.0339999999999998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1.29</v>
      </c>
      <c r="E19" s="13">
        <f>Main!B83</f>
        <v>1.25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16305.292245126568</v>
      </c>
      <c r="K19" s="22">
        <f t="shared" si="13"/>
        <v>33717.007031292887</v>
      </c>
      <c r="L19" s="22">
        <f t="shared" si="13"/>
        <v>58440.862608167881</v>
      </c>
      <c r="M19" s="22">
        <f t="shared" si="13"/>
        <v>60292.302172372933</v>
      </c>
      <c r="N19" s="22">
        <f t="shared" si="13"/>
        <v>67051.473740369547</v>
      </c>
      <c r="O19" s="22">
        <f t="shared" si="13"/>
        <v>67966.107863183788</v>
      </c>
      <c r="P19" s="22">
        <f t="shared" si="13"/>
        <v>490298.86252456129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1894.1665430173387</v>
      </c>
      <c r="K29" s="34">
        <f t="shared" si="14"/>
        <v>1970.9424179466121</v>
      </c>
      <c r="L29" s="34">
        <f t="shared" si="14"/>
        <v>1970.9424179466121</v>
      </c>
      <c r="M29" s="34">
        <f t="shared" si="14"/>
        <v>1970.9424179466121</v>
      </c>
      <c r="N29" s="34">
        <f t="shared" si="14"/>
        <v>2047.7182928758855</v>
      </c>
      <c r="O29" s="34">
        <f t="shared" si="14"/>
        <v>2047.7182928758855</v>
      </c>
      <c r="P29" s="34">
        <f t="shared" si="14"/>
        <v>2047.7182928758855</v>
      </c>
      <c r="Q29" s="34">
        <f t="shared" si="14"/>
        <v>1723.5534876189533</v>
      </c>
      <c r="R29" s="34">
        <f t="shared" si="14"/>
        <v>1723.5534876189533</v>
      </c>
      <c r="S29" s="34">
        <f t="shared" si="14"/>
        <v>1723.5534876189533</v>
      </c>
      <c r="T29" s="34">
        <f t="shared" si="14"/>
        <v>1723.5534876189533</v>
      </c>
      <c r="U29" s="34">
        <f t="shared" si="14"/>
        <v>1723.5534876189533</v>
      </c>
      <c r="V29" s="34">
        <f t="shared" si="14"/>
        <v>1723.5534876189533</v>
      </c>
      <c r="W29" s="34">
        <f t="shared" si="14"/>
        <v>1723.5534876189533</v>
      </c>
      <c r="X29" s="34">
        <f t="shared" si="14"/>
        <v>1723.5534876189533</v>
      </c>
      <c r="Y29" s="34">
        <f t="shared" si="14"/>
        <v>1723.5534876189533</v>
      </c>
      <c r="Z29" s="34">
        <f t="shared" si="14"/>
        <v>1723.5534876189533</v>
      </c>
      <c r="AA29" s="34">
        <f t="shared" si="14"/>
        <v>1723.5534876189533</v>
      </c>
      <c r="AB29" s="34">
        <f t="shared" si="14"/>
        <v>1723.5534876189533</v>
      </c>
      <c r="AC29" s="34">
        <f t="shared" si="14"/>
        <v>1723.5534876189533</v>
      </c>
      <c r="AD29" s="34">
        <f t="shared" si="14"/>
        <v>1723.5534876189533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1</v>
      </c>
      <c r="K33" s="33">
        <f t="shared" ref="K33:AD33" si="18">IF($D$6+K44&lt;0,0,IF($D$6+K44&gt;1,1,$D$6+K44))</f>
        <v>1</v>
      </c>
      <c r="L33" s="33">
        <f t="shared" si="18"/>
        <v>1</v>
      </c>
      <c r="M33" s="33">
        <f t="shared" si="18"/>
        <v>1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2.0339999999999998</v>
      </c>
      <c r="K34" s="33">
        <f t="shared" si="19"/>
        <v>2.0339999999999998</v>
      </c>
      <c r="L34" s="33">
        <f t="shared" si="19"/>
        <v>2.0339999999999998</v>
      </c>
      <c r="M34" s="33">
        <f t="shared" si="19"/>
        <v>2.0339999999999998</v>
      </c>
      <c r="N34" s="33">
        <f t="shared" si="19"/>
        <v>2.0339999999999998</v>
      </c>
      <c r="O34" s="33">
        <f t="shared" si="19"/>
        <v>2.0339999999999998</v>
      </c>
      <c r="P34" s="33">
        <f t="shared" si="19"/>
        <v>2.0339999999999998</v>
      </c>
      <c r="Q34" s="33">
        <f t="shared" si="19"/>
        <v>2.0339999999999998</v>
      </c>
      <c r="R34" s="33">
        <f t="shared" si="19"/>
        <v>2.0339999999999998</v>
      </c>
      <c r="S34" s="33">
        <f t="shared" si="19"/>
        <v>2.0339999999999998</v>
      </c>
      <c r="T34" s="33">
        <f t="shared" si="19"/>
        <v>2.0339999999999998</v>
      </c>
      <c r="U34" s="33">
        <f t="shared" si="19"/>
        <v>2.0339999999999998</v>
      </c>
      <c r="V34" s="33">
        <f t="shared" si="19"/>
        <v>2.0339999999999998</v>
      </c>
      <c r="W34" s="33">
        <f t="shared" si="19"/>
        <v>2.0339999999999998</v>
      </c>
      <c r="X34" s="33">
        <f t="shared" si="19"/>
        <v>2.0339999999999998</v>
      </c>
      <c r="Y34" s="33">
        <f t="shared" si="19"/>
        <v>2.0339999999999998</v>
      </c>
      <c r="Z34" s="33">
        <f t="shared" si="19"/>
        <v>2.0339999999999998</v>
      </c>
      <c r="AA34" s="33">
        <f t="shared" si="19"/>
        <v>2.0339999999999998</v>
      </c>
      <c r="AB34" s="33">
        <f t="shared" si="19"/>
        <v>2.0339999999999998</v>
      </c>
      <c r="AC34" s="33">
        <f t="shared" si="19"/>
        <v>2.0339999999999998</v>
      </c>
      <c r="AD34" s="33">
        <f t="shared" si="19"/>
        <v>2.0339999999999998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15%+15%*'5-Rosaria'!$D$6</f>
        <v>0.27915000000000001</v>
      </c>
      <c r="K44" s="30">
        <f>15%+15%*'5-Rosaria'!$D$6</f>
        <v>0.27915000000000001</v>
      </c>
      <c r="L44" s="30">
        <f>15%+15%*'5-Rosaria'!$D$6</f>
        <v>0.27915000000000001</v>
      </c>
      <c r="M44" s="30">
        <f>15%+15%*'5-Rosaria'!$D$6</f>
        <v>0.27915000000000001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8152.6461225632838</v>
      </c>
      <c r="K50" s="22">
        <f t="shared" ref="K50:AD50" si="23">IF(K49&gt;1,K19/K49,K19)</f>
        <v>16858.503515646444</v>
      </c>
      <c r="L50" s="22">
        <f t="shared" si="23"/>
        <v>58440.862608167881</v>
      </c>
      <c r="M50" s="22">
        <f t="shared" si="23"/>
        <v>30146.151086186466</v>
      </c>
      <c r="N50" s="22">
        <f t="shared" si="23"/>
        <v>33525.736870184774</v>
      </c>
      <c r="O50" s="22">
        <f t="shared" si="23"/>
        <v>67966.107863183788</v>
      </c>
      <c r="P50" s="22">
        <f t="shared" si="23"/>
        <v>245149.43126228065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16305.292245126568</v>
      </c>
      <c r="K52" s="22">
        <f t="shared" ref="K52:AD52" si="25">IF(K51=0,K19,K50*3)</f>
        <v>50575.510546939331</v>
      </c>
      <c r="L52" s="22">
        <f t="shared" si="25"/>
        <v>58440.862608167881</v>
      </c>
      <c r="M52" s="22">
        <f t="shared" si="25"/>
        <v>90438.453258559399</v>
      </c>
      <c r="N52" s="22">
        <f t="shared" si="25"/>
        <v>100577.21061055432</v>
      </c>
      <c r="O52" s="22">
        <f t="shared" si="25"/>
        <v>67966.107863183788</v>
      </c>
      <c r="P52" s="22">
        <f t="shared" si="25"/>
        <v>735448.29378684191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1</v>
      </c>
      <c r="E90" s="70">
        <f t="shared" si="33"/>
        <v>3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2.9999999999999982</v>
      </c>
      <c r="E96" s="70">
        <f t="shared" si="33"/>
        <v>4.9999999999999982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794071.90818507492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31386.241430240116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460239.43932821322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1119751.7309193732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8428CF6-622D-45E3-939D-7394CDF347FF}">
      <formula1>"amp,trans,nil"</formula1>
    </dataValidation>
    <dataValidation type="list" allowBlank="1" showInputMessage="1" showErrorMessage="1" sqref="C1" xr:uid="{95051A2E-B68C-40A4-B7A4-47686F3C5C98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4E19-9CD8-42EE-93EF-7B4EF6B854F1}">
  <sheetPr codeName="Sheet15">
    <tabColor theme="5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Main!C83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</f>
        <v>25.3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12235.483969466704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ADBC772-1CA5-41B8-9EF5-E456DB414F71}">
      <formula1>"amp,trans,nil"</formula1>
    </dataValidation>
    <dataValidation type="list" allowBlank="1" showInputMessage="1" showErrorMessage="1" sqref="C1" xr:uid="{DAE76F32-F586-4D4B-AD36-1EEE2282338A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72FD-F39A-400A-B3E2-98657D8E6E13}">
  <sheetPr>
    <tabColor theme="5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1986.9950517448888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2001.1402352941175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0.86099999999999999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0.2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0.61599999999999999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-0.05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1000.5701176470587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Main!D83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11563.106550737753</v>
      </c>
      <c r="K19" s="22">
        <f t="shared" si="13"/>
        <v>146035.65543175649</v>
      </c>
      <c r="L19" s="22">
        <f t="shared" si="13"/>
        <v>25019.500210069487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1986.9950517448888</v>
      </c>
      <c r="K29" s="34">
        <f t="shared" si="14"/>
        <v>1986.9950517448888</v>
      </c>
      <c r="L29" s="34">
        <f t="shared" si="14"/>
        <v>1986.9950517448888</v>
      </c>
      <c r="M29" s="34">
        <f t="shared" si="14"/>
        <v>1986.9950517448888</v>
      </c>
      <c r="N29" s="34">
        <f t="shared" si="14"/>
        <v>1986.9950517448888</v>
      </c>
      <c r="O29" s="34">
        <f t="shared" si="14"/>
        <v>1986.9950517448888</v>
      </c>
      <c r="P29" s="34">
        <f t="shared" si="14"/>
        <v>1986.9950517448888</v>
      </c>
      <c r="Q29" s="34">
        <f t="shared" si="14"/>
        <v>1986.9950517448888</v>
      </c>
      <c r="R29" s="34">
        <f t="shared" si="14"/>
        <v>1986.9950517448888</v>
      </c>
      <c r="S29" s="34">
        <f t="shared" si="14"/>
        <v>1986.9950517448888</v>
      </c>
      <c r="T29" s="34">
        <f t="shared" si="14"/>
        <v>1986.9950517448888</v>
      </c>
      <c r="U29" s="34">
        <f t="shared" si="14"/>
        <v>1986.9950517448888</v>
      </c>
      <c r="V29" s="34">
        <f t="shared" si="14"/>
        <v>1986.9950517448888</v>
      </c>
      <c r="W29" s="34">
        <f t="shared" si="14"/>
        <v>1986.9950517448888</v>
      </c>
      <c r="X29" s="34">
        <f t="shared" si="14"/>
        <v>1986.9950517448888</v>
      </c>
      <c r="Y29" s="34">
        <f t="shared" si="14"/>
        <v>1986.9950517448888</v>
      </c>
      <c r="Z29" s="34">
        <f t="shared" si="14"/>
        <v>1986.9950517448888</v>
      </c>
      <c r="AA29" s="34">
        <f t="shared" si="14"/>
        <v>1986.9950517448888</v>
      </c>
      <c r="AB29" s="34">
        <f t="shared" si="14"/>
        <v>1986.9950517448888</v>
      </c>
      <c r="AC29" s="34">
        <f t="shared" si="14"/>
        <v>1986.9950517448888</v>
      </c>
      <c r="AD29" s="34">
        <f t="shared" si="14"/>
        <v>1986.9950517448888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1.6160000000000001</v>
      </c>
      <c r="K32" s="33">
        <f t="shared" si="17"/>
        <v>1.996</v>
      </c>
      <c r="L32" s="33">
        <f t="shared" si="17"/>
        <v>1.996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0.86099999999999999</v>
      </c>
      <c r="K33" s="33">
        <f t="shared" ref="K33:AD33" si="18">IF($D$6+K44&lt;0,0,IF($D$6+K44&gt;1,1,$D$6+K44))</f>
        <v>1</v>
      </c>
      <c r="L33" s="33">
        <f t="shared" si="18"/>
        <v>1</v>
      </c>
      <c r="M33" s="33">
        <f t="shared" si="18"/>
        <v>0.86099999999999999</v>
      </c>
      <c r="N33" s="33">
        <f t="shared" si="18"/>
        <v>0.86099999999999999</v>
      </c>
      <c r="O33" s="33">
        <f t="shared" si="18"/>
        <v>0.86099999999999999</v>
      </c>
      <c r="P33" s="33">
        <f t="shared" si="18"/>
        <v>0.86099999999999999</v>
      </c>
      <c r="Q33" s="33">
        <f t="shared" si="18"/>
        <v>0.86099999999999999</v>
      </c>
      <c r="R33" s="33">
        <f t="shared" si="18"/>
        <v>0.86099999999999999</v>
      </c>
      <c r="S33" s="33">
        <f t="shared" si="18"/>
        <v>0.86099999999999999</v>
      </c>
      <c r="T33" s="33">
        <f t="shared" si="18"/>
        <v>0.86099999999999999</v>
      </c>
      <c r="U33" s="33">
        <f t="shared" si="18"/>
        <v>0.86099999999999999</v>
      </c>
      <c r="V33" s="33">
        <f t="shared" si="18"/>
        <v>0.86099999999999999</v>
      </c>
      <c r="W33" s="33">
        <f t="shared" si="18"/>
        <v>0.86099999999999999</v>
      </c>
      <c r="X33" s="33">
        <f t="shared" si="18"/>
        <v>0.86099999999999999</v>
      </c>
      <c r="Y33" s="33">
        <f t="shared" si="18"/>
        <v>0.86099999999999999</v>
      </c>
      <c r="Z33" s="33">
        <f t="shared" si="18"/>
        <v>0.86099999999999999</v>
      </c>
      <c r="AA33" s="33">
        <f t="shared" si="18"/>
        <v>0.86099999999999999</v>
      </c>
      <c r="AB33" s="33">
        <f t="shared" si="18"/>
        <v>0.86099999999999999</v>
      </c>
      <c r="AC33" s="33">
        <f t="shared" si="18"/>
        <v>0.86099999999999999</v>
      </c>
      <c r="AD33" s="33">
        <f t="shared" si="18"/>
        <v>0.86099999999999999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11563.106550737753</v>
      </c>
      <c r="K50" s="22">
        <f t="shared" ref="K50:AD50" si="23">IF(K49&gt;1,K19/K49,K19)</f>
        <v>73017.827715878244</v>
      </c>
      <c r="L50" s="22">
        <f t="shared" si="23"/>
        <v>12509.750105034744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11563.106550737753</v>
      </c>
      <c r="K52" s="22">
        <f t="shared" ref="K52:AD52" si="25">IF(K51=0,K19,K50*3)</f>
        <v>219053.48314763472</v>
      </c>
      <c r="L52" s="22">
        <f t="shared" si="25"/>
        <v>37529.250315104233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>
        <v>0.15</v>
      </c>
      <c r="D69" s="7"/>
      <c r="E69" s="24" t="s">
        <v>502</v>
      </c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8</v>
      </c>
      <c r="E90" s="70">
        <f t="shared" si="33"/>
        <v>10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2</v>
      </c>
      <c r="E93" s="70">
        <f t="shared" si="33"/>
        <v>4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182618.26219256374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Main!I20</f>
        <v>22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8300.8300996619873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98091.254489297804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270146.98024877079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D495C1BA-0EC8-4ECB-B4F2-ABEA4E35F9D8}">
      <formula1>$B$115:$B$155</formula1>
    </dataValidation>
    <dataValidation type="list" allowBlank="1" showInputMessage="1" showErrorMessage="1" sqref="D83:D84" xr:uid="{79A07556-2FA6-4C23-AF30-5A73FCF4157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2202-33C7-4795-9D40-0FEDC0A0A12F}">
  <sheetPr>
    <tabColor theme="5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28" width="13.85546875" customWidth="1"/>
    <col min="29" max="29" width="15.5703125" customWidth="1"/>
    <col min="30" max="30" width="12.28515625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212.3860483077257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1377.8983748769749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600.59168040014401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715.06504876976192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9569.4903101132622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24733.204310150148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 t="s">
        <v>453</v>
      </c>
      <c r="AC5" s="24" t="s">
        <v>453</v>
      </c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0.45999999999999996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</v>
      </c>
      <c r="O8" s="124" t="str">
        <f t="shared" si="2"/>
        <v>Aimed Shot</v>
      </c>
      <c r="P8" s="124" t="str">
        <f t="shared" si="2"/>
        <v>Fully-Charged Aimed Shot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143">
        <v>0.1</v>
      </c>
      <c r="AC8" s="143">
        <v>0.1</v>
      </c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0.66352440000000001</v>
      </c>
      <c r="K9" s="134">
        <f t="shared" si="3"/>
        <v>0.61612979999999995</v>
      </c>
      <c r="L9" s="134">
        <f t="shared" si="3"/>
        <v>0.83730459999999995</v>
      </c>
      <c r="M9" s="134">
        <f t="shared" si="3"/>
        <v>0.78991</v>
      </c>
      <c r="N9" s="134">
        <f t="shared" si="3"/>
        <v>0.98738749999999997</v>
      </c>
      <c r="O9" s="134">
        <f t="shared" si="3"/>
        <v>0.74561999999999995</v>
      </c>
      <c r="P9" s="134">
        <f t="shared" si="3"/>
        <v>2.1080000000000001</v>
      </c>
      <c r="Q9" s="134">
        <f t="shared" si="3"/>
        <v>1.0439670999999999</v>
      </c>
      <c r="R9" s="134">
        <f t="shared" si="3"/>
        <v>2.0879341999999999</v>
      </c>
      <c r="S9" s="134">
        <f t="shared" si="3"/>
        <v>2.6099177499999997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725.3599999999999</v>
      </c>
      <c r="AC9" s="63">
        <f t="shared" ref="AC9:AD9" si="4">IF(AC5="ol",$F$10,IF(AC5="ec",$F$11,IF(AC5="sc",$F$12,IF(AC5="swirl",$F$13,IF(AC5="shatter",$F$14,0)))))</f>
        <v>725.3599999999999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0.24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Icy Paw DMG</v>
      </c>
      <c r="K10" s="124" t="str">
        <f t="shared" si="5"/>
        <v>Base Shield DMG Absorption</v>
      </c>
      <c r="L10" s="124" t="str">
        <f t="shared" si="5"/>
        <v>Base Shield DMG Absorption (flat)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0.71264000000000005</v>
      </c>
      <c r="K11" s="134">
        <f t="shared" si="7"/>
        <v>0.12239999999999998</v>
      </c>
      <c r="L11" s="134">
        <f t="shared" si="7"/>
        <v>1408.8689999999999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Continuous Field DMG</v>
      </c>
      <c r="L12" s="124" t="str">
        <f t="shared" si="9"/>
        <v>HP Regeneration Over Time</v>
      </c>
      <c r="M12" s="124" t="str">
        <f t="shared" si="9"/>
        <v>HP Regeneration Over Time (flat)</v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0.1</v>
      </c>
      <c r="AC12" s="60">
        <f t="shared" ref="AC12:AD12" si="10">IF(AC8-AC7&lt;0,0.5*(AC8-AC7),AC8-AC7)</f>
        <v>0.1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1.36</v>
      </c>
      <c r="K13" s="134">
        <f t="shared" ref="K13:X13" si="11">IFERROR(INDEX($A$167:$AU$295,MATCH($C$1,$A$167:$A$295,0)+2,K7+32)*HLOOKUP(INDEX($A$167:$AU$295,MATCH($C$1,$A$167:$A$295,0)+1,K7+32),$H$114:$AU$129,$H13+1,FALSE),"")</f>
        <v>0.8948799999999999</v>
      </c>
      <c r="L13" s="134">
        <f t="shared" si="11"/>
        <v>9.078E-2</v>
      </c>
      <c r="M13" s="134">
        <f t="shared" si="11"/>
        <v>872.1</v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>
        <v>2</v>
      </c>
      <c r="AC15" s="51">
        <v>2</v>
      </c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0.44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451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1.7290000000000001</v>
      </c>
      <c r="E19" s="13">
        <f>Main!E83</f>
        <v>1.33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6139.5193021528394</v>
      </c>
      <c r="K19" s="22">
        <f t="shared" si="13"/>
        <v>20585.206016564971</v>
      </c>
      <c r="L19" s="22">
        <f t="shared" si="13"/>
        <v>16244.362416524024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83.84%*5</f>
        <v>4.1920000000000002</v>
      </c>
      <c r="K20" s="60">
        <f>160%+105.28%*3</f>
        <v>4.7584</v>
      </c>
      <c r="L20" s="60">
        <f>105.28%*3</f>
        <v>3.1583999999999999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1377.8983748769749</v>
      </c>
      <c r="K29" s="34">
        <f t="shared" si="14"/>
        <v>1511.1755845385201</v>
      </c>
      <c r="L29" s="34">
        <f t="shared" si="14"/>
        <v>1511.1755845385201</v>
      </c>
      <c r="M29" s="34">
        <f t="shared" si="14"/>
        <v>1377.8983748769749</v>
      </c>
      <c r="N29" s="34">
        <f t="shared" si="14"/>
        <v>1377.8983748769749</v>
      </c>
      <c r="O29" s="34">
        <f t="shared" si="14"/>
        <v>1377.8983748769749</v>
      </c>
      <c r="P29" s="34">
        <f t="shared" si="14"/>
        <v>1377.8983748769749</v>
      </c>
      <c r="Q29" s="34">
        <f t="shared" si="14"/>
        <v>1377.8983748769749</v>
      </c>
      <c r="R29" s="34">
        <f t="shared" si="14"/>
        <v>1377.8983748769749</v>
      </c>
      <c r="S29" s="34">
        <f t="shared" si="14"/>
        <v>1377.8983748769749</v>
      </c>
      <c r="T29" s="34">
        <f t="shared" si="14"/>
        <v>1377.8983748769749</v>
      </c>
      <c r="U29" s="34">
        <f t="shared" si="14"/>
        <v>1377.8983748769749</v>
      </c>
      <c r="V29" s="34">
        <f t="shared" si="14"/>
        <v>1377.8983748769749</v>
      </c>
      <c r="W29" s="34">
        <f t="shared" si="14"/>
        <v>1377.8983748769749</v>
      </c>
      <c r="X29" s="34">
        <f t="shared" si="14"/>
        <v>1377.8983748769749</v>
      </c>
      <c r="Y29" s="34">
        <f t="shared" si="14"/>
        <v>1377.8983748769749</v>
      </c>
      <c r="Z29" s="34">
        <f t="shared" si="14"/>
        <v>1377.8983748769749</v>
      </c>
      <c r="AA29" s="34">
        <f t="shared" si="14"/>
        <v>1377.8983748769749</v>
      </c>
      <c r="AB29" s="34">
        <f t="shared" si="14"/>
        <v>1377.8983748769749</v>
      </c>
      <c r="AC29" s="34">
        <f t="shared" si="14"/>
        <v>1377.8983748769749</v>
      </c>
      <c r="AD29" s="34">
        <f t="shared" si="14"/>
        <v>1377.8983748769749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715.06504876976192</v>
      </c>
      <c r="K30" s="34">
        <f t="shared" si="15"/>
        <v>715.06504876976192</v>
      </c>
      <c r="L30" s="34">
        <f t="shared" si="15"/>
        <v>715.06504876976192</v>
      </c>
      <c r="M30" s="34">
        <f t="shared" si="15"/>
        <v>715.06504876976192</v>
      </c>
      <c r="N30" s="34">
        <f t="shared" si="15"/>
        <v>715.06504876976192</v>
      </c>
      <c r="O30" s="34">
        <f t="shared" si="15"/>
        <v>715.06504876976192</v>
      </c>
      <c r="P30" s="34">
        <f t="shared" si="15"/>
        <v>715.06504876976192</v>
      </c>
      <c r="Q30" s="34">
        <f t="shared" si="15"/>
        <v>715.06504876976192</v>
      </c>
      <c r="R30" s="34">
        <f t="shared" si="15"/>
        <v>715.06504876976192</v>
      </c>
      <c r="S30" s="34">
        <f t="shared" si="15"/>
        <v>715.06504876976192</v>
      </c>
      <c r="T30" s="34">
        <f t="shared" si="15"/>
        <v>715.06504876976192</v>
      </c>
      <c r="U30" s="34">
        <f t="shared" si="15"/>
        <v>715.06504876976192</v>
      </c>
      <c r="V30" s="34">
        <f t="shared" si="15"/>
        <v>715.06504876976192</v>
      </c>
      <c r="W30" s="34">
        <f t="shared" si="15"/>
        <v>715.06504876976192</v>
      </c>
      <c r="X30" s="34">
        <f t="shared" si="15"/>
        <v>715.06504876976192</v>
      </c>
      <c r="Y30" s="34">
        <f t="shared" si="15"/>
        <v>715.06504876976192</v>
      </c>
      <c r="Z30" s="34">
        <f t="shared" si="15"/>
        <v>715.06504876976192</v>
      </c>
      <c r="AA30" s="34">
        <f t="shared" si="15"/>
        <v>715.06504876976192</v>
      </c>
      <c r="AB30" s="34">
        <f t="shared" si="15"/>
        <v>715.06504876976192</v>
      </c>
      <c r="AC30" s="34">
        <f t="shared" si="15"/>
        <v>715.06504876976192</v>
      </c>
      <c r="AD30" s="34">
        <f t="shared" si="15"/>
        <v>715.06504876976192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24733.204310150148</v>
      </c>
      <c r="K31" s="34">
        <f t="shared" si="16"/>
        <v>24733.204310150148</v>
      </c>
      <c r="L31" s="34">
        <f t="shared" si="16"/>
        <v>24733.204310150148</v>
      </c>
      <c r="M31" s="34">
        <f t="shared" si="16"/>
        <v>24733.204310150148</v>
      </c>
      <c r="N31" s="34">
        <f t="shared" si="16"/>
        <v>24733.204310150148</v>
      </c>
      <c r="O31" s="34">
        <f t="shared" si="16"/>
        <v>24733.204310150148</v>
      </c>
      <c r="P31" s="34">
        <f t="shared" si="16"/>
        <v>24733.204310150148</v>
      </c>
      <c r="Q31" s="34">
        <f t="shared" si="16"/>
        <v>24733.204310150148</v>
      </c>
      <c r="R31" s="34">
        <f t="shared" si="16"/>
        <v>24733.204310150148</v>
      </c>
      <c r="S31" s="34">
        <f t="shared" si="16"/>
        <v>24733.204310150148</v>
      </c>
      <c r="T31" s="34">
        <f t="shared" si="16"/>
        <v>24733.204310150148</v>
      </c>
      <c r="U31" s="34">
        <f t="shared" si="16"/>
        <v>24733.204310150148</v>
      </c>
      <c r="V31" s="34">
        <f t="shared" si="16"/>
        <v>24733.204310150148</v>
      </c>
      <c r="W31" s="34">
        <f t="shared" si="16"/>
        <v>24733.204310150148</v>
      </c>
      <c r="X31" s="34">
        <f t="shared" si="16"/>
        <v>24733.204310150148</v>
      </c>
      <c r="Y31" s="34">
        <f t="shared" si="16"/>
        <v>24733.204310150148</v>
      </c>
      <c r="Z31" s="34">
        <f t="shared" si="16"/>
        <v>24733.204310150148</v>
      </c>
      <c r="AA31" s="34">
        <f t="shared" si="16"/>
        <v>24733.204310150148</v>
      </c>
      <c r="AB31" s="34">
        <f t="shared" si="16"/>
        <v>24733.204310150148</v>
      </c>
      <c r="AC31" s="34">
        <f t="shared" si="16"/>
        <v>24733.204310150148</v>
      </c>
      <c r="AD31" s="34">
        <f t="shared" si="16"/>
        <v>24733.204310150148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1.24</v>
      </c>
      <c r="K32" s="33">
        <f t="shared" si="17"/>
        <v>1.68</v>
      </c>
      <c r="L32" s="33">
        <f t="shared" si="17"/>
        <v>1.68</v>
      </c>
      <c r="M32" s="33">
        <f t="shared" si="17"/>
        <v>1.68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0.73914999999999997</v>
      </c>
      <c r="K33" s="33">
        <f t="shared" ref="K33:AD33" si="18">IF($D$6+K44&lt;0,0,IF($D$6+K44&gt;1,1,$D$6+K44))</f>
        <v>0.73</v>
      </c>
      <c r="L33" s="33">
        <f t="shared" si="18"/>
        <v>0.73</v>
      </c>
      <c r="M33" s="33">
        <f t="shared" si="18"/>
        <v>0.45999999999999996</v>
      </c>
      <c r="N33" s="33">
        <f t="shared" si="18"/>
        <v>0.45999999999999996</v>
      </c>
      <c r="O33" s="33">
        <f t="shared" si="18"/>
        <v>0.45999999999999996</v>
      </c>
      <c r="P33" s="33">
        <f t="shared" si="18"/>
        <v>0.45999999999999996</v>
      </c>
      <c r="Q33" s="33">
        <f t="shared" si="18"/>
        <v>0.45999999999999996</v>
      </c>
      <c r="R33" s="33">
        <f t="shared" si="18"/>
        <v>0.45999999999999996</v>
      </c>
      <c r="S33" s="33">
        <f t="shared" si="18"/>
        <v>0.45999999999999996</v>
      </c>
      <c r="T33" s="33">
        <f t="shared" si="18"/>
        <v>0.45999999999999996</v>
      </c>
      <c r="U33" s="33">
        <f t="shared" si="18"/>
        <v>0.45999999999999996</v>
      </c>
      <c r="V33" s="33">
        <f t="shared" si="18"/>
        <v>0.45999999999999996</v>
      </c>
      <c r="W33" s="33">
        <f t="shared" si="18"/>
        <v>0.45999999999999996</v>
      </c>
      <c r="X33" s="33">
        <f t="shared" si="18"/>
        <v>0.45999999999999996</v>
      </c>
      <c r="Y33" s="33">
        <f t="shared" si="18"/>
        <v>0.45999999999999996</v>
      </c>
      <c r="Z33" s="33">
        <f t="shared" si="18"/>
        <v>0.45999999999999996</v>
      </c>
      <c r="AA33" s="33">
        <f t="shared" si="18"/>
        <v>0.45999999999999996</v>
      </c>
      <c r="AB33" s="33">
        <f t="shared" si="18"/>
        <v>0.45999999999999996</v>
      </c>
      <c r="AC33" s="33">
        <f t="shared" si="18"/>
        <v>0.45999999999999996</v>
      </c>
      <c r="AD33" s="33">
        <f t="shared" si="18"/>
        <v>0.45999999999999996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0.1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</v>
      </c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24%</f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15%+'5-Rosaria'!D6*15%</f>
        <v>0.27915000000000001</v>
      </c>
      <c r="K44" s="30">
        <v>0.27</v>
      </c>
      <c r="L44" s="30">
        <v>0.27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0.93200000000000005</v>
      </c>
      <c r="D50" s="8">
        <v>2</v>
      </c>
      <c r="E50" s="22">
        <v>0.46600000000000003</v>
      </c>
      <c r="I50" s="22" t="s">
        <v>530</v>
      </c>
      <c r="J50" s="22">
        <f>IF(J49&gt;1,J19/J49,J19)</f>
        <v>6139.5193021528394</v>
      </c>
      <c r="K50" s="22">
        <f t="shared" ref="K50:AD50" si="23">IF(K49&gt;1,K19/K49,K19)</f>
        <v>10292.603008282485</v>
      </c>
      <c r="L50" s="22">
        <f t="shared" si="23"/>
        <v>8122.1812082620118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6139.5193021528394</v>
      </c>
      <c r="K52" s="22">
        <f t="shared" ref="K52:AD52" si="25">IF(K51=0,K19,K50*3)</f>
        <v>30877.809024847455</v>
      </c>
      <c r="L52" s="22">
        <f t="shared" si="25"/>
        <v>24366.543624786034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2.3984741691968532</v>
      </c>
      <c r="W68" s="80">
        <f>($D$4+$C$4*W69+W70+1000)/($D$4+$C$4*W69+W70)</f>
        <v>2.3984741691968532</v>
      </c>
      <c r="X68" s="80">
        <f>($D$4+$C$4*X69+X70+1000)/($D$4+$C$4*X69+X70)</f>
        <v>2.3984741691968532</v>
      </c>
      <c r="Y68" s="80">
        <f>($D$4+$C$4*Y69+Y70+1000)/($D$4+$C$4*Y69+Y70)</f>
        <v>2.3984741691968532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2.3984741691968532</v>
      </c>
      <c r="Q69" s="80">
        <f>($D$4+$C$4*Q70+Q71+1000)/($D$4+$C$4*Q70+Q71)</f>
        <v>2.3984741691968532</v>
      </c>
      <c r="R69" s="80">
        <f>($D$4+$C$4*R70+R71+1000)/($D$4+$C$4*R70+R71)</f>
        <v>2.3984741691968532</v>
      </c>
      <c r="S69" s="80">
        <f>($D$4+$C$4*S70+S71+1000)/($D$4+$C$4*S70+S71)</f>
        <v>2.3984741691968532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9</v>
      </c>
      <c r="E90" s="70">
        <f t="shared" si="33"/>
        <v>11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6</v>
      </c>
    </row>
    <row r="93" spans="1:6" x14ac:dyDescent="0.25">
      <c r="A93" s="1"/>
      <c r="B93" s="90" t="s">
        <v>3</v>
      </c>
      <c r="C93" s="37">
        <v>3.3000000000000002E-2</v>
      </c>
      <c r="D93" s="35">
        <v>1</v>
      </c>
      <c r="E93" s="70">
        <f t="shared" si="33"/>
        <v>3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42969.087735241832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f>Main!I77</f>
        <v>25.9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1659.0381364958237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24554.303518697339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61383.871951786328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3CD0D0EB-6ECE-48C4-A869-F66731B31E81}">
      <formula1>$B$115:$B$155</formula1>
    </dataValidation>
    <dataValidation type="list" allowBlank="1" showInputMessage="1" showErrorMessage="1" sqref="D83:D84" xr:uid="{4F80C13C-058F-4696-9C62-8E6379A74C70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79CAD-5A2C-4751-A5E0-A07A71001704}">
  <sheetPr>
    <tabColor theme="7" tint="0.79998168889431442"/>
  </sheetPr>
  <dimension ref="A1:CG345"/>
  <sheetViews>
    <sheetView topLeftCell="A37" zoomScale="85" zoomScaleNormal="85" zoomScaleSheetLayoutView="40" workbookViewId="0">
      <pane xSplit="1" topLeftCell="J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1.9020000000000001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1.3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1.464</v>
      </c>
      <c r="E19" s="13">
        <f>Main!B103</f>
        <v>1.42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19349.274915715465</v>
      </c>
      <c r="K19" s="22">
        <f t="shared" si="13"/>
        <v>39912.898623774228</v>
      </c>
      <c r="L19" s="22">
        <f t="shared" si="13"/>
        <v>64040.960365252984</v>
      </c>
      <c r="M19" s="22">
        <f t="shared" si="13"/>
        <v>66893.11405747573</v>
      </c>
      <c r="N19" s="22">
        <f t="shared" si="13"/>
        <v>73269.297983619676</v>
      </c>
      <c r="O19" s="22">
        <f t="shared" si="13"/>
        <v>74268.748053128234</v>
      </c>
      <c r="P19" s="22">
        <f t="shared" si="13"/>
        <v>535765.30768649234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0.8</v>
      </c>
      <c r="M26" s="60">
        <v>0.44</v>
      </c>
      <c r="N26" s="30">
        <v>1.04</v>
      </c>
      <c r="O26" s="30">
        <v>1.04</v>
      </c>
      <c r="P26" s="30">
        <v>1.04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2022.1263345661278</v>
      </c>
      <c r="K29" s="34">
        <f t="shared" si="14"/>
        <v>2098.9022094954012</v>
      </c>
      <c r="L29" s="34">
        <f t="shared" si="14"/>
        <v>2098.9022094954012</v>
      </c>
      <c r="M29" s="34">
        <f t="shared" si="14"/>
        <v>2098.9022094954012</v>
      </c>
      <c r="N29" s="34">
        <f t="shared" si="14"/>
        <v>2175.6780844246746</v>
      </c>
      <c r="O29" s="34">
        <f t="shared" si="14"/>
        <v>2175.6780844246746</v>
      </c>
      <c r="P29" s="34">
        <f t="shared" si="14"/>
        <v>2175.6780844246746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1.3</v>
      </c>
      <c r="K32" s="33">
        <f t="shared" ref="K32:AD32" si="17">($D$9+VLOOKUP(K23,$B$10:$D$12,3,FALSE)+VLOOKUP(K24,$B$13:$D$18,3,FALSE)+K47)</f>
        <v>1.54</v>
      </c>
      <c r="L32" s="33">
        <f t="shared" si="17"/>
        <v>2.133</v>
      </c>
      <c r="M32" s="33">
        <f t="shared" si="17"/>
        <v>1.3</v>
      </c>
      <c r="N32" s="33">
        <f t="shared" si="17"/>
        <v>2.6230000000000002</v>
      </c>
      <c r="O32" s="33">
        <f t="shared" si="17"/>
        <v>2.383</v>
      </c>
      <c r="P32" s="33">
        <f t="shared" si="17"/>
        <v>2.6230000000000002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0.3</v>
      </c>
      <c r="D33" s="7"/>
      <c r="E33" s="12"/>
      <c r="H33" s="65"/>
      <c r="I33" s="32" t="s">
        <v>113</v>
      </c>
      <c r="J33" s="33">
        <f>IF($D$6+J44&lt;0,0,IF($D$6+J44&gt;1,1,$D$6+J44))</f>
        <v>0.99409999999999998</v>
      </c>
      <c r="K33" s="33">
        <f t="shared" ref="K33:AD33" si="18">IF($D$6+K44&lt;0,0,IF($D$6+K44&gt;1,1,$D$6+K44))</f>
        <v>0.99409999999999998</v>
      </c>
      <c r="L33" s="33">
        <f t="shared" si="18"/>
        <v>0.99409999999999998</v>
      </c>
      <c r="M33" s="33">
        <f t="shared" si="18"/>
        <v>0.99409999999999998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1.9020000000000001</v>
      </c>
      <c r="K34" s="33">
        <f t="shared" si="19"/>
        <v>1.9020000000000001</v>
      </c>
      <c r="L34" s="33">
        <f t="shared" si="19"/>
        <v>1.9020000000000001</v>
      </c>
      <c r="M34" s="33">
        <f t="shared" si="19"/>
        <v>1.9020000000000001</v>
      </c>
      <c r="N34" s="33">
        <f t="shared" si="19"/>
        <v>1.9020000000000001</v>
      </c>
      <c r="O34" s="33">
        <f t="shared" si="19"/>
        <v>1.9020000000000001</v>
      </c>
      <c r="P34" s="33">
        <f t="shared" si="19"/>
        <v>1.9020000000000001</v>
      </c>
      <c r="Q34" s="33">
        <f t="shared" si="19"/>
        <v>1.9020000000000001</v>
      </c>
      <c r="R34" s="33">
        <f t="shared" si="19"/>
        <v>1.9020000000000001</v>
      </c>
      <c r="S34" s="33">
        <f t="shared" si="19"/>
        <v>1.9020000000000001</v>
      </c>
      <c r="T34" s="33">
        <f t="shared" si="19"/>
        <v>1.9020000000000001</v>
      </c>
      <c r="U34" s="33">
        <f t="shared" si="19"/>
        <v>1.9020000000000001</v>
      </c>
      <c r="V34" s="33">
        <f t="shared" si="19"/>
        <v>1.9020000000000001</v>
      </c>
      <c r="W34" s="33">
        <f t="shared" si="19"/>
        <v>1.9020000000000001</v>
      </c>
      <c r="X34" s="33">
        <f t="shared" si="19"/>
        <v>1.9020000000000001</v>
      </c>
      <c r="Y34" s="33">
        <f t="shared" si="19"/>
        <v>1.9020000000000001</v>
      </c>
      <c r="Z34" s="33">
        <f t="shared" si="19"/>
        <v>1.9020000000000001</v>
      </c>
      <c r="AA34" s="33">
        <f t="shared" si="19"/>
        <v>1.9020000000000001</v>
      </c>
      <c r="AB34" s="33">
        <f t="shared" si="19"/>
        <v>1.9020000000000001</v>
      </c>
      <c r="AC34" s="33">
        <f t="shared" si="19"/>
        <v>1.9020000000000001</v>
      </c>
      <c r="AD34" s="33">
        <f t="shared" si="19"/>
        <v>1.9020000000000001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-0.35000000000000003</v>
      </c>
      <c r="M37" s="61">
        <f t="shared" si="22"/>
        <v>-0.16999999999999998</v>
      </c>
      <c r="N37" s="61">
        <f t="shared" si="22"/>
        <v>-0.47000000000000003</v>
      </c>
      <c r="O37" s="61">
        <f t="shared" si="22"/>
        <v>-0.47000000000000003</v>
      </c>
      <c r="P37" s="61">
        <f t="shared" si="22"/>
        <v>-0.47000000000000003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0.4</v>
      </c>
      <c r="K38" s="30">
        <v>0.49</v>
      </c>
      <c r="L38" s="30">
        <v>0.49</v>
      </c>
      <c r="M38" s="30">
        <v>0.49</v>
      </c>
      <c r="N38" s="30">
        <v>0.57999999999999996</v>
      </c>
      <c r="O38" s="30">
        <v>0.57999999999999996</v>
      </c>
      <c r="P38" s="30">
        <v>0.57999999999999996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15%+15%*'6-Rosaria'!$D$6</f>
        <v>0.27210000000000001</v>
      </c>
      <c r="K44" s="30">
        <f>15%+15%*'6-Rosaria'!$D$6</f>
        <v>0.27210000000000001</v>
      </c>
      <c r="L44" s="30">
        <f>15%+15%*'6-Rosaria'!$D$6</f>
        <v>0.27210000000000001</v>
      </c>
      <c r="M44" s="30">
        <f>15%+15%*'6-Rosaria'!$D$6</f>
        <v>0.27210000000000001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9674.6374578577324</v>
      </c>
      <c r="K50" s="22">
        <f t="shared" ref="K50:AD50" si="23">IF(K49&gt;1,K19/K49,K19)</f>
        <v>19956.449311887114</v>
      </c>
      <c r="L50" s="22">
        <f t="shared" si="23"/>
        <v>64040.960365252984</v>
      </c>
      <c r="M50" s="22">
        <f t="shared" si="23"/>
        <v>33446.557028737865</v>
      </c>
      <c r="N50" s="22">
        <f t="shared" si="23"/>
        <v>36634.648991809838</v>
      </c>
      <c r="O50" s="22">
        <f t="shared" si="23"/>
        <v>74268.748053128234</v>
      </c>
      <c r="P50" s="22">
        <f t="shared" si="23"/>
        <v>267882.65384324617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19349.274915715465</v>
      </c>
      <c r="K52" s="22">
        <f t="shared" ref="K52:AD52" si="25">IF(K51=0,K19,K50*3)</f>
        <v>59869.347935661339</v>
      </c>
      <c r="L52" s="22">
        <f t="shared" si="25"/>
        <v>64040.960365252984</v>
      </c>
      <c r="M52" s="22">
        <f t="shared" si="25"/>
        <v>100339.6710862136</v>
      </c>
      <c r="N52" s="22">
        <f t="shared" si="25"/>
        <v>109903.94697542951</v>
      </c>
      <c r="O52" s="22">
        <f t="shared" si="25"/>
        <v>74268.748053128234</v>
      </c>
      <c r="P52" s="22">
        <f t="shared" si="25"/>
        <v>803647.9615297385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4</v>
      </c>
      <c r="E94" s="70">
        <f t="shared" si="33"/>
        <v>6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5.9999999999999982</v>
      </c>
      <c r="E96" s="70">
        <f t="shared" si="33"/>
        <v>7.9999999999999982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873499.60168545868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33467.417689098031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505904.65505191992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1231419.9108611397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C795237A-7EEF-477D-98F4-37D2BC65840A}">
      <formula1>$B$115:$B$155</formula1>
    </dataValidation>
    <dataValidation type="list" allowBlank="1" showInputMessage="1" showErrorMessage="1" sqref="D83:D84" xr:uid="{37DDFEB5-62BA-419E-9F07-3F27D3C8F48E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88055-77A5-4418-9631-9538234F870C}">
  <sheetPr>
    <tabColor theme="7" tint="0.79998168889431442"/>
  </sheetPr>
  <dimension ref="A1:CG345"/>
  <sheetViews>
    <sheetView topLeftCell="A67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1758.213084596428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5002.8505882352938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0.69100000000000006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>
        <v>0.2</v>
      </c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-0.05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5002.8505882352938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8523.9680441411183</v>
      </c>
      <c r="K19" s="22">
        <f t="shared" si="13"/>
        <v>113888.49301115186</v>
      </c>
      <c r="L19" s="22">
        <f t="shared" si="13"/>
        <v>66357.053892408047</v>
      </c>
      <c r="M19" s="22">
        <f t="shared" si="13"/>
        <v>13895.636992554333</v>
      </c>
      <c r="N19" s="22">
        <f t="shared" si="13"/>
        <v>21257.631658556889</v>
      </c>
      <c r="O19" s="22">
        <f t="shared" si="13"/>
        <v>23445.904101693388</v>
      </c>
      <c r="P19" s="22">
        <f t="shared" si="13"/>
        <v>108876.51602247061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681.36%+6.61%*45</f>
        <v>9.7881</v>
      </c>
      <c r="L20" s="60">
        <f>SUM(75.24%,73.93%,90.52%,51.95%,52.1%,1.23%*45*5)</f>
        <v>6.2049000000000003</v>
      </c>
      <c r="M20" s="60">
        <f>SUM(75.24%,73.93%,1.23%*90)</f>
        <v>2.5987</v>
      </c>
      <c r="N20" s="30">
        <v>0.71399999999999997</v>
      </c>
      <c r="O20" s="30">
        <v>0.71399999999999997</v>
      </c>
      <c r="P20" s="30">
        <f>SUM(103.6%,125.06%,1.23%*90)</f>
        <v>3.3936000000000002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>
        <v>0.2</v>
      </c>
      <c r="L26" s="60">
        <v>0.2</v>
      </c>
      <c r="M26" s="60">
        <v>0.2</v>
      </c>
      <c r="N26" s="30">
        <v>0.2</v>
      </c>
      <c r="O26" s="30">
        <v>0.2</v>
      </c>
      <c r="P26" s="30">
        <v>0.2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1758.213084596428</v>
      </c>
      <c r="K29" s="34">
        <f t="shared" si="14"/>
        <v>2097.5199476447901</v>
      </c>
      <c r="L29" s="34">
        <f t="shared" si="14"/>
        <v>1927.866516120609</v>
      </c>
      <c r="M29" s="34">
        <f t="shared" si="14"/>
        <v>1927.866516120609</v>
      </c>
      <c r="N29" s="34">
        <f t="shared" si="14"/>
        <v>2097.5199476447901</v>
      </c>
      <c r="O29" s="34">
        <f t="shared" si="14"/>
        <v>1927.866516120609</v>
      </c>
      <c r="P29" s="34">
        <f t="shared" si="14"/>
        <v>1927.866516120609</v>
      </c>
      <c r="Q29" s="34">
        <f t="shared" si="14"/>
        <v>1758.213084596428</v>
      </c>
      <c r="R29" s="34">
        <f t="shared" si="14"/>
        <v>1758.213084596428</v>
      </c>
      <c r="S29" s="34">
        <f t="shared" si="14"/>
        <v>1758.213084596428</v>
      </c>
      <c r="T29" s="34">
        <f t="shared" si="14"/>
        <v>1758.213084596428</v>
      </c>
      <c r="U29" s="34">
        <f t="shared" si="14"/>
        <v>1758.213084596428</v>
      </c>
      <c r="V29" s="34">
        <f t="shared" si="14"/>
        <v>1758.213084596428</v>
      </c>
      <c r="W29" s="34">
        <f t="shared" si="14"/>
        <v>1758.213084596428</v>
      </c>
      <c r="X29" s="34">
        <f t="shared" si="14"/>
        <v>1758.213084596428</v>
      </c>
      <c r="Y29" s="34">
        <f t="shared" si="14"/>
        <v>1758.213084596428</v>
      </c>
      <c r="Z29" s="34">
        <f t="shared" si="14"/>
        <v>1758.213084596428</v>
      </c>
      <c r="AA29" s="34">
        <f t="shared" si="14"/>
        <v>1758.213084596428</v>
      </c>
      <c r="AB29" s="34">
        <f t="shared" si="14"/>
        <v>1758.213084596428</v>
      </c>
      <c r="AC29" s="34">
        <f t="shared" si="14"/>
        <v>1758.213084596428</v>
      </c>
      <c r="AD29" s="34">
        <f t="shared" si="14"/>
        <v>1758.213084596428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0.69100000000000006</v>
      </c>
      <c r="K33" s="33">
        <f t="shared" ref="K33:AD33" si="18">IF($D$6+K44&lt;0,0,IF($D$6+K44&gt;1,1,$D$6+K44))</f>
        <v>0.81100000000000005</v>
      </c>
      <c r="L33" s="33">
        <f t="shared" si="18"/>
        <v>0.81100000000000005</v>
      </c>
      <c r="M33" s="33">
        <f t="shared" si="18"/>
        <v>0.81100000000000005</v>
      </c>
      <c r="N33" s="33">
        <f t="shared" si="18"/>
        <v>0.69100000000000006</v>
      </c>
      <c r="O33" s="33">
        <f t="shared" si="18"/>
        <v>0.69100000000000006</v>
      </c>
      <c r="P33" s="33">
        <f t="shared" si="18"/>
        <v>0.81100000000000005</v>
      </c>
      <c r="Q33" s="33">
        <f t="shared" si="18"/>
        <v>0.69100000000000006</v>
      </c>
      <c r="R33" s="33">
        <f t="shared" si="18"/>
        <v>0.69100000000000006</v>
      </c>
      <c r="S33" s="33">
        <f t="shared" si="18"/>
        <v>0.69100000000000006</v>
      </c>
      <c r="T33" s="33">
        <f t="shared" si="18"/>
        <v>0.69100000000000006</v>
      </c>
      <c r="U33" s="33">
        <f t="shared" si="18"/>
        <v>0.69100000000000006</v>
      </c>
      <c r="V33" s="33">
        <f t="shared" si="18"/>
        <v>0.69100000000000006</v>
      </c>
      <c r="W33" s="33">
        <f t="shared" si="18"/>
        <v>0.69100000000000006</v>
      </c>
      <c r="X33" s="33">
        <f t="shared" si="18"/>
        <v>0.69100000000000006</v>
      </c>
      <c r="Y33" s="33">
        <f t="shared" si="18"/>
        <v>0.69100000000000006</v>
      </c>
      <c r="Z33" s="33">
        <f t="shared" si="18"/>
        <v>0.69100000000000006</v>
      </c>
      <c r="AA33" s="33">
        <f t="shared" si="18"/>
        <v>0.69100000000000006</v>
      </c>
      <c r="AB33" s="33">
        <f t="shared" si="18"/>
        <v>0.69100000000000006</v>
      </c>
      <c r="AC33" s="33">
        <f t="shared" si="18"/>
        <v>0.69100000000000006</v>
      </c>
      <c r="AD33" s="33">
        <f t="shared" si="18"/>
        <v>0.69100000000000006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-0.05</v>
      </c>
      <c r="L37" s="61">
        <f t="shared" si="22"/>
        <v>-0.05</v>
      </c>
      <c r="M37" s="61">
        <f t="shared" si="22"/>
        <v>-0.05</v>
      </c>
      <c r="N37" s="61">
        <f t="shared" si="22"/>
        <v>-0.05</v>
      </c>
      <c r="O37" s="61">
        <f t="shared" si="22"/>
        <v>-0.05</v>
      </c>
      <c r="P37" s="61">
        <f t="shared" si="22"/>
        <v>-0.05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0.4</v>
      </c>
      <c r="L38" s="30">
        <v>0.2</v>
      </c>
      <c r="M38" s="30">
        <v>0.2</v>
      </c>
      <c r="N38" s="30">
        <v>0.4</v>
      </c>
      <c r="O38" s="30">
        <v>0.2</v>
      </c>
      <c r="P38" s="30">
        <v>0.2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4261.9840220705591</v>
      </c>
      <c r="K50" s="22">
        <f t="shared" ref="K50:AD50" si="23">IF(K49&gt;1,K19/K49,K19)</f>
        <v>56944.246505575931</v>
      </c>
      <c r="L50" s="22">
        <f t="shared" si="23"/>
        <v>66357.053892408047</v>
      </c>
      <c r="M50" s="22">
        <f t="shared" si="23"/>
        <v>13895.636992554333</v>
      </c>
      <c r="N50" s="22">
        <f t="shared" si="23"/>
        <v>21257.631658556889</v>
      </c>
      <c r="O50" s="22">
        <f t="shared" si="23"/>
        <v>23445.904101693388</v>
      </c>
      <c r="P50" s="22">
        <f t="shared" si="23"/>
        <v>54438.258011235303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8523.9680441411183</v>
      </c>
      <c r="K52" s="22">
        <f t="shared" ref="K52:AD52" si="25">IF(K51=0,K19,K50*3)</f>
        <v>170832.7395167278</v>
      </c>
      <c r="L52" s="22">
        <f t="shared" si="25"/>
        <v>66357.053892408047</v>
      </c>
      <c r="M52" s="22">
        <f t="shared" si="25"/>
        <v>13895.636992554333</v>
      </c>
      <c r="N52" s="22">
        <f t="shared" si="25"/>
        <v>21257.631658556889</v>
      </c>
      <c r="O52" s="22">
        <f t="shared" si="25"/>
        <v>23445.904101693388</v>
      </c>
      <c r="P52" s="22">
        <f t="shared" si="25"/>
        <v>108876.51602247061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8</v>
      </c>
      <c r="E93" s="70">
        <f t="shared" si="33"/>
        <v>10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356245.20372297626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13649.241521953112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245603.56577232978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418192.30081678747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8F2EA080-B360-485D-A1E5-9109B601B901}">
      <formula1>$B$115:$B$155</formula1>
    </dataValidation>
    <dataValidation type="list" allowBlank="1" showInputMessage="1" showErrorMessage="1" sqref="D83:D84" xr:uid="{388E1FB6-C054-43D6-8A42-0632F04EF6DF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69622-72A8-40F0-9B45-380FCE303B07}">
  <sheetPr codeName="Sheet16"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1778.7961863503551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0.81400000000000006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1.782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f>Main!D103</f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13701.203575530637</v>
      </c>
      <c r="K19" s="22">
        <f t="shared" si="13"/>
        <v>193373.55856921704</v>
      </c>
      <c r="L19" s="22">
        <f t="shared" si="13"/>
        <v>31050.751076554254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0.44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1917.595429946711</v>
      </c>
      <c r="K29" s="34">
        <f t="shared" si="14"/>
        <v>2056.3946735430668</v>
      </c>
      <c r="L29" s="34">
        <f t="shared" si="14"/>
        <v>2056.3946735430668</v>
      </c>
      <c r="M29" s="34">
        <f t="shared" si="14"/>
        <v>1778.7961863503551</v>
      </c>
      <c r="N29" s="34">
        <f t="shared" si="14"/>
        <v>1778.7961863503551</v>
      </c>
      <c r="O29" s="34">
        <f t="shared" si="14"/>
        <v>1778.7961863503551</v>
      </c>
      <c r="P29" s="34">
        <f t="shared" si="14"/>
        <v>1778.7961863503551</v>
      </c>
      <c r="Q29" s="34">
        <f t="shared" si="14"/>
        <v>1778.7961863503551</v>
      </c>
      <c r="R29" s="34">
        <f t="shared" si="14"/>
        <v>1778.7961863503551</v>
      </c>
      <c r="S29" s="34">
        <f t="shared" si="14"/>
        <v>1778.7961863503551</v>
      </c>
      <c r="T29" s="34">
        <f t="shared" si="14"/>
        <v>1778.7961863503551</v>
      </c>
      <c r="U29" s="34">
        <f t="shared" si="14"/>
        <v>1778.7961863503551</v>
      </c>
      <c r="V29" s="34">
        <f t="shared" si="14"/>
        <v>1778.7961863503551</v>
      </c>
      <c r="W29" s="34">
        <f t="shared" si="14"/>
        <v>1778.7961863503551</v>
      </c>
      <c r="X29" s="34">
        <f t="shared" si="14"/>
        <v>1778.7961863503551</v>
      </c>
      <c r="Y29" s="34">
        <f t="shared" si="14"/>
        <v>1778.7961863503551</v>
      </c>
      <c r="Z29" s="34">
        <f t="shared" si="14"/>
        <v>1778.7961863503551</v>
      </c>
      <c r="AA29" s="34">
        <f t="shared" si="14"/>
        <v>1778.7961863503551</v>
      </c>
      <c r="AB29" s="34">
        <f t="shared" si="14"/>
        <v>1778.7961863503551</v>
      </c>
      <c r="AC29" s="34">
        <f t="shared" si="14"/>
        <v>1778.7961863503551</v>
      </c>
      <c r="AD29" s="34">
        <f t="shared" si="14"/>
        <v>1778.7961863503551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0.81400000000000006</v>
      </c>
      <c r="K33" s="33">
        <f t="shared" ref="K33:AD33" si="18">IF($D$6+K44&lt;0,0,IF($D$6+K44&gt;1,1,$D$6+K44))</f>
        <v>0.96400000000000008</v>
      </c>
      <c r="L33" s="33">
        <f t="shared" si="18"/>
        <v>0.96400000000000008</v>
      </c>
      <c r="M33" s="33">
        <f t="shared" si="18"/>
        <v>0.81400000000000006</v>
      </c>
      <c r="N33" s="33">
        <f t="shared" si="18"/>
        <v>0.81400000000000006</v>
      </c>
      <c r="O33" s="33">
        <f t="shared" si="18"/>
        <v>0.81400000000000006</v>
      </c>
      <c r="P33" s="33">
        <f t="shared" si="18"/>
        <v>0.81400000000000006</v>
      </c>
      <c r="Q33" s="33">
        <f t="shared" si="18"/>
        <v>0.81400000000000006</v>
      </c>
      <c r="R33" s="33">
        <f t="shared" si="18"/>
        <v>0.81400000000000006</v>
      </c>
      <c r="S33" s="33">
        <f t="shared" si="18"/>
        <v>0.81400000000000006</v>
      </c>
      <c r="T33" s="33">
        <f t="shared" si="18"/>
        <v>0.81400000000000006</v>
      </c>
      <c r="U33" s="33">
        <f t="shared" si="18"/>
        <v>0.81400000000000006</v>
      </c>
      <c r="V33" s="33">
        <f t="shared" si="18"/>
        <v>0.81400000000000006</v>
      </c>
      <c r="W33" s="33">
        <f t="shared" si="18"/>
        <v>0.81400000000000006</v>
      </c>
      <c r="X33" s="33">
        <f t="shared" si="18"/>
        <v>0.81400000000000006</v>
      </c>
      <c r="Y33" s="33">
        <f t="shared" si="18"/>
        <v>0.81400000000000006</v>
      </c>
      <c r="Z33" s="33">
        <f t="shared" si="18"/>
        <v>0.81400000000000006</v>
      </c>
      <c r="AA33" s="33">
        <f t="shared" si="18"/>
        <v>0.81400000000000006</v>
      </c>
      <c r="AB33" s="33">
        <f t="shared" si="18"/>
        <v>0.81400000000000006</v>
      </c>
      <c r="AC33" s="33">
        <f t="shared" si="18"/>
        <v>0.81400000000000006</v>
      </c>
      <c r="AD33" s="33">
        <f t="shared" si="18"/>
        <v>0.81400000000000006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1.782</v>
      </c>
      <c r="K34" s="33">
        <f t="shared" si="19"/>
        <v>1.782</v>
      </c>
      <c r="L34" s="33">
        <f t="shared" si="19"/>
        <v>1.782</v>
      </c>
      <c r="M34" s="33">
        <f t="shared" si="19"/>
        <v>1.782</v>
      </c>
      <c r="N34" s="33">
        <f t="shared" si="19"/>
        <v>1.782</v>
      </c>
      <c r="O34" s="33">
        <f t="shared" si="19"/>
        <v>1.782</v>
      </c>
      <c r="P34" s="33">
        <f t="shared" si="19"/>
        <v>1.782</v>
      </c>
      <c r="Q34" s="33">
        <f t="shared" si="19"/>
        <v>1.782</v>
      </c>
      <c r="R34" s="33">
        <f t="shared" si="19"/>
        <v>1.782</v>
      </c>
      <c r="S34" s="33">
        <f t="shared" si="19"/>
        <v>1.782</v>
      </c>
      <c r="T34" s="33">
        <f t="shared" si="19"/>
        <v>1.782</v>
      </c>
      <c r="U34" s="33">
        <f t="shared" si="19"/>
        <v>1.782</v>
      </c>
      <c r="V34" s="33">
        <f t="shared" si="19"/>
        <v>1.782</v>
      </c>
      <c r="W34" s="33">
        <f t="shared" si="19"/>
        <v>1.782</v>
      </c>
      <c r="X34" s="33">
        <f t="shared" si="19"/>
        <v>1.782</v>
      </c>
      <c r="Y34" s="33">
        <f t="shared" si="19"/>
        <v>1.782</v>
      </c>
      <c r="Z34" s="33">
        <f t="shared" si="19"/>
        <v>1.782</v>
      </c>
      <c r="AA34" s="33">
        <f t="shared" si="19"/>
        <v>1.782</v>
      </c>
      <c r="AB34" s="33">
        <f t="shared" si="19"/>
        <v>1.782</v>
      </c>
      <c r="AC34" s="33">
        <f t="shared" si="19"/>
        <v>1.782</v>
      </c>
      <c r="AD34" s="33">
        <f t="shared" si="19"/>
        <v>1.782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-0.16999999999999998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0.4</v>
      </c>
      <c r="L38" s="30">
        <v>0.4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13701.203575530637</v>
      </c>
      <c r="K50" s="22">
        <f t="shared" ref="K50:AD50" si="23">IF(K49&gt;1,K19/K49,K19)</f>
        <v>96686.779284608521</v>
      </c>
      <c r="L50" s="22">
        <f t="shared" si="23"/>
        <v>15525.375538277127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13701.203575530637</v>
      </c>
      <c r="K52" s="22">
        <f t="shared" ref="K52:AD52" si="25">IF(K51=0,K19,K50*3)</f>
        <v>290060.33785382553</v>
      </c>
      <c r="L52" s="22">
        <f t="shared" si="25"/>
        <v>46576.126614831381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2</v>
      </c>
      <c r="E90" s="70">
        <f t="shared" si="33"/>
        <v>4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8</v>
      </c>
      <c r="E94" s="70">
        <f t="shared" si="33"/>
        <v>10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238125.51322130195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9123.5828820422194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126770.98992782805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352052.93110301107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61E6DD0F-8C94-4960-84BA-FEED13ED1E89}">
      <formula1>"amp,trans,nil"</formula1>
    </dataValidation>
    <dataValidation type="list" allowBlank="1" showInputMessage="1" showErrorMessage="1" sqref="C1" xr:uid="{A0C71BE0-4809-4F90-B803-5B934C05934E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149D-A522-44F6-9560-0508558B9CBF}">
  <sheetPr>
    <tabColor theme="7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251.90108266711965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622.09119093383163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740.03330698439709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871.79743705046246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14739.440519487622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45055.010521577606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0.44600000000000001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</v>
      </c>
      <c r="N8" s="124" t="str">
        <f t="shared" si="2"/>
        <v>5-Hit DMG (*4)</v>
      </c>
      <c r="O8" s="124" t="str">
        <f t="shared" si="2"/>
        <v>6-Hit DMG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0.56524489999999994</v>
      </c>
      <c r="K9" s="134">
        <f t="shared" si="3"/>
        <v>0.57222549999999994</v>
      </c>
      <c r="L9" s="134">
        <f t="shared" si="3"/>
        <v>0.70871459999999997</v>
      </c>
      <c r="M9" s="134">
        <f t="shared" si="3"/>
        <v>0.78880779999999995</v>
      </c>
      <c r="N9" s="134">
        <f t="shared" si="3"/>
        <v>0.1974775</v>
      </c>
      <c r="O9" s="134">
        <f t="shared" si="3"/>
        <v>1.0011650000000001</v>
      </c>
      <c r="P9" s="134">
        <f t="shared" si="3"/>
        <v>2.0396211000000002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0.28799999999999998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Stone Stele</v>
      </c>
      <c r="K10" s="124" t="str">
        <f t="shared" si="5"/>
        <v>Resonance</v>
      </c>
      <c r="L10" s="124" t="str">
        <f t="shared" si="5"/>
        <v>Hold DMG</v>
      </c>
      <c r="M10" s="124" t="str">
        <f t="shared" si="5"/>
        <v>Shield Base Absorption</v>
      </c>
      <c r="N10" s="124" t="str">
        <f t="shared" si="5"/>
        <v>Additional Shield Absorption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0.27200000000000002</v>
      </c>
      <c r="K11" s="134">
        <f t="shared" si="7"/>
        <v>0.54400000000000004</v>
      </c>
      <c r="L11" s="134">
        <f t="shared" si="7"/>
        <v>1.36</v>
      </c>
      <c r="M11" s="134">
        <f t="shared" si="7"/>
        <v>2504.6559999999999</v>
      </c>
      <c r="N11" s="134">
        <f t="shared" si="7"/>
        <v>0.21759999999999999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/>
      </c>
      <c r="L12" s="124" t="str">
        <f t="shared" si="9"/>
        <v/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8.3464747999999993</v>
      </c>
      <c r="K13" s="134" t="str">
        <f t="shared" ref="K13:X13" si="11">IFERROR(INDEX($A$167:$AU$295,MATCH($C$1,$A$167:$A$295,0)+2,K7+32)*HLOOKUP(INDEX($A$167:$AU$295,MATCH($C$1,$A$167:$A$295,0)+1,K7+32),$H$114:$AU$129,$H13+1,FALSE),"")</f>
        <v/>
      </c>
      <c r="L13" s="134" t="str">
        <f t="shared" si="11"/>
        <v/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0.12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278</v>
      </c>
      <c r="L18" s="23" t="s">
        <v>569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1.1160000000000001</v>
      </c>
      <c r="E19" s="13">
        <v>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1054.3589821252167</v>
      </c>
      <c r="K19" s="22">
        <f t="shared" si="13"/>
        <v>4217.4359285008668</v>
      </c>
      <c r="L19" s="22">
        <f t="shared" si="13"/>
        <v>11557.245663736143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27.2%+136%</f>
        <v>1.6320000000000001</v>
      </c>
      <c r="K20" s="60">
        <v>0.54400000000000004</v>
      </c>
      <c r="L20" s="60">
        <v>1.9E-2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12</v>
      </c>
      <c r="L21" s="51">
        <v>13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46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105</v>
      </c>
      <c r="L24" s="51" t="s">
        <v>105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0.2</v>
      </c>
      <c r="K26" s="60">
        <v>0.2</v>
      </c>
      <c r="L26" s="60">
        <v>0.2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622.09119093383163</v>
      </c>
      <c r="K29" s="34">
        <f t="shared" si="14"/>
        <v>622.09119093383163</v>
      </c>
      <c r="L29" s="34">
        <f t="shared" si="14"/>
        <v>622.09119093383163</v>
      </c>
      <c r="M29" s="34">
        <f t="shared" si="14"/>
        <v>622.09119093383163</v>
      </c>
      <c r="N29" s="34">
        <f t="shared" si="14"/>
        <v>622.09119093383163</v>
      </c>
      <c r="O29" s="34">
        <f t="shared" si="14"/>
        <v>622.09119093383163</v>
      </c>
      <c r="P29" s="34">
        <f t="shared" si="14"/>
        <v>622.09119093383163</v>
      </c>
      <c r="Q29" s="34">
        <f t="shared" si="14"/>
        <v>622.09119093383163</v>
      </c>
      <c r="R29" s="34">
        <f t="shared" si="14"/>
        <v>622.09119093383163</v>
      </c>
      <c r="S29" s="34">
        <f t="shared" si="14"/>
        <v>622.09119093383163</v>
      </c>
      <c r="T29" s="34">
        <f t="shared" si="14"/>
        <v>622.09119093383163</v>
      </c>
      <c r="U29" s="34">
        <f t="shared" si="14"/>
        <v>622.09119093383163</v>
      </c>
      <c r="V29" s="34">
        <f t="shared" si="14"/>
        <v>622.09119093383163</v>
      </c>
      <c r="W29" s="34">
        <f t="shared" si="14"/>
        <v>622.09119093383163</v>
      </c>
      <c r="X29" s="34">
        <f t="shared" si="14"/>
        <v>622.09119093383163</v>
      </c>
      <c r="Y29" s="34">
        <f t="shared" si="14"/>
        <v>622.09119093383163</v>
      </c>
      <c r="Z29" s="34">
        <f t="shared" si="14"/>
        <v>622.09119093383163</v>
      </c>
      <c r="AA29" s="34">
        <f t="shared" si="14"/>
        <v>622.09119093383163</v>
      </c>
      <c r="AB29" s="34">
        <f t="shared" si="14"/>
        <v>622.09119093383163</v>
      </c>
      <c r="AC29" s="34">
        <f t="shared" si="14"/>
        <v>622.09119093383163</v>
      </c>
      <c r="AD29" s="34">
        <f t="shared" si="14"/>
        <v>622.09119093383163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871.79743705046246</v>
      </c>
      <c r="K30" s="34">
        <f t="shared" si="15"/>
        <v>871.79743705046246</v>
      </c>
      <c r="L30" s="34">
        <f t="shared" si="15"/>
        <v>871.79743705046246</v>
      </c>
      <c r="M30" s="34">
        <f t="shared" si="15"/>
        <v>871.79743705046246</v>
      </c>
      <c r="N30" s="34">
        <f t="shared" si="15"/>
        <v>871.79743705046246</v>
      </c>
      <c r="O30" s="34">
        <f t="shared" si="15"/>
        <v>871.79743705046246</v>
      </c>
      <c r="P30" s="34">
        <f t="shared" si="15"/>
        <v>871.79743705046246</v>
      </c>
      <c r="Q30" s="34">
        <f t="shared" si="15"/>
        <v>871.79743705046246</v>
      </c>
      <c r="R30" s="34">
        <f t="shared" si="15"/>
        <v>871.79743705046246</v>
      </c>
      <c r="S30" s="34">
        <f t="shared" si="15"/>
        <v>871.79743705046246</v>
      </c>
      <c r="T30" s="34">
        <f t="shared" si="15"/>
        <v>871.79743705046246</v>
      </c>
      <c r="U30" s="34">
        <f t="shared" si="15"/>
        <v>871.79743705046246</v>
      </c>
      <c r="V30" s="34">
        <f t="shared" si="15"/>
        <v>871.79743705046246</v>
      </c>
      <c r="W30" s="34">
        <f t="shared" si="15"/>
        <v>871.79743705046246</v>
      </c>
      <c r="X30" s="34">
        <f t="shared" si="15"/>
        <v>871.79743705046246</v>
      </c>
      <c r="Y30" s="34">
        <f t="shared" si="15"/>
        <v>871.79743705046246</v>
      </c>
      <c r="Z30" s="34">
        <f t="shared" si="15"/>
        <v>871.79743705046246</v>
      </c>
      <c r="AA30" s="34">
        <f t="shared" si="15"/>
        <v>871.79743705046246</v>
      </c>
      <c r="AB30" s="34">
        <f t="shared" si="15"/>
        <v>871.79743705046246</v>
      </c>
      <c r="AC30" s="34">
        <f t="shared" si="15"/>
        <v>871.79743705046246</v>
      </c>
      <c r="AD30" s="34">
        <f t="shared" si="15"/>
        <v>871.79743705046246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45055.010521577606</v>
      </c>
      <c r="K31" s="34">
        <f t="shared" si="16"/>
        <v>45055.010521577606</v>
      </c>
      <c r="L31" s="34">
        <f t="shared" si="16"/>
        <v>45055.010521577606</v>
      </c>
      <c r="M31" s="34">
        <f t="shared" si="16"/>
        <v>45055.010521577606</v>
      </c>
      <c r="N31" s="34">
        <f t="shared" si="16"/>
        <v>45055.010521577606</v>
      </c>
      <c r="O31" s="34">
        <f t="shared" si="16"/>
        <v>45055.010521577606</v>
      </c>
      <c r="P31" s="34">
        <f t="shared" si="16"/>
        <v>45055.010521577606</v>
      </c>
      <c r="Q31" s="34">
        <f t="shared" si="16"/>
        <v>45055.010521577606</v>
      </c>
      <c r="R31" s="34">
        <f t="shared" si="16"/>
        <v>45055.010521577606</v>
      </c>
      <c r="S31" s="34">
        <f t="shared" si="16"/>
        <v>45055.010521577606</v>
      </c>
      <c r="T31" s="34">
        <f t="shared" si="16"/>
        <v>45055.010521577606</v>
      </c>
      <c r="U31" s="34">
        <f t="shared" si="16"/>
        <v>45055.010521577606</v>
      </c>
      <c r="V31" s="34">
        <f t="shared" si="16"/>
        <v>45055.010521577606</v>
      </c>
      <c r="W31" s="34">
        <f t="shared" si="16"/>
        <v>45055.010521577606</v>
      </c>
      <c r="X31" s="34">
        <f t="shared" si="16"/>
        <v>45055.010521577606</v>
      </c>
      <c r="Y31" s="34">
        <f t="shared" si="16"/>
        <v>45055.010521577606</v>
      </c>
      <c r="Z31" s="34">
        <f t="shared" si="16"/>
        <v>45055.010521577606</v>
      </c>
      <c r="AA31" s="34">
        <f t="shared" si="16"/>
        <v>45055.010521577606</v>
      </c>
      <c r="AB31" s="34">
        <f t="shared" si="16"/>
        <v>45055.010521577606</v>
      </c>
      <c r="AC31" s="34">
        <f t="shared" si="16"/>
        <v>45055.010521577606</v>
      </c>
      <c r="AD31" s="34">
        <f t="shared" si="16"/>
        <v>45055.010521577606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1.288</v>
      </c>
      <c r="K32" s="33">
        <f t="shared" si="17"/>
        <v>1.288</v>
      </c>
      <c r="L32" s="33">
        <f t="shared" si="17"/>
        <v>1.288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0.44600000000000001</v>
      </c>
      <c r="K33" s="33">
        <f t="shared" ref="K33:AD33" si="18">IF($D$6+K44&lt;0,0,IF($D$6+K44&gt;1,1,$D$6+K44))</f>
        <v>0.44600000000000001</v>
      </c>
      <c r="L33" s="33">
        <f t="shared" si="18"/>
        <v>0.44600000000000001</v>
      </c>
      <c r="M33" s="33">
        <f t="shared" si="18"/>
        <v>0.44600000000000001</v>
      </c>
      <c r="N33" s="33">
        <f t="shared" si="18"/>
        <v>0.44600000000000001</v>
      </c>
      <c r="O33" s="33">
        <f t="shared" si="18"/>
        <v>0.44600000000000001</v>
      </c>
      <c r="P33" s="33">
        <f t="shared" si="18"/>
        <v>0.44600000000000001</v>
      </c>
      <c r="Q33" s="33">
        <f t="shared" si="18"/>
        <v>0.44600000000000001</v>
      </c>
      <c r="R33" s="33">
        <f t="shared" si="18"/>
        <v>0.44600000000000001</v>
      </c>
      <c r="S33" s="33">
        <f t="shared" si="18"/>
        <v>0.44600000000000001</v>
      </c>
      <c r="T33" s="33">
        <f t="shared" si="18"/>
        <v>0.44600000000000001</v>
      </c>
      <c r="U33" s="33">
        <f t="shared" si="18"/>
        <v>0.44600000000000001</v>
      </c>
      <c r="V33" s="33">
        <f t="shared" si="18"/>
        <v>0.44600000000000001</v>
      </c>
      <c r="W33" s="33">
        <f t="shared" si="18"/>
        <v>0.44600000000000001</v>
      </c>
      <c r="X33" s="33">
        <f t="shared" si="18"/>
        <v>0.44600000000000001</v>
      </c>
      <c r="Y33" s="33">
        <f t="shared" si="18"/>
        <v>0.44600000000000001</v>
      </c>
      <c r="Z33" s="33">
        <f t="shared" si="18"/>
        <v>0.44600000000000001</v>
      </c>
      <c r="AA33" s="33">
        <f t="shared" si="18"/>
        <v>0.44600000000000001</v>
      </c>
      <c r="AB33" s="33">
        <f t="shared" si="18"/>
        <v>0.44600000000000001</v>
      </c>
      <c r="AC33" s="33">
        <f t="shared" si="18"/>
        <v>0.44600000000000001</v>
      </c>
      <c r="AD33" s="33">
        <f t="shared" si="18"/>
        <v>0.44600000000000001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-0.05</v>
      </c>
      <c r="K37" s="61">
        <f t="shared" si="22"/>
        <v>-0.05</v>
      </c>
      <c r="L37" s="61">
        <f t="shared" si="22"/>
        <v>-0.05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0.12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</v>
      </c>
      <c r="D48" s="8">
        <v>0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1.3980000000000001</v>
      </c>
      <c r="D50" s="8">
        <v>3</v>
      </c>
      <c r="E50" s="22">
        <v>0.46600000000000003</v>
      </c>
      <c r="I50" s="22" t="s">
        <v>530</v>
      </c>
      <c r="J50" s="22">
        <f>IF(J49&gt;1,J19/J49,J19)</f>
        <v>1054.3589821252167</v>
      </c>
      <c r="K50" s="22">
        <f t="shared" ref="K50:AD50" si="23">IF(K49&gt;1,K19/K49,K19)</f>
        <v>4217.4359285008668</v>
      </c>
      <c r="L50" s="22">
        <f t="shared" si="23"/>
        <v>11557.245663736143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1</v>
      </c>
      <c r="K51" s="51">
        <v>0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3163.0769463756501</v>
      </c>
      <c r="K52" s="22">
        <f t="shared" ref="K52:AD52" si="25">IF(K51=0,K19,K50*3)</f>
        <v>4217.4359285008668</v>
      </c>
      <c r="L52" s="22">
        <f t="shared" si="25"/>
        <v>11557.245663736143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C64" s="13">
        <v>0.2</v>
      </c>
      <c r="E64" s="24" t="s">
        <v>570</v>
      </c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2.1470554483198336</v>
      </c>
      <c r="W68" s="80">
        <f>($D$4+$C$4*W69+W70+1000)/($D$4+$C$4*W69+W70)</f>
        <v>2.1470554483198336</v>
      </c>
      <c r="X68" s="80">
        <f>($D$4+$C$4*X69+X70+1000)/($D$4+$C$4*X69+X70)</f>
        <v>2.1470554483198336</v>
      </c>
      <c r="Y68" s="80">
        <f>($D$4+$C$4*Y69+Y70+1000)/($D$4+$C$4*Y69+Y70)</f>
        <v>2.1470554483198336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2.1470554483198336</v>
      </c>
      <c r="Q69" s="80">
        <f>($D$4+$C$4*Q70+Q71+1000)/($D$4+$C$4*Q70+Q71)</f>
        <v>2.1470554483198336</v>
      </c>
      <c r="R69" s="80">
        <f>($D$4+$C$4*R70+R71+1000)/($D$4+$C$4*R70+R71)</f>
        <v>2.1470554483198336</v>
      </c>
      <c r="S69" s="80">
        <f>($D$4+$C$4*S70+S71+1000)/($D$4+$C$4*S70+S71)</f>
        <v>2.1470554483198336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10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4</v>
      </c>
    </row>
    <row r="93" spans="1:6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16829.040574362225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26.1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644.79082660391668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16829.040574362225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18937.758538612659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66B81667-B372-4980-8B4F-42EA1E7E1ED9}">
      <formula1>$B$115:$B$155</formula1>
    </dataValidation>
    <dataValidation type="list" allowBlank="1" showInputMessage="1" showErrorMessage="1" sqref="D83:D84" xr:uid="{3AB7BC3F-901D-474E-AF47-E2B03AC96DA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8438-3609-4500-9EC0-37B42F985BBC}">
  <sheetPr>
    <tabColor theme="4" tint="0.79998168889431442"/>
  </sheetPr>
  <dimension ref="A1:CG345"/>
  <sheetViews>
    <sheetView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1.8359999999999999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1.18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</v>
      </c>
      <c r="E19" s="13">
        <v>1.51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13341.141472754109</v>
      </c>
      <c r="K19" s="22">
        <f t="shared" si="13"/>
        <v>28049.940199918572</v>
      </c>
      <c r="L19" s="22">
        <f t="shared" si="13"/>
        <v>49760.511595876589</v>
      </c>
      <c r="M19" s="22">
        <f t="shared" si="13"/>
        <v>49375.990604059174</v>
      </c>
      <c r="N19" s="22">
        <f t="shared" si="13"/>
        <v>58751.209407998118</v>
      </c>
      <c r="O19" s="22">
        <f t="shared" si="13"/>
        <v>59265.074724948034</v>
      </c>
      <c r="P19" s="22">
        <f t="shared" si="13"/>
        <v>429605.0412884634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</v>
      </c>
      <c r="K26" s="60">
        <v>0</v>
      </c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1928.2891540970159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1.18</v>
      </c>
      <c r="K32" s="33">
        <f t="shared" ref="K32:AD32" si="17">($D$9+VLOOKUP(K23,$B$10:$D$12,3,FALSE)+VLOOKUP(K24,$B$13:$D$18,3,FALSE)+K47)</f>
        <v>1.42</v>
      </c>
      <c r="L32" s="33">
        <f t="shared" si="17"/>
        <v>2.0129999999999999</v>
      </c>
      <c r="M32" s="33">
        <f t="shared" si="17"/>
        <v>1.18</v>
      </c>
      <c r="N32" s="33">
        <f t="shared" si="17"/>
        <v>2.5030000000000001</v>
      </c>
      <c r="O32" s="33">
        <f t="shared" si="17"/>
        <v>2.2629999999999999</v>
      </c>
      <c r="P32" s="33">
        <f t="shared" si="17"/>
        <v>2.5030000000000001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0.18</v>
      </c>
      <c r="D33" s="7"/>
      <c r="E33" s="12"/>
      <c r="H33" s="65"/>
      <c r="I33" s="32" t="s">
        <v>113</v>
      </c>
      <c r="J33" s="33">
        <f>IF($D$6+J44&lt;0,0,IF($D$6+J44&gt;1,1,$D$6+J44))</f>
        <v>0.97924999999999995</v>
      </c>
      <c r="K33" s="33">
        <f t="shared" ref="K33:AD33" si="18">IF($D$6+K44&lt;0,0,IF($D$6+K44&gt;1,1,$D$6+K44))</f>
        <v>0.97924999999999995</v>
      </c>
      <c r="L33" s="33">
        <f t="shared" si="18"/>
        <v>0.97924999999999995</v>
      </c>
      <c r="M33" s="33">
        <f t="shared" si="18"/>
        <v>0.97924999999999995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1.8359999999999999</v>
      </c>
      <c r="K34" s="33">
        <f t="shared" si="19"/>
        <v>1.8359999999999999</v>
      </c>
      <c r="L34" s="33">
        <f t="shared" si="19"/>
        <v>1.8359999999999999</v>
      </c>
      <c r="M34" s="33">
        <f t="shared" si="19"/>
        <v>1.8359999999999999</v>
      </c>
      <c r="N34" s="33">
        <f t="shared" si="19"/>
        <v>1.8359999999999999</v>
      </c>
      <c r="O34" s="33">
        <f t="shared" si="19"/>
        <v>1.8359999999999999</v>
      </c>
      <c r="P34" s="33">
        <f t="shared" si="19"/>
        <v>1.8359999999999999</v>
      </c>
      <c r="Q34" s="33">
        <f t="shared" si="19"/>
        <v>1.8359999999999999</v>
      </c>
      <c r="R34" s="33">
        <f t="shared" si="19"/>
        <v>1.8359999999999999</v>
      </c>
      <c r="S34" s="33">
        <f t="shared" si="19"/>
        <v>1.8359999999999999</v>
      </c>
      <c r="T34" s="33">
        <f t="shared" si="19"/>
        <v>1.8359999999999999</v>
      </c>
      <c r="U34" s="33">
        <f t="shared" si="19"/>
        <v>1.8359999999999999</v>
      </c>
      <c r="V34" s="33">
        <f t="shared" si="19"/>
        <v>1.8359999999999999</v>
      </c>
      <c r="W34" s="33">
        <f t="shared" si="19"/>
        <v>1.8359999999999999</v>
      </c>
      <c r="X34" s="33">
        <f t="shared" si="19"/>
        <v>1.8359999999999999</v>
      </c>
      <c r="Y34" s="33">
        <f t="shared" si="19"/>
        <v>1.8359999999999999</v>
      </c>
      <c r="Z34" s="33">
        <f t="shared" si="19"/>
        <v>1.8359999999999999</v>
      </c>
      <c r="AA34" s="33">
        <f t="shared" si="19"/>
        <v>1.8359999999999999</v>
      </c>
      <c r="AB34" s="33">
        <f t="shared" si="19"/>
        <v>1.8359999999999999</v>
      </c>
      <c r="AC34" s="33">
        <f t="shared" si="19"/>
        <v>1.8359999999999999</v>
      </c>
      <c r="AD34" s="33">
        <f t="shared" si="19"/>
        <v>1.8359999999999999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15%+15%*'7-Rosaria'!$D$6</f>
        <v>0.25724999999999998</v>
      </c>
      <c r="K44" s="30">
        <f>15%+15%*'7-Rosaria'!$D$6</f>
        <v>0.25724999999999998</v>
      </c>
      <c r="L44" s="30">
        <f>15%+15%*'7-Rosaria'!$D$6</f>
        <v>0.25724999999999998</v>
      </c>
      <c r="M44" s="30">
        <f>15%+15%*'7-Rosaria'!$D$6</f>
        <v>0.25724999999999998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6670.5707363770543</v>
      </c>
      <c r="K50" s="22">
        <f t="shared" ref="K50:AD50" si="23">IF(K49&gt;1,K19/K49,K19)</f>
        <v>14024.970099959286</v>
      </c>
      <c r="L50" s="22">
        <f t="shared" si="23"/>
        <v>49760.511595876589</v>
      </c>
      <c r="M50" s="22">
        <f t="shared" si="23"/>
        <v>24687.995302029587</v>
      </c>
      <c r="N50" s="22">
        <f t="shared" si="23"/>
        <v>29375.604703999059</v>
      </c>
      <c r="O50" s="22">
        <f t="shared" si="23"/>
        <v>59265.074724948034</v>
      </c>
      <c r="P50" s="22">
        <f t="shared" si="23"/>
        <v>214802.5206442317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13341.141472754109</v>
      </c>
      <c r="K52" s="22">
        <f t="shared" ref="K52:AD52" si="25">IF(K51=0,K19,K50*3)</f>
        <v>42074.910299877854</v>
      </c>
      <c r="L52" s="22">
        <f t="shared" si="25"/>
        <v>49760.511595876589</v>
      </c>
      <c r="M52" s="22">
        <f t="shared" si="25"/>
        <v>74063.985906088754</v>
      </c>
      <c r="N52" s="22">
        <f t="shared" si="25"/>
        <v>88126.81411199717</v>
      </c>
      <c r="O52" s="22">
        <f t="shared" si="25"/>
        <v>59265.074724948034</v>
      </c>
      <c r="P52" s="22">
        <f t="shared" si="25"/>
        <v>644407.5619326951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3</v>
      </c>
      <c r="E94" s="70">
        <f t="shared" si="33"/>
        <v>5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7</v>
      </c>
      <c r="E96" s="70">
        <f t="shared" si="33"/>
        <v>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688148.90929401806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25677.198107985747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398587.24780742131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971040.00004423759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81ECFFB7-9E69-4707-8CC5-AFF874D4B357}">
      <formula1>"amp,trans,nil"</formula1>
    </dataValidation>
    <dataValidation type="list" allowBlank="1" showInputMessage="1" showErrorMessage="1" sqref="C1" xr:uid="{B5BF07AE-85FC-4BD7-85B9-2165B4C6C161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BAC-E8FE-4784-943C-58F13AE5187C}">
  <sheetPr>
    <tabColor theme="4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11550.662105504016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7C349188-A988-4632-AC66-3B4112ECECF2}">
      <formula1>"amp,trans,nil"</formula1>
    </dataValidation>
    <dataValidation type="list" allowBlank="1" showInputMessage="1" showErrorMessage="1" sqref="C1" xr:uid="{E937FFC9-106F-4365-A80B-0208703156AB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452D9-30C7-414C-8550-F33174F6EB88}">
  <sheetPr>
    <tabColor theme="4" tint="0.79998168889431442"/>
  </sheetPr>
  <dimension ref="A1:CG345"/>
  <sheetViews>
    <sheetView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1709.3965645521773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0.71500000000000008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1.65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1.5220000579999999</v>
      </c>
      <c r="E19" s="13">
        <v>1.49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9311.9630294508715</v>
      </c>
      <c r="K19" s="22">
        <f t="shared" si="13"/>
        <v>133039.66900298532</v>
      </c>
      <c r="L19" s="22">
        <f t="shared" si="13"/>
        <v>22792.968037338251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1709.3965645521773</v>
      </c>
      <c r="K29" s="34">
        <f t="shared" si="14"/>
        <v>1848.1958081485332</v>
      </c>
      <c r="L29" s="34">
        <f t="shared" si="14"/>
        <v>1848.1958081485332</v>
      </c>
      <c r="M29" s="34">
        <f t="shared" si="14"/>
        <v>1709.3965645521773</v>
      </c>
      <c r="N29" s="34">
        <f t="shared" si="14"/>
        <v>1709.3965645521773</v>
      </c>
      <c r="O29" s="34">
        <f t="shared" si="14"/>
        <v>1709.3965645521773</v>
      </c>
      <c r="P29" s="34">
        <f t="shared" si="14"/>
        <v>1709.3965645521773</v>
      </c>
      <c r="Q29" s="34">
        <f t="shared" si="14"/>
        <v>1709.3965645521773</v>
      </c>
      <c r="R29" s="34">
        <f t="shared" si="14"/>
        <v>1709.3965645521773</v>
      </c>
      <c r="S29" s="34">
        <f t="shared" si="14"/>
        <v>1709.3965645521773</v>
      </c>
      <c r="T29" s="34">
        <f t="shared" si="14"/>
        <v>1709.3965645521773</v>
      </c>
      <c r="U29" s="34">
        <f t="shared" si="14"/>
        <v>1709.3965645521773</v>
      </c>
      <c r="V29" s="34">
        <f t="shared" si="14"/>
        <v>1709.3965645521773</v>
      </c>
      <c r="W29" s="34">
        <f t="shared" si="14"/>
        <v>1709.3965645521773</v>
      </c>
      <c r="X29" s="34">
        <f t="shared" si="14"/>
        <v>1709.3965645521773</v>
      </c>
      <c r="Y29" s="34">
        <f t="shared" si="14"/>
        <v>1709.3965645521773</v>
      </c>
      <c r="Z29" s="34">
        <f t="shared" si="14"/>
        <v>1709.3965645521773</v>
      </c>
      <c r="AA29" s="34">
        <f t="shared" si="14"/>
        <v>1709.3965645521773</v>
      </c>
      <c r="AB29" s="34">
        <f t="shared" si="14"/>
        <v>1709.3965645521773</v>
      </c>
      <c r="AC29" s="34">
        <f t="shared" si="14"/>
        <v>1709.3965645521773</v>
      </c>
      <c r="AD29" s="34">
        <f t="shared" si="14"/>
        <v>1709.3965645521773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0.71500000000000008</v>
      </c>
      <c r="K33" s="33">
        <f t="shared" ref="K33:AD33" si="18">IF($D$6+K44&lt;0,0,IF($D$6+K44&gt;1,1,$D$6+K44))</f>
        <v>0.8650000000000001</v>
      </c>
      <c r="L33" s="33">
        <f t="shared" si="18"/>
        <v>0.8650000000000001</v>
      </c>
      <c r="M33" s="33">
        <f t="shared" si="18"/>
        <v>0.71500000000000008</v>
      </c>
      <c r="N33" s="33">
        <f t="shared" si="18"/>
        <v>0.71500000000000008</v>
      </c>
      <c r="O33" s="33">
        <f t="shared" si="18"/>
        <v>0.71500000000000008</v>
      </c>
      <c r="P33" s="33">
        <f t="shared" si="18"/>
        <v>0.71500000000000008</v>
      </c>
      <c r="Q33" s="33">
        <f t="shared" si="18"/>
        <v>0.71500000000000008</v>
      </c>
      <c r="R33" s="33">
        <f t="shared" si="18"/>
        <v>0.71500000000000008</v>
      </c>
      <c r="S33" s="33">
        <f t="shared" si="18"/>
        <v>0.71500000000000008</v>
      </c>
      <c r="T33" s="33">
        <f t="shared" si="18"/>
        <v>0.71500000000000008</v>
      </c>
      <c r="U33" s="33">
        <f t="shared" si="18"/>
        <v>0.71500000000000008</v>
      </c>
      <c r="V33" s="33">
        <f t="shared" si="18"/>
        <v>0.71500000000000008</v>
      </c>
      <c r="W33" s="33">
        <f t="shared" si="18"/>
        <v>0.71500000000000008</v>
      </c>
      <c r="X33" s="33">
        <f t="shared" si="18"/>
        <v>0.71500000000000008</v>
      </c>
      <c r="Y33" s="33">
        <f t="shared" si="18"/>
        <v>0.71500000000000008</v>
      </c>
      <c r="Z33" s="33">
        <f t="shared" si="18"/>
        <v>0.71500000000000008</v>
      </c>
      <c r="AA33" s="33">
        <f t="shared" si="18"/>
        <v>0.71500000000000008</v>
      </c>
      <c r="AB33" s="33">
        <f t="shared" si="18"/>
        <v>0.71500000000000008</v>
      </c>
      <c r="AC33" s="33">
        <f t="shared" si="18"/>
        <v>0.71500000000000008</v>
      </c>
      <c r="AD33" s="33">
        <f t="shared" si="18"/>
        <v>0.71500000000000008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1.65</v>
      </c>
      <c r="K34" s="33">
        <f t="shared" si="19"/>
        <v>1.65</v>
      </c>
      <c r="L34" s="33">
        <f t="shared" si="19"/>
        <v>1.65</v>
      </c>
      <c r="M34" s="33">
        <f t="shared" si="19"/>
        <v>1.65</v>
      </c>
      <c r="N34" s="33">
        <f t="shared" si="19"/>
        <v>1.65</v>
      </c>
      <c r="O34" s="33">
        <f t="shared" si="19"/>
        <v>1.65</v>
      </c>
      <c r="P34" s="33">
        <f t="shared" si="19"/>
        <v>1.65</v>
      </c>
      <c r="Q34" s="33">
        <f t="shared" si="19"/>
        <v>1.65</v>
      </c>
      <c r="R34" s="33">
        <f t="shared" si="19"/>
        <v>1.65</v>
      </c>
      <c r="S34" s="33">
        <f t="shared" si="19"/>
        <v>1.65</v>
      </c>
      <c r="T34" s="33">
        <f t="shared" si="19"/>
        <v>1.65</v>
      </c>
      <c r="U34" s="33">
        <f t="shared" si="19"/>
        <v>1.65</v>
      </c>
      <c r="V34" s="33">
        <f t="shared" si="19"/>
        <v>1.65</v>
      </c>
      <c r="W34" s="33">
        <f t="shared" si="19"/>
        <v>1.65</v>
      </c>
      <c r="X34" s="33">
        <f t="shared" si="19"/>
        <v>1.65</v>
      </c>
      <c r="Y34" s="33">
        <f t="shared" si="19"/>
        <v>1.65</v>
      </c>
      <c r="Z34" s="33">
        <f t="shared" si="19"/>
        <v>1.65</v>
      </c>
      <c r="AA34" s="33">
        <f t="shared" si="19"/>
        <v>1.65</v>
      </c>
      <c r="AB34" s="33">
        <f t="shared" si="19"/>
        <v>1.65</v>
      </c>
      <c r="AC34" s="33">
        <f t="shared" si="19"/>
        <v>1.65</v>
      </c>
      <c r="AD34" s="33">
        <f t="shared" si="19"/>
        <v>1.65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9311.9630294508715</v>
      </c>
      <c r="K50" s="22">
        <f t="shared" ref="K50:AD50" si="23">IF(K49&gt;1,K19/K49,K19)</f>
        <v>66519.83450149266</v>
      </c>
      <c r="L50" s="22">
        <f t="shared" si="23"/>
        <v>11396.484018669125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9311.9630294508715</v>
      </c>
      <c r="K52" s="22">
        <f t="shared" ref="K52:AD52" si="25">IF(K51=0,K19,K50*3)</f>
        <v>199559.50350447797</v>
      </c>
      <c r="L52" s="22">
        <f t="shared" si="25"/>
        <v>34189.452056007372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3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7.0000009999999993</v>
      </c>
      <c r="E96" s="70">
        <f t="shared" si="33"/>
        <v>9.0000009999999993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165144.60006977446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6162.1119429020318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88085.913079024423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244776.18164875975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0B53C89-877C-4CA7-8469-09F0955E2725}">
      <formula1>$B$115:$B$155</formula1>
    </dataValidation>
    <dataValidation type="list" allowBlank="1" showInputMessage="1" showErrorMessage="1" sqref="D83:D84" xr:uid="{435F1EBC-A4F0-46AA-89FD-42BEDAFDAB12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F6C3-1884-4CE9-ACFB-4324AD3C0E04}">
  <sheetPr>
    <tabColor theme="4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J58" sqref="J58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21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287.88694108748172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2075.0803466160073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925.04163373049687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1079.7467963130787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857.63152941176463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12405.695809888548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18934.265390877405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0.28100000000000003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 (*2)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Plunge DMG</v>
      </c>
      <c r="S8" s="124" t="str">
        <f t="shared" si="2"/>
        <v>Low Plunge DMG</v>
      </c>
      <c r="T8" s="124" t="str">
        <f t="shared" si="2"/>
        <v>High Plunge DMG</v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0.69346750000000001</v>
      </c>
      <c r="K9" s="134">
        <f t="shared" si="3"/>
        <v>0.71404190000000001</v>
      </c>
      <c r="L9" s="134">
        <f t="shared" si="3"/>
        <v>0.44400289999999998</v>
      </c>
      <c r="M9" s="134">
        <f t="shared" si="3"/>
        <v>0.45337159999999999</v>
      </c>
      <c r="N9" s="134">
        <f t="shared" si="3"/>
        <v>1.1580447999999999</v>
      </c>
      <c r="O9" s="134">
        <f t="shared" si="3"/>
        <v>1.1817420999999999</v>
      </c>
      <c r="P9" s="134">
        <f t="shared" si="3"/>
        <v>1.1743941</v>
      </c>
      <c r="Q9" s="134">
        <f t="shared" si="3"/>
        <v>2.3487882</v>
      </c>
      <c r="R9" s="134">
        <f t="shared" si="3"/>
        <v>2.9359852499999999</v>
      </c>
      <c r="S9" s="134">
        <f t="shared" si="3"/>
        <v>0</v>
      </c>
      <c r="T9" s="134">
        <f t="shared" si="3"/>
        <v>0</v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Regeneration on Hit</v>
      </c>
      <c r="L10" s="124" t="str">
        <f t="shared" si="5"/>
        <v>Regeneration on Hit (flat)</v>
      </c>
      <c r="M10" s="124" t="str">
        <f t="shared" si="5"/>
        <v>Continuous Regeneration</v>
      </c>
      <c r="N10" s="124" t="str">
        <f t="shared" si="5"/>
        <v>Continuous Regeneration (flat)</v>
      </c>
      <c r="O10" s="124" t="str">
        <f t="shared" si="5"/>
        <v>Herald of Frost DMG</v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1.6319999999999999</v>
      </c>
      <c r="K11" s="134">
        <f t="shared" si="7"/>
        <v>0.17951999999999999</v>
      </c>
      <c r="L11" s="134">
        <f t="shared" si="7"/>
        <v>136.21099999999998</v>
      </c>
      <c r="M11" s="134">
        <f t="shared" si="7"/>
        <v>1.1831999999999998</v>
      </c>
      <c r="N11" s="134">
        <f t="shared" si="7"/>
        <v>916.88299999999992</v>
      </c>
      <c r="O11" s="134">
        <f t="shared" si="7"/>
        <v>0.61199999999999999</v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Healing</v>
      </c>
      <c r="L12" s="124" t="str">
        <f t="shared" si="9"/>
        <v>Healing (flat)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4.8415999999999997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1.53</v>
      </c>
      <c r="L13" s="134">
        <f t="shared" si="11"/>
        <v>1173.0409999999999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573</v>
      </c>
      <c r="M18" s="23" t="s">
        <v>574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2.2509999999999999</v>
      </c>
      <c r="E19" s="13">
        <v>2.23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874.28177614181084</v>
      </c>
      <c r="K19" s="22">
        <f t="shared" si="13"/>
        <v>12864.764908668034</v>
      </c>
      <c r="L19" s="22">
        <f t="shared" si="13"/>
        <v>655.71133210635821</v>
      </c>
      <c r="M19" s="22">
        <f t="shared" si="13"/>
        <v>1554.0406189753812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0.72899999999999998</v>
      </c>
      <c r="E20" s="13"/>
      <c r="F20" s="12"/>
      <c r="H20" s="66" t="s">
        <v>143</v>
      </c>
      <c r="I20" s="67" t="s">
        <v>82</v>
      </c>
      <c r="J20" s="60">
        <v>1.6319999999999999</v>
      </c>
      <c r="K20" s="60">
        <v>4.8415999999999997</v>
      </c>
      <c r="L20" s="60">
        <v>0.61199999999999999</v>
      </c>
      <c r="M20" s="60">
        <v>0.61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0.5</v>
      </c>
      <c r="K21" s="51">
        <v>1</v>
      </c>
      <c r="L21" s="51">
        <v>1</v>
      </c>
      <c r="M21" s="51">
        <v>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2075.0803466160073</v>
      </c>
      <c r="K29" s="34">
        <f t="shared" si="14"/>
        <v>2075.0803466160073</v>
      </c>
      <c r="L29" s="34">
        <f t="shared" si="14"/>
        <v>2075.0803466160073</v>
      </c>
      <c r="M29" s="34">
        <f t="shared" si="14"/>
        <v>2075.0803466160073</v>
      </c>
      <c r="N29" s="34">
        <f t="shared" si="14"/>
        <v>2075.0803466160073</v>
      </c>
      <c r="O29" s="34">
        <f t="shared" si="14"/>
        <v>2075.0803466160073</v>
      </c>
      <c r="P29" s="34">
        <f t="shared" si="14"/>
        <v>2075.0803466160073</v>
      </c>
      <c r="Q29" s="34">
        <f t="shared" si="14"/>
        <v>2075.0803466160073</v>
      </c>
      <c r="R29" s="34">
        <f t="shared" si="14"/>
        <v>2075.0803466160073</v>
      </c>
      <c r="S29" s="34">
        <f t="shared" si="14"/>
        <v>2075.0803466160073</v>
      </c>
      <c r="T29" s="34">
        <f t="shared" si="14"/>
        <v>2075.0803466160073</v>
      </c>
      <c r="U29" s="34">
        <f t="shared" si="14"/>
        <v>2075.0803466160073</v>
      </c>
      <c r="V29" s="34">
        <f t="shared" si="14"/>
        <v>2075.0803466160073</v>
      </c>
      <c r="W29" s="34">
        <f t="shared" si="14"/>
        <v>2075.0803466160073</v>
      </c>
      <c r="X29" s="34">
        <f t="shared" si="14"/>
        <v>2075.0803466160073</v>
      </c>
      <c r="Y29" s="34">
        <f t="shared" si="14"/>
        <v>2075.0803466160073</v>
      </c>
      <c r="Z29" s="34">
        <f t="shared" si="14"/>
        <v>2075.0803466160073</v>
      </c>
      <c r="AA29" s="34">
        <f t="shared" si="14"/>
        <v>2075.0803466160073</v>
      </c>
      <c r="AB29" s="34">
        <f t="shared" si="14"/>
        <v>2075.0803466160073</v>
      </c>
      <c r="AC29" s="34">
        <f t="shared" si="14"/>
        <v>2075.0803466160073</v>
      </c>
      <c r="AD29" s="34">
        <f t="shared" si="14"/>
        <v>2075.0803466160073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1079.7467963130787</v>
      </c>
      <c r="K30" s="34">
        <f t="shared" si="15"/>
        <v>1079.7467963130787</v>
      </c>
      <c r="L30" s="34">
        <f t="shared" si="15"/>
        <v>1079.7467963130787</v>
      </c>
      <c r="M30" s="34">
        <f t="shared" si="15"/>
        <v>1079.7467963130787</v>
      </c>
      <c r="N30" s="34">
        <f t="shared" si="15"/>
        <v>1079.7467963130787</v>
      </c>
      <c r="O30" s="34">
        <f t="shared" si="15"/>
        <v>1079.7467963130787</v>
      </c>
      <c r="P30" s="34">
        <f t="shared" si="15"/>
        <v>1079.7467963130787</v>
      </c>
      <c r="Q30" s="34">
        <f t="shared" si="15"/>
        <v>1079.7467963130787</v>
      </c>
      <c r="R30" s="34">
        <f t="shared" si="15"/>
        <v>1079.7467963130787</v>
      </c>
      <c r="S30" s="34">
        <f t="shared" si="15"/>
        <v>1079.7467963130787</v>
      </c>
      <c r="T30" s="34">
        <f t="shared" si="15"/>
        <v>1079.7467963130787</v>
      </c>
      <c r="U30" s="34">
        <f t="shared" si="15"/>
        <v>1079.7467963130787</v>
      </c>
      <c r="V30" s="34">
        <f t="shared" si="15"/>
        <v>1079.7467963130787</v>
      </c>
      <c r="W30" s="34">
        <f t="shared" si="15"/>
        <v>1079.7467963130787</v>
      </c>
      <c r="X30" s="34">
        <f t="shared" si="15"/>
        <v>1079.7467963130787</v>
      </c>
      <c r="Y30" s="34">
        <f t="shared" si="15"/>
        <v>1079.7467963130787</v>
      </c>
      <c r="Z30" s="34">
        <f t="shared" si="15"/>
        <v>1079.7467963130787</v>
      </c>
      <c r="AA30" s="34">
        <f t="shared" si="15"/>
        <v>1079.7467963130787</v>
      </c>
      <c r="AB30" s="34">
        <f t="shared" si="15"/>
        <v>1079.7467963130787</v>
      </c>
      <c r="AC30" s="34">
        <f t="shared" si="15"/>
        <v>1079.7467963130787</v>
      </c>
      <c r="AD30" s="34">
        <f t="shared" si="15"/>
        <v>1079.7467963130787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18934.265390877405</v>
      </c>
      <c r="K31" s="34">
        <f t="shared" si="16"/>
        <v>18934.265390877405</v>
      </c>
      <c r="L31" s="34">
        <f t="shared" si="16"/>
        <v>18934.265390877405</v>
      </c>
      <c r="M31" s="34">
        <f t="shared" si="16"/>
        <v>18934.265390877405</v>
      </c>
      <c r="N31" s="34">
        <f t="shared" si="16"/>
        <v>18934.265390877405</v>
      </c>
      <c r="O31" s="34">
        <f t="shared" si="16"/>
        <v>18934.265390877405</v>
      </c>
      <c r="P31" s="34">
        <f t="shared" si="16"/>
        <v>18934.265390877405</v>
      </c>
      <c r="Q31" s="34">
        <f t="shared" si="16"/>
        <v>18934.265390877405</v>
      </c>
      <c r="R31" s="34">
        <f t="shared" si="16"/>
        <v>18934.265390877405</v>
      </c>
      <c r="S31" s="34">
        <f t="shared" si="16"/>
        <v>18934.265390877405</v>
      </c>
      <c r="T31" s="34">
        <f t="shared" si="16"/>
        <v>18934.265390877405</v>
      </c>
      <c r="U31" s="34">
        <f t="shared" si="16"/>
        <v>18934.265390877405</v>
      </c>
      <c r="V31" s="34">
        <f t="shared" si="16"/>
        <v>18934.265390877405</v>
      </c>
      <c r="W31" s="34">
        <f t="shared" si="16"/>
        <v>18934.265390877405</v>
      </c>
      <c r="X31" s="34">
        <f t="shared" si="16"/>
        <v>18934.265390877405</v>
      </c>
      <c r="Y31" s="34">
        <f t="shared" si="16"/>
        <v>18934.265390877405</v>
      </c>
      <c r="Z31" s="34">
        <f t="shared" si="16"/>
        <v>18934.265390877405</v>
      </c>
      <c r="AA31" s="34">
        <f t="shared" si="16"/>
        <v>18934.265390877405</v>
      </c>
      <c r="AB31" s="34">
        <f t="shared" si="16"/>
        <v>18934.265390877405</v>
      </c>
      <c r="AC31" s="34">
        <f t="shared" si="16"/>
        <v>18934.265390877405</v>
      </c>
      <c r="AD31" s="34">
        <f t="shared" si="16"/>
        <v>18934.265390877405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</v>
      </c>
      <c r="K32" s="33">
        <f t="shared" si="17"/>
        <v>1.24</v>
      </c>
      <c r="L32" s="33">
        <f t="shared" si="17"/>
        <v>1</v>
      </c>
      <c r="M32" s="33">
        <f t="shared" si="17"/>
        <v>1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0.28100000000000003</v>
      </c>
      <c r="K33" s="33">
        <f t="shared" ref="K33:AD33" si="18">IF($D$6+K44&lt;0,0,IF($D$6+K44&gt;1,1,$D$6+K44))</f>
        <v>0.28100000000000003</v>
      </c>
      <c r="L33" s="33">
        <f t="shared" si="18"/>
        <v>0.28100000000000003</v>
      </c>
      <c r="M33" s="33">
        <f t="shared" si="18"/>
        <v>0.28100000000000003</v>
      </c>
      <c r="N33" s="33">
        <f t="shared" si="18"/>
        <v>0.28100000000000003</v>
      </c>
      <c r="O33" s="33">
        <f t="shared" si="18"/>
        <v>0.28100000000000003</v>
      </c>
      <c r="P33" s="33">
        <f t="shared" si="18"/>
        <v>0.28100000000000003</v>
      </c>
      <c r="Q33" s="33">
        <f t="shared" si="18"/>
        <v>0.28100000000000003</v>
      </c>
      <c r="R33" s="33">
        <f t="shared" si="18"/>
        <v>0.28100000000000003</v>
      </c>
      <c r="S33" s="33">
        <f t="shared" si="18"/>
        <v>0.28100000000000003</v>
      </c>
      <c r="T33" s="33">
        <f t="shared" si="18"/>
        <v>0.28100000000000003</v>
      </c>
      <c r="U33" s="33">
        <f t="shared" si="18"/>
        <v>0.28100000000000003</v>
      </c>
      <c r="V33" s="33">
        <f t="shared" si="18"/>
        <v>0.28100000000000003</v>
      </c>
      <c r="W33" s="33">
        <f t="shared" si="18"/>
        <v>0.28100000000000003</v>
      </c>
      <c r="X33" s="33">
        <f t="shared" si="18"/>
        <v>0.28100000000000003</v>
      </c>
      <c r="Y33" s="33">
        <f t="shared" si="18"/>
        <v>0.28100000000000003</v>
      </c>
      <c r="Z33" s="33">
        <f t="shared" si="18"/>
        <v>0.28100000000000003</v>
      </c>
      <c r="AA33" s="33">
        <f t="shared" si="18"/>
        <v>0.28100000000000003</v>
      </c>
      <c r="AB33" s="33">
        <f t="shared" si="18"/>
        <v>0.28100000000000003</v>
      </c>
      <c r="AC33" s="33">
        <f t="shared" si="18"/>
        <v>0.28100000000000003</v>
      </c>
      <c r="AD33" s="33">
        <f t="shared" si="18"/>
        <v>0.28100000000000003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0.63200000000000001</v>
      </c>
      <c r="K34" s="33">
        <f t="shared" si="19"/>
        <v>0.63200000000000001</v>
      </c>
      <c r="L34" s="33">
        <f t="shared" si="19"/>
        <v>0.63200000000000001</v>
      </c>
      <c r="M34" s="33">
        <f t="shared" si="19"/>
        <v>0.63200000000000001</v>
      </c>
      <c r="N34" s="33">
        <f t="shared" si="19"/>
        <v>0.63200000000000001</v>
      </c>
      <c r="O34" s="33">
        <f t="shared" si="19"/>
        <v>0.63200000000000001</v>
      </c>
      <c r="P34" s="33">
        <f t="shared" si="19"/>
        <v>0.63200000000000001</v>
      </c>
      <c r="Q34" s="33">
        <f t="shared" si="19"/>
        <v>0.63200000000000001</v>
      </c>
      <c r="R34" s="33">
        <f t="shared" si="19"/>
        <v>0.63200000000000001</v>
      </c>
      <c r="S34" s="33">
        <f t="shared" si="19"/>
        <v>0.63200000000000001</v>
      </c>
      <c r="T34" s="33">
        <f t="shared" si="19"/>
        <v>0.63200000000000001</v>
      </c>
      <c r="U34" s="33">
        <f t="shared" si="19"/>
        <v>0.63200000000000001</v>
      </c>
      <c r="V34" s="33">
        <f t="shared" si="19"/>
        <v>0.63200000000000001</v>
      </c>
      <c r="W34" s="33">
        <f t="shared" si="19"/>
        <v>0.63200000000000001</v>
      </c>
      <c r="X34" s="33">
        <f t="shared" si="19"/>
        <v>0.63200000000000001</v>
      </c>
      <c r="Y34" s="33">
        <f t="shared" si="19"/>
        <v>0.63200000000000001</v>
      </c>
      <c r="Z34" s="33">
        <f t="shared" si="19"/>
        <v>0.63200000000000001</v>
      </c>
      <c r="AA34" s="33">
        <f t="shared" si="19"/>
        <v>0.63200000000000001</v>
      </c>
      <c r="AB34" s="33">
        <f t="shared" si="19"/>
        <v>0.63200000000000001</v>
      </c>
      <c r="AC34" s="33">
        <f t="shared" si="19"/>
        <v>0.63200000000000001</v>
      </c>
      <c r="AD34" s="33">
        <f t="shared" si="19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0.93200000000000005</v>
      </c>
      <c r="D48" s="8">
        <v>2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874.28177614181084</v>
      </c>
      <c r="K50" s="22">
        <f t="shared" ref="K50:AD50" si="23">IF(K49&gt;1,K19/K49,K19)</f>
        <v>6432.382454334017</v>
      </c>
      <c r="L50" s="22">
        <f t="shared" si="23"/>
        <v>655.71133210635821</v>
      </c>
      <c r="M50" s="22">
        <f t="shared" si="23"/>
        <v>1554.0406189753812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874.28177614181084</v>
      </c>
      <c r="K52" s="22">
        <f t="shared" ref="K52:AD52" si="25">IF(K51=0,K19,K50*3)</f>
        <v>19297.147363002052</v>
      </c>
      <c r="L52" s="22">
        <f t="shared" si="25"/>
        <v>655.71133210635821</v>
      </c>
      <c r="M52" s="22">
        <f t="shared" si="25"/>
        <v>1554.0406189753812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 t="s">
        <v>448</v>
      </c>
      <c r="K56" s="23" t="s">
        <v>449</v>
      </c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0.35899999999999999</v>
      </c>
      <c r="D58" s="8">
        <v>1</v>
      </c>
      <c r="E58" s="74">
        <v>0.35899999999999999</v>
      </c>
      <c r="H58" s="84"/>
      <c r="I58" s="84" t="s">
        <v>178</v>
      </c>
      <c r="J58" s="22">
        <f>J63*J64</f>
        <v>2997.3827759617848</v>
      </c>
      <c r="K58" s="22">
        <f t="shared" ref="K58:L58" si="27">K63*K64</f>
        <v>7736.6449430437133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>
        <v>1.1832</v>
      </c>
      <c r="K59" s="60">
        <v>1.53</v>
      </c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>
        <v>0.33300000000000002</v>
      </c>
      <c r="K60" s="51">
        <v>1</v>
      </c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 t="s">
        <v>47</v>
      </c>
      <c r="K61" s="51" t="s">
        <v>47</v>
      </c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>
        <v>916</v>
      </c>
      <c r="K62" s="51">
        <v>1174</v>
      </c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1733.593277016648</v>
      </c>
      <c r="K63" s="22">
        <f t="shared" ref="K63:L63" si="28">IFERROR(VLOOKUP(K61,$B$3:$D$8,3,FALSE)*K59*K60+K62,0)</f>
        <v>4348.8729303224918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1.7290000000000001</v>
      </c>
      <c r="K64" s="85">
        <f t="shared" ref="K64:L64" si="29">1+$D$20+K65+K66</f>
        <v>1.7790000000000001</v>
      </c>
      <c r="L64" s="85">
        <f t="shared" si="29"/>
        <v>1.7290000000000001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>
        <v>0.05</v>
      </c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1.9261430581823593</v>
      </c>
      <c r="W68" s="80">
        <f>($D$4+$C$4*W69+W70+1000)/($D$4+$C$4*W69+W70)</f>
        <v>1.9261430581823593</v>
      </c>
      <c r="X68" s="80">
        <f>($D$4+$C$4*X69+X70+1000)/($D$4+$C$4*X69+X70)</f>
        <v>1.9261430581823593</v>
      </c>
      <c r="Y68" s="80">
        <f>($D$4+$C$4*Y69+Y70+1000)/($D$4+$C$4*Y69+Y70)</f>
        <v>1.9261430581823593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1.9261430581823593</v>
      </c>
      <c r="Q69" s="80">
        <f>($D$4+$C$4*Q70+Q71+1000)/($D$4+$C$4*Q70+Q71)</f>
        <v>1.9261430581823593</v>
      </c>
      <c r="R69" s="80">
        <f>($D$4+$C$4*R70+R71+1000)/($D$4+$C$4*R70+R71)</f>
        <v>1.9261430581823593</v>
      </c>
      <c r="S69" s="80">
        <f>($D$4+$C$4*S70+S71+1000)/($D$4+$C$4*S70+S71)</f>
        <v>1.9261430581823593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I71" s="156" t="s">
        <v>576</v>
      </c>
      <c r="J71" s="45">
        <f>MIN(30000,$K$58*1)*0.9*J72*J73*J74</f>
        <v>16014.855032100486</v>
      </c>
      <c r="K71" s="45">
        <f>MIN(30000,$K$58*3)*0.9*K72*K73*K74</f>
        <v>104444.70673109013</v>
      </c>
      <c r="L71" s="45">
        <f>MIN(30000,$K$58*3)*0.9*L72*L73*L74</f>
        <v>57235.699288637399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I72" s="156" t="s">
        <v>575</v>
      </c>
      <c r="J72" s="45">
        <v>1</v>
      </c>
      <c r="K72">
        <v>2</v>
      </c>
      <c r="L72">
        <v>1</v>
      </c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  <c r="I73" s="156" t="s">
        <v>577</v>
      </c>
      <c r="J73" s="45">
        <v>1.1499999999999999</v>
      </c>
      <c r="K73">
        <v>1.25</v>
      </c>
      <c r="L73">
        <v>1.37</v>
      </c>
    </row>
    <row r="74" spans="1:25" x14ac:dyDescent="0.25">
      <c r="A74" s="1"/>
      <c r="B74" s="99" t="s">
        <v>152</v>
      </c>
      <c r="C74" s="7"/>
      <c r="D74" s="7"/>
      <c r="E74" s="24"/>
      <c r="I74" s="156" t="s">
        <v>138</v>
      </c>
      <c r="J74" s="45">
        <v>2</v>
      </c>
      <c r="K74">
        <v>2</v>
      </c>
      <c r="L74">
        <v>2</v>
      </c>
    </row>
    <row r="75" spans="1:25" x14ac:dyDescent="0.25">
      <c r="A75" s="1"/>
      <c r="B75" s="100" t="s">
        <v>49</v>
      </c>
      <c r="C75" s="7"/>
      <c r="D75" s="7"/>
      <c r="E75" s="24"/>
      <c r="I75" s="157" t="s">
        <v>534</v>
      </c>
      <c r="J75" s="45">
        <f>IF(J74&gt;1,J71/J74)</f>
        <v>8007.427516050243</v>
      </c>
      <c r="K75" s="45">
        <f t="shared" ref="K75:L75" si="33">IF(K74&gt;1,K71/K74)</f>
        <v>52222.353365545066</v>
      </c>
      <c r="L75" s="45">
        <f t="shared" si="33"/>
        <v>28617.8496443187</v>
      </c>
    </row>
    <row r="76" spans="1:25" x14ac:dyDescent="0.25">
      <c r="A76" s="1"/>
      <c r="B76" s="101" t="s">
        <v>48</v>
      </c>
      <c r="C76" s="7"/>
      <c r="D76" s="7"/>
      <c r="E76" s="24"/>
      <c r="I76" s="156" t="s">
        <v>578</v>
      </c>
      <c r="J76" s="158">
        <v>1</v>
      </c>
      <c r="K76" s="158">
        <v>1</v>
      </c>
      <c r="L76" s="158">
        <v>1</v>
      </c>
    </row>
    <row r="77" spans="1:25" x14ac:dyDescent="0.25">
      <c r="A77" s="1"/>
      <c r="B77" s="103" t="s">
        <v>11</v>
      </c>
      <c r="C77" s="7"/>
      <c r="D77" s="7"/>
      <c r="E77" s="24"/>
      <c r="I77" s="156" t="s">
        <v>579</v>
      </c>
      <c r="J77" s="45">
        <f>IF(J76=1,J75*3)</f>
        <v>24022.282548150728</v>
      </c>
      <c r="K77" s="45">
        <f t="shared" ref="K77:L77" si="34">IF(K76=1,K75*3)</f>
        <v>156667.06009663519</v>
      </c>
      <c r="L77" s="45">
        <f t="shared" si="34"/>
        <v>85853.548932956095</v>
      </c>
    </row>
    <row r="78" spans="1:25" x14ac:dyDescent="0.25">
      <c r="A78" s="1"/>
      <c r="B78" s="104" t="s">
        <v>148</v>
      </c>
      <c r="C78" s="7">
        <v>0.15</v>
      </c>
      <c r="D78" s="7"/>
      <c r="E78" s="24" t="s">
        <v>572</v>
      </c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5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5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5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6</v>
      </c>
      <c r="E90" s="70">
        <f t="shared" si="35"/>
        <v>8</v>
      </c>
      <c r="F90">
        <f>F86-D48*2</f>
        <v>6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5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5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5</v>
      </c>
      <c r="E93" s="70">
        <f t="shared" si="35"/>
        <v>7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5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5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9</v>
      </c>
      <c r="E96" s="70">
        <f t="shared" si="35"/>
        <v>11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SUM(J19:AC19)+SUM(Z61:Z61)+SUM(J71:L71)</f>
        <v>193644.05968771959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7225.5246152134177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SUM(J50:AD50,AA16:AD16,J75:L75)</f>
        <v>99221.678236883352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SUM(J52:AD52,AA4:AD4,J77:L77)</f>
        <v>289781.70419737941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6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7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8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9">20/16</f>
        <v>1.25</v>
      </c>
      <c r="V123" s="131">
        <f>30/22</f>
        <v>1.3636363636363635</v>
      </c>
      <c r="W123" s="131">
        <f t="shared" ref="W123:W129" si="40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1">21/16</f>
        <v>1.3125</v>
      </c>
      <c r="V124" s="129">
        <f>30/22</f>
        <v>1.3636363636363635</v>
      </c>
      <c r="W124" s="129">
        <f t="shared" si="40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1"/>
        <v>1.3125</v>
      </c>
      <c r="V125" s="131">
        <f t="shared" ref="V125:V129" si="42">30/22</f>
        <v>1.3636363636363635</v>
      </c>
      <c r="W125" s="131">
        <f t="shared" si="40"/>
        <v>1.3333333333333333</v>
      </c>
      <c r="X125" s="131">
        <f t="shared" ref="X125:X129" si="43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1"/>
        <v>1.3125</v>
      </c>
      <c r="V126" s="129">
        <f t="shared" si="42"/>
        <v>1.3636363636363635</v>
      </c>
      <c r="W126" s="129">
        <f t="shared" si="40"/>
        <v>1.3333333333333333</v>
      </c>
      <c r="X126" s="129">
        <f t="shared" si="43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1"/>
        <v>1.3125</v>
      </c>
      <c r="V127" s="131">
        <f t="shared" si="42"/>
        <v>1.3636363636363635</v>
      </c>
      <c r="W127" s="131">
        <f t="shared" si="40"/>
        <v>1.3333333333333333</v>
      </c>
      <c r="X127" s="131">
        <f t="shared" si="43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1"/>
        <v>1.3125</v>
      </c>
      <c r="V128" s="129">
        <f t="shared" si="42"/>
        <v>1.3636363636363635</v>
      </c>
      <c r="W128" s="129">
        <f t="shared" si="40"/>
        <v>1.3333333333333333</v>
      </c>
      <c r="X128" s="129">
        <f t="shared" si="43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1"/>
        <v>1.3125</v>
      </c>
      <c r="V129" s="131">
        <f t="shared" si="42"/>
        <v>1.3636363636363635</v>
      </c>
      <c r="W129" s="131">
        <f t="shared" si="40"/>
        <v>1.3333333333333333</v>
      </c>
      <c r="X129" s="131">
        <f t="shared" si="43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4">I178*2</f>
        <v>1.4918</v>
      </c>
      <c r="K178" s="121">
        <f t="shared" ref="K178" si="45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6">I181*2</f>
        <v>1.2786</v>
      </c>
      <c r="K181" s="121">
        <f t="shared" ref="K181" si="47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8">H184*2</f>
        <v>1.4918</v>
      </c>
      <c r="J184" s="121">
        <f t="shared" ref="J184" si="49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0">H187*2</f>
        <v>1.7902</v>
      </c>
      <c r="J187" s="121">
        <f t="shared" ref="J187" si="51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2">I196*2</f>
        <v>1.1366000000000001</v>
      </c>
      <c r="K196" s="121">
        <f t="shared" ref="K196" si="53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4">I208*2</f>
        <v>1.2786</v>
      </c>
      <c r="K208" s="121">
        <f t="shared" ref="K208" si="55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disablePrompts="1" count="2">
    <dataValidation type="list" allowBlank="1" showInputMessage="1" showErrorMessage="1" sqref="C1" xr:uid="{D874785B-B559-449C-A528-614BAB300185}">
      <formula1>$B$115:$B$155</formula1>
    </dataValidation>
    <dataValidation type="list" allowBlank="1" showInputMessage="1" showErrorMessage="1" sqref="D83:D84" xr:uid="{383434E5-0719-4773-9B22-260BDDBDFED8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8177C-D9BB-44AA-AF80-E564D9E5D632}">
  <sheetPr>
    <tabColor theme="7" tint="0.79998168889431442"/>
  </sheetPr>
  <dimension ref="A1:CG345"/>
  <sheetViews>
    <sheetView topLeftCell="A64" zoomScale="85" zoomScaleNormal="85" zoomScaleSheetLayoutView="40" workbookViewId="0">
      <pane xSplit="1" topLeftCell="B1" activePane="topRight" state="frozen"/>
      <selection activeCell="A153" sqref="A153"/>
      <selection pane="topRight" activeCell="F97" sqref="F9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34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343.06527699192651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1680.9002237693571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 t="s">
        <v>454</v>
      </c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753.13809909579913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886.52722338367835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13265.495995701463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19880.045595271611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0.72199999999999998</v>
      </c>
      <c r="E6" s="7">
        <v>0</v>
      </c>
      <c r="F6" s="1"/>
      <c r="J6"/>
      <c r="Z6" s="67" t="s">
        <v>83</v>
      </c>
      <c r="AA6" s="24">
        <v>0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0.88400000000000001</v>
      </c>
      <c r="D7" s="38">
        <f>C7+C31+C94*E94+C52+E7+C66</f>
        <v>1.8359999999999999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Charged Attack Spinning DMG</v>
      </c>
      <c r="P8" s="124" t="str">
        <f t="shared" si="2"/>
        <v>Charged Attack Final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1.18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1.6483401</v>
      </c>
      <c r="K9" s="134">
        <f t="shared" si="3"/>
        <v>1.7185135</v>
      </c>
      <c r="L9" s="134">
        <f t="shared" si="3"/>
        <v>1.0434159999999999</v>
      </c>
      <c r="M9" s="134">
        <f t="shared" si="3"/>
        <v>2.0691968000000003</v>
      </c>
      <c r="N9" s="134">
        <f t="shared" si="3"/>
        <v>1.3195171000000001</v>
      </c>
      <c r="O9" s="134">
        <f t="shared" si="3"/>
        <v>1.2638559999999999</v>
      </c>
      <c r="P9" s="134">
        <f t="shared" si="3"/>
        <v>2.285228</v>
      </c>
      <c r="Q9" s="134">
        <f t="shared" si="3"/>
        <v>1.3702182999999999</v>
      </c>
      <c r="R9" s="134">
        <f t="shared" si="3"/>
        <v>2.7404365999999998</v>
      </c>
      <c r="S9" s="134">
        <f t="shared" si="3"/>
        <v>3.4255457499999999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Press DMG</v>
      </c>
      <c r="K10" s="124" t="str">
        <f t="shared" si="5"/>
        <v>Hold DMG</v>
      </c>
      <c r="L10" s="124" t="str">
        <f t="shared" si="5"/>
        <v>Icewhirl Brand DMG</v>
      </c>
      <c r="M10" s="124" t="str">
        <f t="shared" si="5"/>
        <v>RES Decrease</v>
      </c>
      <c r="N10" s="124" t="str">
        <f t="shared" si="5"/>
        <v>DEF Bonus</v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2.4887999999999999</v>
      </c>
      <c r="K11" s="134">
        <f t="shared" si="7"/>
        <v>4.1752000000000002</v>
      </c>
      <c r="L11" s="134">
        <f t="shared" si="7"/>
        <v>1.6319999999999999</v>
      </c>
      <c r="M11" s="134">
        <f t="shared" si="7"/>
        <v>0.2</v>
      </c>
      <c r="N11" s="134">
        <f t="shared" si="7"/>
        <v>0.3</v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0.83299999999999996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Lightfall Sword Base DMG</v>
      </c>
      <c r="L12" s="124" t="str">
        <f t="shared" si="9"/>
        <v>DMG Per Stack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4.5116719999999999</v>
      </c>
      <c r="K13" s="134">
        <f t="shared" ref="K13:X13" si="11">IFERROR(INDEX($A$167:$AU$295,MATCH($C$1,$A$167:$A$295,0)+2,K7+32)*HLOOKUP(INDEX($A$167:$AU$295,MATCH($C$1,$A$167:$A$295,0)+1,K7+32),$H$114:$AU$129,$H13+1,FALSE),"")</f>
        <v>6.7427085</v>
      </c>
      <c r="L13" s="134">
        <f t="shared" si="11"/>
        <v>1.3775663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450</v>
      </c>
      <c r="M18" s="23" t="s">
        <v>451</v>
      </c>
      <c r="N18" s="23" t="s">
        <v>455</v>
      </c>
      <c r="O18" s="23" t="s">
        <v>450</v>
      </c>
      <c r="P18" s="23" t="s">
        <v>452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1.5219999999999998</v>
      </c>
      <c r="E19" s="13">
        <v>1.51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13341.141472754109</v>
      </c>
      <c r="K19" s="22">
        <f t="shared" si="13"/>
        <v>28049.940199918572</v>
      </c>
      <c r="L19" s="22">
        <f t="shared" si="13"/>
        <v>49760.511595876589</v>
      </c>
      <c r="M19" s="22">
        <f t="shared" si="13"/>
        <v>49375.990604059174</v>
      </c>
      <c r="N19" s="22">
        <f t="shared" si="13"/>
        <v>58751.209407998118</v>
      </c>
      <c r="O19" s="22">
        <f t="shared" si="13"/>
        <v>59265.074724948034</v>
      </c>
      <c r="P19" s="22">
        <f t="shared" si="13"/>
        <v>429605.0412884634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134">
        <f>J11</f>
        <v>2.4887999999999999</v>
      </c>
      <c r="K20" s="60">
        <v>4.1752000000000002</v>
      </c>
      <c r="L20" s="60">
        <f>SUM(164.86%,171.87%,104.35*2%,206.95%)</f>
        <v>7.5237999999999996</v>
      </c>
      <c r="M20" s="60">
        <f>SUM(417.52,163.2*2)%</f>
        <v>7.4391999999999996</v>
      </c>
      <c r="N20">
        <f>674.34%/2</f>
        <v>3.3717000000000001</v>
      </c>
      <c r="O20" s="30">
        <f>SUM(164.86%,171.87%,104.35*2%,206.95%)</f>
        <v>7.5237999999999996</v>
      </c>
      <c r="P20" s="30">
        <f>SUM(674.34,137.78*13)%</f>
        <v>24.654800000000002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>
        <v>1</v>
      </c>
      <c r="N21" s="24">
        <v>1</v>
      </c>
      <c r="O21" s="24">
        <v>1</v>
      </c>
      <c r="P21" s="24">
        <v>1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51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103</v>
      </c>
      <c r="M23" s="51" t="s">
        <v>91</v>
      </c>
      <c r="N23" s="24" t="s">
        <v>103</v>
      </c>
      <c r="O23" s="24" t="s">
        <v>103</v>
      </c>
      <c r="P23" s="24" t="s">
        <v>103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93</v>
      </c>
      <c r="M24" s="51" t="s">
        <v>105</v>
      </c>
      <c r="N24" s="24" t="s">
        <v>72</v>
      </c>
      <c r="O24" s="24" t="s">
        <v>93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>
        <v>0</v>
      </c>
      <c r="K26" s="60">
        <v>0</v>
      </c>
      <c r="L26" s="60">
        <v>0.6</v>
      </c>
      <c r="M26" s="60">
        <v>0.24</v>
      </c>
      <c r="N26" s="30">
        <v>0.84</v>
      </c>
      <c r="O26" s="30">
        <v>0.84</v>
      </c>
      <c r="P26" s="30">
        <v>0.84</v>
      </c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1851.5132791677424</v>
      </c>
      <c r="K29" s="34">
        <f t="shared" si="14"/>
        <v>1928.2891540970159</v>
      </c>
      <c r="L29" s="34">
        <f t="shared" si="14"/>
        <v>1928.2891540970159</v>
      </c>
      <c r="M29" s="34">
        <f t="shared" si="14"/>
        <v>1928.2891540970159</v>
      </c>
      <c r="N29" s="34">
        <f t="shared" si="14"/>
        <v>2005.0650290262893</v>
      </c>
      <c r="O29" s="34">
        <f t="shared" si="14"/>
        <v>2005.0650290262893</v>
      </c>
      <c r="P29" s="34">
        <f t="shared" si="14"/>
        <v>2005.0650290262893</v>
      </c>
      <c r="Q29" s="34">
        <f t="shared" si="14"/>
        <v>1680.9002237693571</v>
      </c>
      <c r="R29" s="34">
        <f t="shared" si="14"/>
        <v>1680.9002237693571</v>
      </c>
      <c r="S29" s="34">
        <f t="shared" si="14"/>
        <v>1680.9002237693571</v>
      </c>
      <c r="T29" s="34">
        <f t="shared" si="14"/>
        <v>1680.9002237693571</v>
      </c>
      <c r="U29" s="34">
        <f t="shared" si="14"/>
        <v>1680.9002237693571</v>
      </c>
      <c r="V29" s="34">
        <f t="shared" si="14"/>
        <v>1680.9002237693571</v>
      </c>
      <c r="W29" s="34">
        <f t="shared" si="14"/>
        <v>1680.9002237693571</v>
      </c>
      <c r="X29" s="34">
        <f t="shared" si="14"/>
        <v>1680.9002237693571</v>
      </c>
      <c r="Y29" s="34">
        <f t="shared" si="14"/>
        <v>1680.9002237693571</v>
      </c>
      <c r="Z29" s="34">
        <f t="shared" si="14"/>
        <v>1680.9002237693571</v>
      </c>
      <c r="AA29" s="34">
        <f t="shared" si="14"/>
        <v>1680.9002237693571</v>
      </c>
      <c r="AB29" s="34">
        <f t="shared" si="14"/>
        <v>1680.9002237693571</v>
      </c>
      <c r="AC29" s="34">
        <f t="shared" si="14"/>
        <v>1680.9002237693571</v>
      </c>
      <c r="AD29" s="34">
        <f t="shared" si="14"/>
        <v>1680.9002237693571</v>
      </c>
    </row>
    <row r="30" spans="1:30" x14ac:dyDescent="0.25">
      <c r="A30" s="1"/>
      <c r="B30" s="90" t="s">
        <v>60</v>
      </c>
      <c r="C30" s="7">
        <v>0.27600000000000002</v>
      </c>
      <c r="D30" s="7"/>
      <c r="E30" s="12"/>
      <c r="H30" s="65"/>
      <c r="I30" s="32" t="s">
        <v>110</v>
      </c>
      <c r="J30" s="34">
        <f t="shared" ref="J30:AD30" si="15">($D$4+$C$4*J40+J41)</f>
        <v>886.52722338367835</v>
      </c>
      <c r="K30" s="34">
        <f t="shared" si="15"/>
        <v>886.52722338367835</v>
      </c>
      <c r="L30" s="34">
        <f t="shared" si="15"/>
        <v>886.52722338367835</v>
      </c>
      <c r="M30" s="34">
        <f t="shared" si="15"/>
        <v>886.52722338367835</v>
      </c>
      <c r="N30" s="34">
        <f t="shared" si="15"/>
        <v>886.52722338367835</v>
      </c>
      <c r="O30" s="34">
        <f t="shared" si="15"/>
        <v>886.52722338367835</v>
      </c>
      <c r="P30" s="34">
        <f t="shared" si="15"/>
        <v>886.52722338367835</v>
      </c>
      <c r="Q30" s="34">
        <f t="shared" si="15"/>
        <v>886.52722338367835</v>
      </c>
      <c r="R30" s="34">
        <f t="shared" si="15"/>
        <v>886.52722338367835</v>
      </c>
      <c r="S30" s="34">
        <f t="shared" si="15"/>
        <v>886.52722338367835</v>
      </c>
      <c r="T30" s="34">
        <f t="shared" si="15"/>
        <v>886.52722338367835</v>
      </c>
      <c r="U30" s="34">
        <f t="shared" si="15"/>
        <v>886.52722338367835</v>
      </c>
      <c r="V30" s="34">
        <f t="shared" si="15"/>
        <v>886.52722338367835</v>
      </c>
      <c r="W30" s="34">
        <f t="shared" si="15"/>
        <v>886.52722338367835</v>
      </c>
      <c r="X30" s="34">
        <f t="shared" si="15"/>
        <v>886.52722338367835</v>
      </c>
      <c r="Y30" s="34">
        <f t="shared" si="15"/>
        <v>886.52722338367835</v>
      </c>
      <c r="Z30" s="34">
        <f t="shared" si="15"/>
        <v>886.52722338367835</v>
      </c>
      <c r="AA30" s="34">
        <f t="shared" si="15"/>
        <v>886.52722338367835</v>
      </c>
      <c r="AB30" s="34">
        <f t="shared" si="15"/>
        <v>886.52722338367835</v>
      </c>
      <c r="AC30" s="34">
        <f t="shared" si="15"/>
        <v>886.52722338367835</v>
      </c>
      <c r="AD30" s="34">
        <f t="shared" si="15"/>
        <v>886.52722338367835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19880.045595271611</v>
      </c>
      <c r="K31" s="34">
        <f t="shared" si="16"/>
        <v>19880.045595271611</v>
      </c>
      <c r="L31" s="34">
        <f t="shared" si="16"/>
        <v>19880.045595271611</v>
      </c>
      <c r="M31" s="34">
        <f t="shared" si="16"/>
        <v>19880.045595271611</v>
      </c>
      <c r="N31" s="34">
        <f t="shared" si="16"/>
        <v>19880.045595271611</v>
      </c>
      <c r="O31" s="34">
        <f t="shared" si="16"/>
        <v>19880.045595271611</v>
      </c>
      <c r="P31" s="34">
        <f t="shared" si="16"/>
        <v>19880.045595271611</v>
      </c>
      <c r="Q31" s="34">
        <f t="shared" si="16"/>
        <v>19880.045595271611</v>
      </c>
      <c r="R31" s="34">
        <f t="shared" si="16"/>
        <v>19880.045595271611</v>
      </c>
      <c r="S31" s="34">
        <f t="shared" si="16"/>
        <v>19880.045595271611</v>
      </c>
      <c r="T31" s="34">
        <f t="shared" si="16"/>
        <v>19880.045595271611</v>
      </c>
      <c r="U31" s="34">
        <f t="shared" si="16"/>
        <v>19880.045595271611</v>
      </c>
      <c r="V31" s="34">
        <f t="shared" si="16"/>
        <v>19880.045595271611</v>
      </c>
      <c r="W31" s="34">
        <f t="shared" si="16"/>
        <v>19880.045595271611</v>
      </c>
      <c r="X31" s="34">
        <f t="shared" si="16"/>
        <v>19880.045595271611</v>
      </c>
      <c r="Y31" s="34">
        <f t="shared" si="16"/>
        <v>19880.045595271611</v>
      </c>
      <c r="Z31" s="34">
        <f t="shared" si="16"/>
        <v>19880.045595271611</v>
      </c>
      <c r="AA31" s="34">
        <f t="shared" si="16"/>
        <v>19880.045595271611</v>
      </c>
      <c r="AB31" s="34">
        <f t="shared" si="16"/>
        <v>19880.045595271611</v>
      </c>
      <c r="AC31" s="34">
        <f t="shared" si="16"/>
        <v>19880.045595271611</v>
      </c>
      <c r="AD31" s="34">
        <f t="shared" si="16"/>
        <v>19880.045595271611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>($D$9+VLOOKUP(J23,$B$10:$D$12,3,FALSE)+VLOOKUP(J24,$B$13:$D$18,3,FALSE)+J47)</f>
        <v>1.18</v>
      </c>
      <c r="K32" s="33">
        <f t="shared" ref="K32:AD32" si="17">($D$9+VLOOKUP(K23,$B$10:$D$12,3,FALSE)+VLOOKUP(K24,$B$13:$D$18,3,FALSE)+K47)</f>
        <v>1.42</v>
      </c>
      <c r="L32" s="33">
        <f t="shared" si="17"/>
        <v>2.0129999999999999</v>
      </c>
      <c r="M32" s="33">
        <f t="shared" si="17"/>
        <v>1.18</v>
      </c>
      <c r="N32" s="33">
        <f t="shared" si="17"/>
        <v>2.5030000000000001</v>
      </c>
      <c r="O32" s="33">
        <f t="shared" si="17"/>
        <v>2.2629999999999999</v>
      </c>
      <c r="P32" s="33">
        <f t="shared" si="17"/>
        <v>2.5030000000000001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>
        <v>0.18</v>
      </c>
      <c r="D33" s="7"/>
      <c r="E33" s="12"/>
      <c r="H33" s="65"/>
      <c r="I33" s="32" t="s">
        <v>113</v>
      </c>
      <c r="J33" s="33">
        <f>IF($D$6+J44&lt;0,0,IF($D$6+J44&gt;1,1,$D$6+J44))</f>
        <v>0.97924999999999995</v>
      </c>
      <c r="K33" s="33">
        <f t="shared" ref="K33:AD33" si="18">IF($D$6+K44&lt;0,0,IF($D$6+K44&gt;1,1,$D$6+K44))</f>
        <v>0.97924999999999995</v>
      </c>
      <c r="L33" s="33">
        <f t="shared" si="18"/>
        <v>0.97924999999999995</v>
      </c>
      <c r="M33" s="33">
        <f t="shared" si="18"/>
        <v>0.97924999999999995</v>
      </c>
      <c r="N33" s="33">
        <f t="shared" si="18"/>
        <v>0.872</v>
      </c>
      <c r="O33" s="33">
        <f t="shared" si="18"/>
        <v>0.872</v>
      </c>
      <c r="P33" s="33">
        <f t="shared" si="18"/>
        <v>0.872</v>
      </c>
      <c r="Q33" s="33">
        <f t="shared" si="18"/>
        <v>0.72199999999999998</v>
      </c>
      <c r="R33" s="33">
        <f t="shared" si="18"/>
        <v>0.72199999999999998</v>
      </c>
      <c r="S33" s="33">
        <f t="shared" si="18"/>
        <v>0.72199999999999998</v>
      </c>
      <c r="T33" s="33">
        <f t="shared" si="18"/>
        <v>0.72199999999999998</v>
      </c>
      <c r="U33" s="33">
        <f t="shared" si="18"/>
        <v>0.72199999999999998</v>
      </c>
      <c r="V33" s="33">
        <f t="shared" si="18"/>
        <v>0.72199999999999998</v>
      </c>
      <c r="W33" s="33">
        <f t="shared" si="18"/>
        <v>0.72199999999999998</v>
      </c>
      <c r="X33" s="33">
        <f t="shared" si="18"/>
        <v>0.72199999999999998</v>
      </c>
      <c r="Y33" s="33">
        <f t="shared" si="18"/>
        <v>0.72199999999999998</v>
      </c>
      <c r="Z33" s="33">
        <f t="shared" si="18"/>
        <v>0.72199999999999998</v>
      </c>
      <c r="AA33" s="33">
        <f t="shared" si="18"/>
        <v>0.72199999999999998</v>
      </c>
      <c r="AB33" s="33">
        <f t="shared" si="18"/>
        <v>0.72199999999999998</v>
      </c>
      <c r="AC33" s="33">
        <f t="shared" si="18"/>
        <v>0.72199999999999998</v>
      </c>
      <c r="AD33" s="33">
        <f t="shared" si="18"/>
        <v>0.72199999999999998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1.8359999999999999</v>
      </c>
      <c r="K34" s="33">
        <f t="shared" si="19"/>
        <v>1.8359999999999999</v>
      </c>
      <c r="L34" s="33">
        <f t="shared" si="19"/>
        <v>1.8359999999999999</v>
      </c>
      <c r="M34" s="33">
        <f t="shared" si="19"/>
        <v>1.8359999999999999</v>
      </c>
      <c r="N34" s="33">
        <f t="shared" si="19"/>
        <v>1.8359999999999999</v>
      </c>
      <c r="O34" s="33">
        <f t="shared" si="19"/>
        <v>1.8359999999999999</v>
      </c>
      <c r="P34" s="33">
        <f t="shared" si="19"/>
        <v>1.8359999999999999</v>
      </c>
      <c r="Q34" s="33">
        <f t="shared" si="19"/>
        <v>1.8359999999999999</v>
      </c>
      <c r="R34" s="33">
        <f t="shared" si="19"/>
        <v>1.8359999999999999</v>
      </c>
      <c r="S34" s="33">
        <f t="shared" si="19"/>
        <v>1.8359999999999999</v>
      </c>
      <c r="T34" s="33">
        <f t="shared" si="19"/>
        <v>1.8359999999999999</v>
      </c>
      <c r="U34" s="33">
        <f t="shared" si="19"/>
        <v>1.8359999999999999</v>
      </c>
      <c r="V34" s="33">
        <f t="shared" si="19"/>
        <v>1.8359999999999999</v>
      </c>
      <c r="W34" s="33">
        <f t="shared" si="19"/>
        <v>1.8359999999999999</v>
      </c>
      <c r="X34" s="33">
        <f t="shared" si="19"/>
        <v>1.8359999999999999</v>
      </c>
      <c r="Y34" s="33">
        <f t="shared" si="19"/>
        <v>1.8359999999999999</v>
      </c>
      <c r="Z34" s="33">
        <f t="shared" si="19"/>
        <v>1.8359999999999999</v>
      </c>
      <c r="AA34" s="33">
        <f t="shared" si="19"/>
        <v>1.8359999999999999</v>
      </c>
      <c r="AB34" s="33">
        <f t="shared" si="19"/>
        <v>1.8359999999999999</v>
      </c>
      <c r="AC34" s="33">
        <f t="shared" si="19"/>
        <v>1.8359999999999999</v>
      </c>
      <c r="AD34" s="33">
        <f t="shared" si="19"/>
        <v>1.8359999999999999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-0.25</v>
      </c>
      <c r="M37" s="61">
        <f t="shared" si="22"/>
        <v>-6.9999999999999993E-2</v>
      </c>
      <c r="N37" s="61">
        <f t="shared" si="22"/>
        <v>-0.37</v>
      </c>
      <c r="O37" s="61">
        <f t="shared" si="22"/>
        <v>-0.37</v>
      </c>
      <c r="P37" s="61">
        <f t="shared" si="22"/>
        <v>-0.37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>
        <v>0.2</v>
      </c>
      <c r="K38" s="30">
        <v>0.28999999999999998</v>
      </c>
      <c r="L38" s="30">
        <v>0.28999999999999998</v>
      </c>
      <c r="M38" s="30">
        <v>0.28999999999999998</v>
      </c>
      <c r="N38" s="30">
        <v>0.38</v>
      </c>
      <c r="O38" s="30">
        <v>0.38</v>
      </c>
      <c r="P38" s="30">
        <v>0.38</v>
      </c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>
        <f>15%+15%*'7-Rosaria'!$D$6</f>
        <v>0.25724999999999998</v>
      </c>
      <c r="K44" s="30">
        <f>15%+15%*'7-Rosaria'!$D$6</f>
        <v>0.25724999999999998</v>
      </c>
      <c r="L44" s="30">
        <f>15%+15%*'7-Rosaria'!$D$6</f>
        <v>0.25724999999999998</v>
      </c>
      <c r="M44" s="30">
        <f>15%+15%*'7-Rosaria'!$D$6</f>
        <v>0.25724999999999998</v>
      </c>
      <c r="N44" s="30">
        <v>0.15</v>
      </c>
      <c r="O44" s="30">
        <v>0.15</v>
      </c>
      <c r="P44" s="30">
        <v>0.15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>
        <v>0.25</v>
      </c>
      <c r="O47" s="30">
        <v>0.25</v>
      </c>
      <c r="P47" s="30">
        <v>0.25</v>
      </c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>
        <v>1</v>
      </c>
      <c r="M49" s="51">
        <v>2</v>
      </c>
      <c r="N49" s="51">
        <v>2</v>
      </c>
      <c r="O49" s="51">
        <v>1</v>
      </c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6670.5707363770543</v>
      </c>
      <c r="K50" s="22">
        <f t="shared" ref="K50:AD50" si="23">IF(K49&gt;1,K19/K49,K19)</f>
        <v>14024.970099959286</v>
      </c>
      <c r="L50" s="22">
        <f t="shared" si="23"/>
        <v>49760.511595876589</v>
      </c>
      <c r="M50" s="22">
        <f t="shared" si="23"/>
        <v>24687.995302029587</v>
      </c>
      <c r="N50" s="22">
        <f t="shared" si="23"/>
        <v>29375.604703999059</v>
      </c>
      <c r="O50" s="22">
        <f t="shared" si="23"/>
        <v>59265.074724948034</v>
      </c>
      <c r="P50" s="22">
        <f t="shared" si="23"/>
        <v>214802.5206442317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1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13341.141472754109</v>
      </c>
      <c r="K52" s="22">
        <f t="shared" ref="K52:AD52" si="25">IF(K51=0,K19,K50*3)</f>
        <v>42074.910299877854</v>
      </c>
      <c r="L52" s="22">
        <f t="shared" si="25"/>
        <v>49760.511595876589</v>
      </c>
      <c r="M52" s="22">
        <f t="shared" si="25"/>
        <v>74063.985906088754</v>
      </c>
      <c r="N52" s="22">
        <f t="shared" si="25"/>
        <v>88126.81411199717</v>
      </c>
      <c r="O52" s="22">
        <f t="shared" si="25"/>
        <v>59265.074724948034</v>
      </c>
      <c r="P52" s="22">
        <f t="shared" si="25"/>
        <v>644407.5619326951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0.58299999999999996</v>
      </c>
      <c r="D56" s="8">
        <v>1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2.1279969454104535</v>
      </c>
      <c r="W68" s="80">
        <f>($D$4+$C$4*W69+W70+1000)/($D$4+$C$4*W69+W70)</f>
        <v>2.1279969454104535</v>
      </c>
      <c r="X68" s="80">
        <f>($D$4+$C$4*X69+X70+1000)/($D$4+$C$4*X69+X70)</f>
        <v>2.1279969454104535</v>
      </c>
      <c r="Y68" s="80">
        <f>($D$4+$C$4*Y69+Y70+1000)/($D$4+$C$4*Y69+Y70)</f>
        <v>2.1279969454104535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2.1279969454104535</v>
      </c>
      <c r="Q69" s="80">
        <f>($D$4+$C$4*Q70+Q71+1000)/($D$4+$C$4*Q70+Q71)</f>
        <v>2.1279969454104535</v>
      </c>
      <c r="R69" s="80">
        <f>($D$4+$C$4*R70+R71+1000)/($D$4+$C$4*R70+R71)</f>
        <v>2.1279969454104535</v>
      </c>
      <c r="S69" s="80">
        <f>($D$4+$C$4*S70+S71+1000)/($D$4+$C$4*S70+S71)</f>
        <v>2.1279969454104535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>
        <v>0.25</v>
      </c>
      <c r="D71" s="7"/>
      <c r="E71" s="24" t="s">
        <v>447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7" x14ac:dyDescent="0.25">
      <c r="A81" s="1"/>
      <c r="B81" s="18" t="s">
        <v>73</v>
      </c>
      <c r="C81" s="7"/>
      <c r="E81" s="24"/>
    </row>
    <row r="82" spans="1:7" x14ac:dyDescent="0.25">
      <c r="A82" s="1"/>
      <c r="B82" s="18" t="s">
        <v>74</v>
      </c>
      <c r="C82" s="7"/>
      <c r="E82" s="24"/>
    </row>
    <row r="83" spans="1:7" x14ac:dyDescent="0.25">
      <c r="A83" s="1"/>
      <c r="B83" s="18" t="s">
        <v>75</v>
      </c>
      <c r="C83" s="7"/>
      <c r="D83" s="7"/>
      <c r="E83" s="24"/>
    </row>
    <row r="84" spans="1:7" x14ac:dyDescent="0.25">
      <c r="A84" s="1"/>
      <c r="B84" s="18" t="s">
        <v>76</v>
      </c>
      <c r="C84" s="7"/>
      <c r="D84" s="7"/>
      <c r="E84" s="24"/>
    </row>
    <row r="85" spans="1:7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7" x14ac:dyDescent="0.25">
      <c r="A86" s="1"/>
      <c r="B86" s="19" t="s">
        <v>55</v>
      </c>
      <c r="C86" s="71">
        <f>SUM(D90:D96)</f>
        <v>20</v>
      </c>
      <c r="D86" s="24">
        <v>20</v>
      </c>
      <c r="E86" s="141">
        <v>2</v>
      </c>
      <c r="F86">
        <v>10</v>
      </c>
      <c r="G86" s="142"/>
    </row>
    <row r="87" spans="1:7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7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7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7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7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7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7" x14ac:dyDescent="0.25">
      <c r="A93" s="1"/>
      <c r="B93" s="90" t="s">
        <v>3</v>
      </c>
      <c r="C93" s="37">
        <v>3.3000000000000002E-2</v>
      </c>
      <c r="D93" s="35">
        <v>10</v>
      </c>
      <c r="E93" s="70">
        <f t="shared" si="33"/>
        <v>12</v>
      </c>
      <c r="F93">
        <f>F86-D51*2</f>
        <v>10</v>
      </c>
    </row>
    <row r="94" spans="1:7" x14ac:dyDescent="0.25">
      <c r="A94" s="1"/>
      <c r="B94" s="91" t="s">
        <v>2</v>
      </c>
      <c r="C94" s="37">
        <v>6.6000000000000003E-2</v>
      </c>
      <c r="D94" s="43">
        <v>3</v>
      </c>
      <c r="E94" s="70">
        <f t="shared" si="33"/>
        <v>5</v>
      </c>
      <c r="F94">
        <f>F86-D52*2</f>
        <v>8</v>
      </c>
    </row>
    <row r="95" spans="1:7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7" x14ac:dyDescent="0.25">
      <c r="A96" s="1"/>
      <c r="B96" s="105" t="s">
        <v>11</v>
      </c>
      <c r="C96" s="44">
        <v>5.8000000000000003E-2</v>
      </c>
      <c r="D96" s="43">
        <v>6.9999999999999982</v>
      </c>
      <c r="E96" s="70">
        <f t="shared" si="33"/>
        <v>8.9999999999999982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688148.90929401806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25677.198107985747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398587.24780742131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971040.00004423759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C514E55E-5B1B-4B47-980F-0DB476933111}">
      <formula1>$B$115:$B$155</formula1>
    </dataValidation>
    <dataValidation type="list" allowBlank="1" showInputMessage="1" showErrorMessage="1" sqref="D83:D84" xr:uid="{54B7836A-280E-4121-A965-5CB00F328265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3E97D-11D0-4FA0-B252-730E859F0F4F}">
  <sheetPr>
    <tabColor theme="7" tint="0.79998168889431442"/>
  </sheetPr>
  <dimension ref="A1:CG345"/>
  <sheetViews>
    <sheetView topLeftCell="A61" zoomScale="79" zoomScaleNormal="79" zoomScaleSheetLayoutView="40" workbookViewId="0">
      <pane xSplit="1" topLeftCell="B1" activePane="topRight" state="frozen"/>
      <selection activeCell="A153" sqref="A153"/>
      <selection pane="topRight" activeCell="D2" sqref="D2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1843.0398003585185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4288.1576470588234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0.625</v>
      </c>
      <c r="E6" s="7">
        <v>0</v>
      </c>
      <c r="F6" s="1"/>
      <c r="J6"/>
      <c r="Z6" s="67" t="s">
        <v>83</v>
      </c>
      <c r="AA6" s="24">
        <v>5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1.292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High Plunge DMG</v>
      </c>
      <c r="S8" s="124" t="str">
        <f t="shared" si="2"/>
        <v/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6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0.57611450000000008</v>
      </c>
      <c r="K9" s="134">
        <f t="shared" si="3"/>
        <v>0.57727689999999998</v>
      </c>
      <c r="L9" s="134">
        <f t="shared" si="3"/>
        <v>0.72475640000000008</v>
      </c>
      <c r="M9" s="134">
        <f t="shared" si="3"/>
        <v>0.42107940000000005</v>
      </c>
      <c r="N9" s="134">
        <f t="shared" si="3"/>
        <v>0.95098850000000001</v>
      </c>
      <c r="O9" s="134">
        <f t="shared" si="3"/>
        <v>1.4470427000000001</v>
      </c>
      <c r="P9" s="134">
        <f t="shared" si="3"/>
        <v>0.92890289999999998</v>
      </c>
      <c r="Q9" s="134">
        <f t="shared" si="3"/>
        <v>1.8578058</v>
      </c>
      <c r="R9" s="134">
        <f t="shared" si="3"/>
        <v>2.3222572499999998</v>
      </c>
      <c r="S9" s="134" t="str">
        <f t="shared" si="3"/>
        <v/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Coordinated ATK DMG</v>
      </c>
      <c r="L10" s="124" t="str">
        <f t="shared" si="5"/>
        <v>Elemental Burst DMG Bonus</v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1.9923999999999997</v>
      </c>
      <c r="K11" s="134">
        <f t="shared" si="7"/>
        <v>0.71399999999999997</v>
      </c>
      <c r="L11" s="134">
        <f t="shared" si="7"/>
        <v>0.3</v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Musou no Hitotachi Base DMG</v>
      </c>
      <c r="K12" s="124" t="str">
        <f t="shared" si="9"/>
        <v>Resolve Bonus (initial)</v>
      </c>
      <c r="L12" s="124" t="str">
        <f t="shared" si="9"/>
        <v>Resolve Bonus (ATK DMG Per Stack)</v>
      </c>
      <c r="M12" s="124" t="str">
        <f t="shared" si="9"/>
        <v>1-Hit DMG</v>
      </c>
      <c r="N12" s="124" t="str">
        <f t="shared" si="9"/>
        <v>2-Hit DMG</v>
      </c>
      <c r="O12" s="124" t="str">
        <f t="shared" si="9"/>
        <v>3-Hit DMG</v>
      </c>
      <c r="P12" s="124" t="str">
        <f t="shared" si="9"/>
        <v>4-Hit DMG (1/2)</v>
      </c>
      <c r="Q12" s="124" t="str">
        <f t="shared" si="9"/>
        <v>4-Hit DMG(2/2)</v>
      </c>
      <c r="R12" s="124" t="str">
        <f t="shared" si="9"/>
        <v>5-Hit DMG</v>
      </c>
      <c r="S12" s="124" t="str">
        <f t="shared" si="9"/>
        <v>Charged Attack DMG (1/2)</v>
      </c>
      <c r="T12" s="124" t="str">
        <f t="shared" si="9"/>
        <v>Charged Attack DMG (2/2)</v>
      </c>
      <c r="U12" s="124" t="str">
        <f t="shared" si="9"/>
        <v>Plunge DMG</v>
      </c>
      <c r="V12" s="124" t="str">
        <f t="shared" si="9"/>
        <v>Low Plunge DMG</v>
      </c>
      <c r="W12" s="124" t="str">
        <f t="shared" si="9"/>
        <v>High Plunge DMG</v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1">IFERROR(INDEX($A$167:$AU$295,MATCH($C$1,$A$167:$A$295,0)+2,K7+32)*HLOOKUP(INDEX($A$167:$AU$295,MATCH($C$1,$A$167:$A$295,0)+1,K7+32),$H$114:$AU$129,$H13+1,FALSE),"")</f>
        <v>6.6129999999999994E-2</v>
      </c>
      <c r="L13" s="134">
        <f t="shared" si="11"/>
        <v>1.2409999999999999E-2</v>
      </c>
      <c r="M13" s="134">
        <f t="shared" si="11"/>
        <v>0.76058000000000003</v>
      </c>
      <c r="N13" s="134">
        <f t="shared" si="11"/>
        <v>0.74731999999999998</v>
      </c>
      <c r="O13" s="134">
        <f t="shared" si="11"/>
        <v>0.91493999999999998</v>
      </c>
      <c r="P13" s="134">
        <f t="shared" si="11"/>
        <v>0.52512999999999999</v>
      </c>
      <c r="Q13" s="134">
        <f t="shared" si="11"/>
        <v>0.52666000000000002</v>
      </c>
      <c r="R13" s="134">
        <f t="shared" si="11"/>
        <v>1.25698</v>
      </c>
      <c r="S13" s="134">
        <f t="shared" si="11"/>
        <v>1.0471999999999999</v>
      </c>
      <c r="T13" s="134">
        <f t="shared" si="11"/>
        <v>1.2641200000000001</v>
      </c>
      <c r="U13" s="134">
        <f t="shared" si="11"/>
        <v>1.0868099999999998</v>
      </c>
      <c r="V13" s="134">
        <f t="shared" si="11"/>
        <v>2.1736199999999997</v>
      </c>
      <c r="W13" s="134">
        <f t="shared" si="11"/>
        <v>2.717025</v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4288.1576470588234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1.1817500000000001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456</v>
      </c>
      <c r="K18" s="23" t="s">
        <v>457</v>
      </c>
      <c r="L18" s="23" t="s">
        <v>450</v>
      </c>
      <c r="M18" s="23" t="s">
        <v>461</v>
      </c>
      <c r="N18" s="23" t="s">
        <v>459</v>
      </c>
      <c r="O18" s="23" t="s">
        <v>460</v>
      </c>
      <c r="P18" s="23" t="s">
        <v>462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2.367</v>
      </c>
      <c r="E19" s="13">
        <f>Main!C103</f>
        <v>2.11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8532.6714260177068</v>
      </c>
      <c r="K19" s="22">
        <f t="shared" si="13"/>
        <v>98863.783050996732</v>
      </c>
      <c r="L19" s="22">
        <f t="shared" si="13"/>
        <v>59858.087880894476</v>
      </c>
      <c r="M19" s="22">
        <f t="shared" si="13"/>
        <v>12461.826711292375</v>
      </c>
      <c r="N19" s="22">
        <f t="shared" si="13"/>
        <v>16696.274551523351</v>
      </c>
      <c r="O19" s="22">
        <f t="shared" si="13"/>
        <v>18346.699653212137</v>
      </c>
      <c r="P19" s="22">
        <f t="shared" si="13"/>
        <v>94798.401153570827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v>1.9923999999999999</v>
      </c>
      <c r="K20" s="60">
        <f>681.36%+6.61%*60</f>
        <v>10.7796</v>
      </c>
      <c r="L20" s="60">
        <f>SUM(75.24%,73.93%,90.52%,51.95%,52.1%,1.23%*60*5)</f>
        <v>7.1273999999999997</v>
      </c>
      <c r="M20" s="60">
        <f>SUM(75.24%,73.93%,1.23%*120)</f>
        <v>2.9676999999999998</v>
      </c>
      <c r="N20" s="30">
        <v>0.71399999999999997</v>
      </c>
      <c r="O20" s="30">
        <v>0.71399999999999997</v>
      </c>
      <c r="P20" s="30">
        <f>SUM(103.6%,125.06%,1.23%*120)</f>
        <v>3.7625999999999999</v>
      </c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2</v>
      </c>
      <c r="M21" s="51">
        <v>1</v>
      </c>
      <c r="N21" s="24">
        <v>10</v>
      </c>
      <c r="O21" s="24">
        <v>12</v>
      </c>
      <c r="P21" s="24">
        <v>3</v>
      </c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51" t="s">
        <v>47</v>
      </c>
      <c r="O22" s="51" t="s">
        <v>47</v>
      </c>
      <c r="P22" s="24" t="s">
        <v>47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51" t="s">
        <v>91</v>
      </c>
      <c r="O23" s="51" t="s">
        <v>91</v>
      </c>
      <c r="P23" s="24" t="s">
        <v>91</v>
      </c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 t="s">
        <v>72</v>
      </c>
      <c r="N24" s="24" t="s">
        <v>105</v>
      </c>
      <c r="O24" s="24" t="s">
        <v>105</v>
      </c>
      <c r="P24" s="24" t="s">
        <v>72</v>
      </c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510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1843.0398003585185</v>
      </c>
      <c r="K29" s="34">
        <f t="shared" si="14"/>
        <v>2012.6932318826996</v>
      </c>
      <c r="L29" s="34">
        <f t="shared" si="14"/>
        <v>1843.0398003585185</v>
      </c>
      <c r="M29" s="34">
        <f t="shared" si="14"/>
        <v>1843.0398003585185</v>
      </c>
      <c r="N29" s="34">
        <f t="shared" si="14"/>
        <v>2012.6932318826996</v>
      </c>
      <c r="O29" s="34">
        <f t="shared" si="14"/>
        <v>1843.0398003585185</v>
      </c>
      <c r="P29" s="34">
        <f t="shared" si="14"/>
        <v>1843.0398003585185</v>
      </c>
      <c r="Q29" s="34">
        <f t="shared" si="14"/>
        <v>1843.0398003585185</v>
      </c>
      <c r="R29" s="34">
        <f t="shared" si="14"/>
        <v>1843.0398003585185</v>
      </c>
      <c r="S29" s="34">
        <f t="shared" si="14"/>
        <v>1843.0398003585185</v>
      </c>
      <c r="T29" s="34">
        <f t="shared" si="14"/>
        <v>1843.0398003585185</v>
      </c>
      <c r="U29" s="34">
        <f t="shared" si="14"/>
        <v>1843.0398003585185</v>
      </c>
      <c r="V29" s="34">
        <f t="shared" si="14"/>
        <v>1843.0398003585185</v>
      </c>
      <c r="W29" s="34">
        <f t="shared" si="14"/>
        <v>1843.0398003585185</v>
      </c>
      <c r="X29" s="34">
        <f t="shared" si="14"/>
        <v>1843.0398003585185</v>
      </c>
      <c r="Y29" s="34">
        <f t="shared" si="14"/>
        <v>1843.0398003585185</v>
      </c>
      <c r="Z29" s="34">
        <f t="shared" si="14"/>
        <v>1843.0398003585185</v>
      </c>
      <c r="AA29" s="34">
        <f t="shared" si="14"/>
        <v>1843.0398003585185</v>
      </c>
      <c r="AB29" s="34">
        <f t="shared" si="14"/>
        <v>1843.0398003585185</v>
      </c>
      <c r="AC29" s="34">
        <f t="shared" si="14"/>
        <v>1843.0398003585185</v>
      </c>
      <c r="AD29" s="34">
        <f t="shared" si="14"/>
        <v>1843.0398003585185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929.85002037446384</v>
      </c>
      <c r="K30" s="34">
        <f t="shared" si="15"/>
        <v>929.85002037446384</v>
      </c>
      <c r="L30" s="34">
        <f t="shared" si="15"/>
        <v>929.85002037446384</v>
      </c>
      <c r="M30" s="34">
        <f t="shared" si="15"/>
        <v>929.85002037446384</v>
      </c>
      <c r="N30" s="34">
        <f t="shared" si="15"/>
        <v>929.85002037446384</v>
      </c>
      <c r="O30" s="34">
        <f t="shared" si="15"/>
        <v>929.85002037446384</v>
      </c>
      <c r="P30" s="34">
        <f t="shared" si="15"/>
        <v>929.85002037446384</v>
      </c>
      <c r="Q30" s="34">
        <f t="shared" si="15"/>
        <v>929.85002037446384</v>
      </c>
      <c r="R30" s="34">
        <f t="shared" si="15"/>
        <v>929.85002037446384</v>
      </c>
      <c r="S30" s="34">
        <f t="shared" si="15"/>
        <v>929.85002037446384</v>
      </c>
      <c r="T30" s="34">
        <f t="shared" si="15"/>
        <v>929.85002037446384</v>
      </c>
      <c r="U30" s="34">
        <f t="shared" si="15"/>
        <v>929.85002037446384</v>
      </c>
      <c r="V30" s="34">
        <f t="shared" si="15"/>
        <v>929.85002037446384</v>
      </c>
      <c r="W30" s="34">
        <f t="shared" si="15"/>
        <v>929.85002037446384</v>
      </c>
      <c r="X30" s="34">
        <f t="shared" si="15"/>
        <v>929.85002037446384</v>
      </c>
      <c r="Y30" s="34">
        <f t="shared" si="15"/>
        <v>929.85002037446384</v>
      </c>
      <c r="Z30" s="34">
        <f t="shared" si="15"/>
        <v>929.85002037446384</v>
      </c>
      <c r="AA30" s="34">
        <f t="shared" si="15"/>
        <v>929.85002037446384</v>
      </c>
      <c r="AB30" s="34">
        <f t="shared" si="15"/>
        <v>929.85002037446384</v>
      </c>
      <c r="AC30" s="34">
        <f t="shared" si="15"/>
        <v>929.85002037446384</v>
      </c>
      <c r="AD30" s="34">
        <f t="shared" si="15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19528.755656776269</v>
      </c>
      <c r="K31" s="34">
        <f t="shared" si="16"/>
        <v>19528.755656776269</v>
      </c>
      <c r="L31" s="34">
        <f t="shared" si="16"/>
        <v>19528.755656776269</v>
      </c>
      <c r="M31" s="34">
        <f t="shared" si="16"/>
        <v>19528.755656776269</v>
      </c>
      <c r="N31" s="34">
        <f t="shared" si="16"/>
        <v>19528.755656776269</v>
      </c>
      <c r="O31" s="34">
        <f t="shared" si="16"/>
        <v>19528.755656776269</v>
      </c>
      <c r="P31" s="34">
        <f t="shared" si="16"/>
        <v>19528.755656776269</v>
      </c>
      <c r="Q31" s="34">
        <f t="shared" si="16"/>
        <v>19528.755656776269</v>
      </c>
      <c r="R31" s="34">
        <f t="shared" si="16"/>
        <v>19528.755656776269</v>
      </c>
      <c r="S31" s="34">
        <f t="shared" si="16"/>
        <v>19528.755656776269</v>
      </c>
      <c r="T31" s="34">
        <f t="shared" si="16"/>
        <v>19528.755656776269</v>
      </c>
      <c r="U31" s="34">
        <f t="shared" si="16"/>
        <v>19528.755656776269</v>
      </c>
      <c r="V31" s="34">
        <f t="shared" si="16"/>
        <v>19528.755656776269</v>
      </c>
      <c r="W31" s="34">
        <f t="shared" si="16"/>
        <v>19528.755656776269</v>
      </c>
      <c r="X31" s="34">
        <f t="shared" si="16"/>
        <v>19528.755656776269</v>
      </c>
      <c r="Y31" s="34">
        <f t="shared" si="16"/>
        <v>19528.755656776269</v>
      </c>
      <c r="Z31" s="34">
        <f t="shared" si="16"/>
        <v>19528.755656776269</v>
      </c>
      <c r="AA31" s="34">
        <f t="shared" si="16"/>
        <v>19528.755656776269</v>
      </c>
      <c r="AB31" s="34">
        <f t="shared" si="16"/>
        <v>19528.755656776269</v>
      </c>
      <c r="AC31" s="34">
        <f t="shared" si="16"/>
        <v>19528.755656776269</v>
      </c>
      <c r="AD31" s="34">
        <f t="shared" si="16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2.6477500000000003</v>
      </c>
      <c r="L32" s="33">
        <f t="shared" si="17"/>
        <v>2.6477500000000003</v>
      </c>
      <c r="M32" s="33">
        <f t="shared" si="17"/>
        <v>2.6477500000000003</v>
      </c>
      <c r="N32" s="33">
        <f t="shared" si="17"/>
        <v>1.466</v>
      </c>
      <c r="O32" s="33">
        <f t="shared" si="17"/>
        <v>1.466</v>
      </c>
      <c r="P32" s="33">
        <f t="shared" si="17"/>
        <v>2.6477500000000003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0.625</v>
      </c>
      <c r="K33" s="33">
        <f t="shared" ref="K33:AD33" si="18">IF($D$6+K44&lt;0,0,IF($D$6+K44&gt;1,1,$D$6+K44))</f>
        <v>0.745</v>
      </c>
      <c r="L33" s="33">
        <f t="shared" si="18"/>
        <v>0.745</v>
      </c>
      <c r="M33" s="33">
        <f t="shared" si="18"/>
        <v>0.745</v>
      </c>
      <c r="N33" s="33">
        <f t="shared" si="18"/>
        <v>0.625</v>
      </c>
      <c r="O33" s="33">
        <f t="shared" si="18"/>
        <v>0.625</v>
      </c>
      <c r="P33" s="33">
        <f t="shared" si="18"/>
        <v>0.745</v>
      </c>
      <c r="Q33" s="33">
        <f t="shared" si="18"/>
        <v>0.625</v>
      </c>
      <c r="R33" s="33">
        <f t="shared" si="18"/>
        <v>0.625</v>
      </c>
      <c r="S33" s="33">
        <f t="shared" si="18"/>
        <v>0.625</v>
      </c>
      <c r="T33" s="33">
        <f t="shared" si="18"/>
        <v>0.625</v>
      </c>
      <c r="U33" s="33">
        <f t="shared" si="18"/>
        <v>0.625</v>
      </c>
      <c r="V33" s="33">
        <f t="shared" si="18"/>
        <v>0.625</v>
      </c>
      <c r="W33" s="33">
        <f t="shared" si="18"/>
        <v>0.625</v>
      </c>
      <c r="X33" s="33">
        <f t="shared" si="18"/>
        <v>0.625</v>
      </c>
      <c r="Y33" s="33">
        <f t="shared" si="18"/>
        <v>0.625</v>
      </c>
      <c r="Z33" s="33">
        <f t="shared" si="18"/>
        <v>0.625</v>
      </c>
      <c r="AA33" s="33">
        <f t="shared" si="18"/>
        <v>0.625</v>
      </c>
      <c r="AB33" s="33">
        <f t="shared" si="18"/>
        <v>0.625</v>
      </c>
      <c r="AC33" s="33">
        <f t="shared" si="18"/>
        <v>0.625</v>
      </c>
      <c r="AD33" s="33">
        <f t="shared" si="18"/>
        <v>0.625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1.292</v>
      </c>
      <c r="K34" s="33">
        <f t="shared" si="19"/>
        <v>1.292</v>
      </c>
      <c r="L34" s="33">
        <f t="shared" si="19"/>
        <v>1.292</v>
      </c>
      <c r="M34" s="33">
        <f t="shared" si="19"/>
        <v>1.292</v>
      </c>
      <c r="N34" s="33">
        <f t="shared" si="19"/>
        <v>1.292</v>
      </c>
      <c r="O34" s="33">
        <f t="shared" si="19"/>
        <v>1.292</v>
      </c>
      <c r="P34" s="33">
        <f t="shared" si="19"/>
        <v>1.292</v>
      </c>
      <c r="Q34" s="33">
        <f t="shared" si="19"/>
        <v>1.292</v>
      </c>
      <c r="R34" s="33">
        <f t="shared" si="19"/>
        <v>1.292</v>
      </c>
      <c r="S34" s="33">
        <f t="shared" si="19"/>
        <v>1.292</v>
      </c>
      <c r="T34" s="33">
        <f t="shared" si="19"/>
        <v>1.292</v>
      </c>
      <c r="U34" s="33">
        <f t="shared" si="19"/>
        <v>1.292</v>
      </c>
      <c r="V34" s="33">
        <f t="shared" si="19"/>
        <v>1.292</v>
      </c>
      <c r="W34" s="33">
        <f t="shared" si="19"/>
        <v>1.292</v>
      </c>
      <c r="X34" s="33">
        <f t="shared" si="19"/>
        <v>1.292</v>
      </c>
      <c r="Y34" s="33">
        <f t="shared" si="19"/>
        <v>1.292</v>
      </c>
      <c r="Z34" s="33">
        <f t="shared" si="19"/>
        <v>1.292</v>
      </c>
      <c r="AA34" s="33">
        <f t="shared" si="19"/>
        <v>1.292</v>
      </c>
      <c r="AB34" s="33">
        <f t="shared" si="19"/>
        <v>1.292</v>
      </c>
      <c r="AC34" s="33">
        <f t="shared" si="19"/>
        <v>1.292</v>
      </c>
      <c r="AD34" s="33">
        <f t="shared" si="19"/>
        <v>1.292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0.1</v>
      </c>
      <c r="N37" s="61">
        <f t="shared" si="22"/>
        <v>0.1</v>
      </c>
      <c r="O37" s="61">
        <f t="shared" si="22"/>
        <v>0.1</v>
      </c>
      <c r="P37" s="61">
        <f t="shared" si="22"/>
        <v>0.1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/>
      <c r="M38" s="30"/>
      <c r="N38" s="30">
        <v>0.2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f>27%+32%</f>
        <v>0.59000000000000008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f>45.9%+24%</f>
        <v>0.69899999999999995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0.12</v>
      </c>
      <c r="L44" s="30">
        <v>0.12</v>
      </c>
      <c r="M44" s="30">
        <v>0.12</v>
      </c>
      <c r="N44" s="30"/>
      <c r="O44" s="30"/>
      <c r="P44" s="30">
        <v>0.12</v>
      </c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2</v>
      </c>
      <c r="K49" s="51">
        <v>2</v>
      </c>
      <c r="L49" s="51"/>
      <c r="M49" s="51"/>
      <c r="N49" s="51"/>
      <c r="O49" s="51"/>
      <c r="P49" s="51">
        <v>2</v>
      </c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4266.3357130088534</v>
      </c>
      <c r="K50" s="22">
        <f t="shared" ref="K50:AD50" si="23">IF(K49&gt;1,K19/K49,K19)</f>
        <v>49431.891525498366</v>
      </c>
      <c r="L50" s="22">
        <f t="shared" si="23"/>
        <v>59858.087880894476</v>
      </c>
      <c r="M50" s="22">
        <f t="shared" si="23"/>
        <v>12461.826711292375</v>
      </c>
      <c r="N50" s="22">
        <f t="shared" si="23"/>
        <v>16696.274551523351</v>
      </c>
      <c r="O50" s="22">
        <f t="shared" si="23"/>
        <v>18346.699653212137</v>
      </c>
      <c r="P50" s="22">
        <f t="shared" si="23"/>
        <v>47399.200576785413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8532.6714260177068</v>
      </c>
      <c r="K52" s="22">
        <f t="shared" ref="K52:AD52" si="25">IF(K51=0,K19,K50*3)</f>
        <v>148295.6745764951</v>
      </c>
      <c r="L52" s="22">
        <f t="shared" si="25"/>
        <v>59858.087880894476</v>
      </c>
      <c r="M52" s="22">
        <f t="shared" si="25"/>
        <v>12461.826711292375</v>
      </c>
      <c r="N52" s="22">
        <f t="shared" si="25"/>
        <v>16696.274551523351</v>
      </c>
      <c r="O52" s="22">
        <f t="shared" si="25"/>
        <v>18346.699653212137</v>
      </c>
      <c r="P52" s="22">
        <f t="shared" si="25"/>
        <v>94798.401153570827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f>D19/4</f>
        <v>0.59175</v>
      </c>
      <c r="D76" s="7"/>
      <c r="E76" s="24" t="s">
        <v>458</v>
      </c>
    </row>
    <row r="77" spans="1:25" x14ac:dyDescent="0.25">
      <c r="A77" s="1"/>
      <c r="B77" s="103" t="s">
        <v>11</v>
      </c>
      <c r="C77" s="7">
        <v>0.2</v>
      </c>
      <c r="D77" s="7"/>
      <c r="E77" s="24" t="s">
        <v>458</v>
      </c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4</v>
      </c>
      <c r="E90" s="70">
        <f t="shared" si="33"/>
        <v>6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6</v>
      </c>
      <c r="E93" s="70">
        <f t="shared" si="33"/>
        <v>8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10</v>
      </c>
      <c r="E94" s="70">
        <f t="shared" si="33"/>
        <v>12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3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309557.74442750763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11550.662105504016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212748.47425927379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363277.79360006482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C1" xr:uid="{7E603F1C-8219-42A5-ABE6-1016ACC46F98}">
      <formula1>$B$115:$B$155</formula1>
    </dataValidation>
    <dataValidation type="list" allowBlank="1" showInputMessage="1" showErrorMessage="1" sqref="D83:D84" xr:uid="{67ABDD2B-5FEB-4CEE-A237-9E51CD88C462}">
      <formula1>"amp,trans,nil"</formula1>
    </dataValidation>
  </dataValidation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67274-2793-4664-AA7D-27CEEB577F0A}">
  <sheetPr>
    <tabColor theme="7" tint="0.79998168889431442"/>
  </sheetPr>
  <dimension ref="A1:CG345"/>
  <sheetViews>
    <sheetView topLeftCell="A76" zoomScale="79" zoomScaleNormal="79" zoomScaleSheetLayoutView="40" workbookViewId="0">
      <pane xSplit="1" topLeftCell="B1" activePane="topRight" state="frozen"/>
      <selection activeCell="A153" sqref="A153"/>
      <selection pane="topRight" activeCell="D87" sqref="D87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17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239.99621798177901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1709.3965645521773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709.79014292975751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837.80412065304756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1715.2630588235293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12288.095495306048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18804.905044836654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0.71500000000000008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1.65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</v>
      </c>
      <c r="N8" s="124" t="str">
        <f t="shared" si="2"/>
        <v>5-Hit DMG (1/2)</v>
      </c>
      <c r="O8" s="124" t="str">
        <f t="shared" si="2"/>
        <v>5-Hit DMG (2/2)</v>
      </c>
      <c r="P8" s="124" t="str">
        <f t="shared" si="2"/>
        <v>Charged Attack DMG</v>
      </c>
      <c r="Q8" s="124" t="str">
        <f t="shared" si="2"/>
        <v>Plunge DMG</v>
      </c>
      <c r="R8" s="124" t="str">
        <f t="shared" si="2"/>
        <v>Low Plunge DMG</v>
      </c>
      <c r="S8" s="124" t="str">
        <f t="shared" si="2"/>
        <v>High Plunge DMG</v>
      </c>
      <c r="T8" s="124" t="str">
        <f t="shared" si="2"/>
        <v/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0.96369019999999994</v>
      </c>
      <c r="K9" s="134">
        <f t="shared" si="3"/>
        <v>0.94789199999999996</v>
      </c>
      <c r="L9" s="134">
        <f t="shared" si="3"/>
        <v>0.58453339999999998</v>
      </c>
      <c r="M9" s="134">
        <f t="shared" si="3"/>
        <v>1.2796542</v>
      </c>
      <c r="N9" s="134">
        <f t="shared" si="3"/>
        <v>0.7645594</v>
      </c>
      <c r="O9" s="134">
        <f t="shared" si="3"/>
        <v>0.78991</v>
      </c>
      <c r="P9" s="134">
        <f t="shared" si="3"/>
        <v>2.5119137999999999</v>
      </c>
      <c r="Q9" s="134">
        <f t="shared" si="3"/>
        <v>1.1743941</v>
      </c>
      <c r="R9" s="134">
        <f t="shared" si="3"/>
        <v>2.3487882</v>
      </c>
      <c r="S9" s="134">
        <f t="shared" si="3"/>
        <v>2.9359852499999999</v>
      </c>
      <c r="T9" s="134" t="str">
        <f t="shared" si="3"/>
        <v/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 (1/2)</v>
      </c>
      <c r="K10" s="124" t="str">
        <f t="shared" si="5"/>
        <v>Skill DMG (2/2)</v>
      </c>
      <c r="L10" s="124" t="str">
        <f t="shared" si="5"/>
        <v/>
      </c>
      <c r="M10" s="124" t="str">
        <f t="shared" si="5"/>
        <v/>
      </c>
      <c r="N10" s="124" t="str">
        <f t="shared" si="5"/>
        <v/>
      </c>
      <c r="O10" s="124" t="str">
        <f t="shared" si="5"/>
        <v/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0.9927999999999999</v>
      </c>
      <c r="K11" s="134">
        <f t="shared" si="7"/>
        <v>2.3120000000000003</v>
      </c>
      <c r="L11" s="134" t="str">
        <f t="shared" si="7"/>
        <v/>
      </c>
      <c r="M11" s="134" t="str">
        <f t="shared" si="7"/>
        <v/>
      </c>
      <c r="N11" s="134" t="str">
        <f t="shared" si="7"/>
        <v/>
      </c>
      <c r="O11" s="134" t="str">
        <f t="shared" si="7"/>
        <v/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 (1/2)</v>
      </c>
      <c r="K12" s="124" t="str">
        <f t="shared" si="9"/>
        <v>Skill DMG (2/2)</v>
      </c>
      <c r="L12" s="124" t="str">
        <f t="shared" si="9"/>
        <v>Ice Lance DoT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1.768</v>
      </c>
      <c r="K13" s="134">
        <f t="shared" ref="K13:X13" si="11">IFERROR(INDEX($A$167:$AU$295,MATCH($C$1,$A$167:$A$295,0)+2,K7+32)*HLOOKUP(INDEX($A$167:$AU$295,MATCH($C$1,$A$167:$A$295,0)+1,K7+32),$H$114:$AU$129,$H13+1,FALSE),"")</f>
        <v>2.5840000000000001</v>
      </c>
      <c r="L13" s="134">
        <f t="shared" si="11"/>
        <v>2.2440000000000002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>
        <v>2</v>
      </c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0.38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463</v>
      </c>
      <c r="L18" s="23" t="s">
        <v>496</v>
      </c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1.5220000579999999</v>
      </c>
      <c r="E19" s="13">
        <v>1.49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9311.9630294508715</v>
      </c>
      <c r="K19" s="22">
        <f t="shared" si="13"/>
        <v>133039.66900298532</v>
      </c>
      <c r="L19" s="22">
        <f t="shared" si="13"/>
        <v>22792.968037338251</v>
      </c>
      <c r="M19" s="22">
        <f t="shared" si="13"/>
        <v>0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>
        <f>116.8%+272%</f>
        <v>3.8879999999999999</v>
      </c>
      <c r="K20" s="60">
        <f>208%+304%+264%*5</f>
        <v>18.32</v>
      </c>
      <c r="L20" s="60">
        <v>2.64</v>
      </c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1</v>
      </c>
      <c r="K21" s="51">
        <v>1</v>
      </c>
      <c r="L21" s="51">
        <v>1</v>
      </c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72</v>
      </c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>
        <v>0.24</v>
      </c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>
        <v>0.16</v>
      </c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1709.3965645521773</v>
      </c>
      <c r="K29" s="34">
        <f t="shared" si="14"/>
        <v>1848.1958081485332</v>
      </c>
      <c r="L29" s="34">
        <f t="shared" si="14"/>
        <v>1848.1958081485332</v>
      </c>
      <c r="M29" s="34">
        <f t="shared" si="14"/>
        <v>1709.3965645521773</v>
      </c>
      <c r="N29" s="34">
        <f t="shared" si="14"/>
        <v>1709.3965645521773</v>
      </c>
      <c r="O29" s="34">
        <f t="shared" si="14"/>
        <v>1709.3965645521773</v>
      </c>
      <c r="P29" s="34">
        <f t="shared" si="14"/>
        <v>1709.3965645521773</v>
      </c>
      <c r="Q29" s="34">
        <f t="shared" si="14"/>
        <v>1709.3965645521773</v>
      </c>
      <c r="R29" s="34">
        <f t="shared" si="14"/>
        <v>1709.3965645521773</v>
      </c>
      <c r="S29" s="34">
        <f t="shared" si="14"/>
        <v>1709.3965645521773</v>
      </c>
      <c r="T29" s="34">
        <f t="shared" si="14"/>
        <v>1709.3965645521773</v>
      </c>
      <c r="U29" s="34">
        <f t="shared" si="14"/>
        <v>1709.3965645521773</v>
      </c>
      <c r="V29" s="34">
        <f t="shared" si="14"/>
        <v>1709.3965645521773</v>
      </c>
      <c r="W29" s="34">
        <f t="shared" si="14"/>
        <v>1709.3965645521773</v>
      </c>
      <c r="X29" s="34">
        <f t="shared" si="14"/>
        <v>1709.3965645521773</v>
      </c>
      <c r="Y29" s="34">
        <f t="shared" si="14"/>
        <v>1709.3965645521773</v>
      </c>
      <c r="Z29" s="34">
        <f t="shared" si="14"/>
        <v>1709.3965645521773</v>
      </c>
      <c r="AA29" s="34">
        <f t="shared" si="14"/>
        <v>1709.3965645521773</v>
      </c>
      <c r="AB29" s="34">
        <f t="shared" si="14"/>
        <v>1709.3965645521773</v>
      </c>
      <c r="AC29" s="34">
        <f t="shared" si="14"/>
        <v>1709.3965645521773</v>
      </c>
      <c r="AD29" s="34">
        <f t="shared" si="14"/>
        <v>1709.3965645521773</v>
      </c>
    </row>
    <row r="30" spans="1:30" x14ac:dyDescent="0.25">
      <c r="A30" s="1"/>
      <c r="B30" s="90" t="s">
        <v>60</v>
      </c>
      <c r="C30" s="7">
        <v>0.36799999999999999</v>
      </c>
      <c r="D30" s="7"/>
      <c r="E30" s="12"/>
      <c r="H30" s="65"/>
      <c r="I30" s="32" t="s">
        <v>110</v>
      </c>
      <c r="J30" s="34">
        <f t="shared" ref="J30:AD30" si="15">($D$4+$C$4*J40+J41)</f>
        <v>837.80412065304756</v>
      </c>
      <c r="K30" s="34">
        <f t="shared" si="15"/>
        <v>837.80412065304756</v>
      </c>
      <c r="L30" s="34">
        <f t="shared" si="15"/>
        <v>837.80412065304756</v>
      </c>
      <c r="M30" s="34">
        <f t="shared" si="15"/>
        <v>837.80412065304756</v>
      </c>
      <c r="N30" s="34">
        <f t="shared" si="15"/>
        <v>837.80412065304756</v>
      </c>
      <c r="O30" s="34">
        <f t="shared" si="15"/>
        <v>837.80412065304756</v>
      </c>
      <c r="P30" s="34">
        <f t="shared" si="15"/>
        <v>837.80412065304756</v>
      </c>
      <c r="Q30" s="34">
        <f t="shared" si="15"/>
        <v>837.80412065304756</v>
      </c>
      <c r="R30" s="34">
        <f t="shared" si="15"/>
        <v>837.80412065304756</v>
      </c>
      <c r="S30" s="34">
        <f t="shared" si="15"/>
        <v>837.80412065304756</v>
      </c>
      <c r="T30" s="34">
        <f t="shared" si="15"/>
        <v>837.80412065304756</v>
      </c>
      <c r="U30" s="34">
        <f t="shared" si="15"/>
        <v>837.80412065304756</v>
      </c>
      <c r="V30" s="34">
        <f t="shared" si="15"/>
        <v>837.80412065304756</v>
      </c>
      <c r="W30" s="34">
        <f t="shared" si="15"/>
        <v>837.80412065304756</v>
      </c>
      <c r="X30" s="34">
        <f t="shared" si="15"/>
        <v>837.80412065304756</v>
      </c>
      <c r="Y30" s="34">
        <f t="shared" si="15"/>
        <v>837.80412065304756</v>
      </c>
      <c r="Z30" s="34">
        <f t="shared" si="15"/>
        <v>837.80412065304756</v>
      </c>
      <c r="AA30" s="34">
        <f t="shared" si="15"/>
        <v>837.80412065304756</v>
      </c>
      <c r="AB30" s="34">
        <f t="shared" si="15"/>
        <v>837.80412065304756</v>
      </c>
      <c r="AC30" s="34">
        <f t="shared" si="15"/>
        <v>837.80412065304756</v>
      </c>
      <c r="AD30" s="34">
        <f t="shared" si="15"/>
        <v>837.80412065304756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18804.905044836654</v>
      </c>
      <c r="K31" s="34">
        <f t="shared" si="16"/>
        <v>18804.905044836654</v>
      </c>
      <c r="L31" s="34">
        <f t="shared" si="16"/>
        <v>18804.905044836654</v>
      </c>
      <c r="M31" s="34">
        <f t="shared" si="16"/>
        <v>18804.905044836654</v>
      </c>
      <c r="N31" s="34">
        <f t="shared" si="16"/>
        <v>18804.905044836654</v>
      </c>
      <c r="O31" s="34">
        <f t="shared" si="16"/>
        <v>18804.905044836654</v>
      </c>
      <c r="P31" s="34">
        <f t="shared" si="16"/>
        <v>18804.905044836654</v>
      </c>
      <c r="Q31" s="34">
        <f t="shared" si="16"/>
        <v>18804.905044836654</v>
      </c>
      <c r="R31" s="34">
        <f t="shared" si="16"/>
        <v>18804.905044836654</v>
      </c>
      <c r="S31" s="34">
        <f t="shared" si="16"/>
        <v>18804.905044836654</v>
      </c>
      <c r="T31" s="34">
        <f t="shared" si="16"/>
        <v>18804.905044836654</v>
      </c>
      <c r="U31" s="34">
        <f t="shared" si="16"/>
        <v>18804.905044836654</v>
      </c>
      <c r="V31" s="34">
        <f t="shared" si="16"/>
        <v>18804.905044836654</v>
      </c>
      <c r="W31" s="34">
        <f t="shared" si="16"/>
        <v>18804.905044836654</v>
      </c>
      <c r="X31" s="34">
        <f t="shared" si="16"/>
        <v>18804.905044836654</v>
      </c>
      <c r="Y31" s="34">
        <f t="shared" si="16"/>
        <v>18804.905044836654</v>
      </c>
      <c r="Z31" s="34">
        <f t="shared" si="16"/>
        <v>18804.905044836654</v>
      </c>
      <c r="AA31" s="34">
        <f t="shared" si="16"/>
        <v>18804.905044836654</v>
      </c>
      <c r="AB31" s="34">
        <f t="shared" si="16"/>
        <v>18804.905044836654</v>
      </c>
      <c r="AC31" s="34">
        <f t="shared" si="16"/>
        <v>18804.905044836654</v>
      </c>
      <c r="AD31" s="34">
        <f t="shared" si="16"/>
        <v>18804.905044836654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1.466</v>
      </c>
      <c r="K32" s="33">
        <f t="shared" si="17"/>
        <v>1.8460000000000001</v>
      </c>
      <c r="L32" s="33">
        <f t="shared" si="17"/>
        <v>1.8460000000000001</v>
      </c>
      <c r="M32" s="33" t="e">
        <f t="shared" si="17"/>
        <v>#N/A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0.71500000000000008</v>
      </c>
      <c r="K33" s="33">
        <f t="shared" ref="K33:AD33" si="18">IF($D$6+K44&lt;0,0,IF($D$6+K44&gt;1,1,$D$6+K44))</f>
        <v>0.8650000000000001</v>
      </c>
      <c r="L33" s="33">
        <f t="shared" si="18"/>
        <v>0.8650000000000001</v>
      </c>
      <c r="M33" s="33">
        <f t="shared" si="18"/>
        <v>0.71500000000000008</v>
      </c>
      <c r="N33" s="33">
        <f t="shared" si="18"/>
        <v>0.71500000000000008</v>
      </c>
      <c r="O33" s="33">
        <f t="shared" si="18"/>
        <v>0.71500000000000008</v>
      </c>
      <c r="P33" s="33">
        <f t="shared" si="18"/>
        <v>0.71500000000000008</v>
      </c>
      <c r="Q33" s="33">
        <f t="shared" si="18"/>
        <v>0.71500000000000008</v>
      </c>
      <c r="R33" s="33">
        <f t="shared" si="18"/>
        <v>0.71500000000000008</v>
      </c>
      <c r="S33" s="33">
        <f t="shared" si="18"/>
        <v>0.71500000000000008</v>
      </c>
      <c r="T33" s="33">
        <f t="shared" si="18"/>
        <v>0.71500000000000008</v>
      </c>
      <c r="U33" s="33">
        <f t="shared" si="18"/>
        <v>0.71500000000000008</v>
      </c>
      <c r="V33" s="33">
        <f t="shared" si="18"/>
        <v>0.71500000000000008</v>
      </c>
      <c r="W33" s="33">
        <f t="shared" si="18"/>
        <v>0.71500000000000008</v>
      </c>
      <c r="X33" s="33">
        <f t="shared" si="18"/>
        <v>0.71500000000000008</v>
      </c>
      <c r="Y33" s="33">
        <f t="shared" si="18"/>
        <v>0.71500000000000008</v>
      </c>
      <c r="Z33" s="33">
        <f t="shared" si="18"/>
        <v>0.71500000000000008</v>
      </c>
      <c r="AA33" s="33">
        <f t="shared" si="18"/>
        <v>0.71500000000000008</v>
      </c>
      <c r="AB33" s="33">
        <f t="shared" si="18"/>
        <v>0.71500000000000008</v>
      </c>
      <c r="AC33" s="33">
        <f t="shared" si="18"/>
        <v>0.71500000000000008</v>
      </c>
      <c r="AD33" s="33">
        <f t="shared" si="18"/>
        <v>0.71500000000000008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1.65</v>
      </c>
      <c r="K34" s="33">
        <f t="shared" si="19"/>
        <v>1.65</v>
      </c>
      <c r="L34" s="33">
        <f t="shared" si="19"/>
        <v>1.65</v>
      </c>
      <c r="M34" s="33">
        <f t="shared" si="19"/>
        <v>1.65</v>
      </c>
      <c r="N34" s="33">
        <f t="shared" si="19"/>
        <v>1.65</v>
      </c>
      <c r="O34" s="33">
        <f t="shared" si="19"/>
        <v>1.65</v>
      </c>
      <c r="P34" s="33">
        <f t="shared" si="19"/>
        <v>1.65</v>
      </c>
      <c r="Q34" s="33">
        <f t="shared" si="19"/>
        <v>1.65</v>
      </c>
      <c r="R34" s="33">
        <f t="shared" si="19"/>
        <v>1.65</v>
      </c>
      <c r="S34" s="33">
        <f t="shared" si="19"/>
        <v>1.65</v>
      </c>
      <c r="T34" s="33">
        <f t="shared" si="19"/>
        <v>1.65</v>
      </c>
      <c r="U34" s="33">
        <f t="shared" si="19"/>
        <v>1.65</v>
      </c>
      <c r="V34" s="33">
        <f t="shared" si="19"/>
        <v>1.65</v>
      </c>
      <c r="W34" s="33">
        <f t="shared" si="19"/>
        <v>1.65</v>
      </c>
      <c r="X34" s="33">
        <f t="shared" si="19"/>
        <v>1.65</v>
      </c>
      <c r="Y34" s="33">
        <f t="shared" si="19"/>
        <v>1.65</v>
      </c>
      <c r="Z34" s="33">
        <f t="shared" si="19"/>
        <v>1.65</v>
      </c>
      <c r="AA34" s="33">
        <f t="shared" si="19"/>
        <v>1.65</v>
      </c>
      <c r="AB34" s="33">
        <f t="shared" si="19"/>
        <v>1.65</v>
      </c>
      <c r="AC34" s="33">
        <f t="shared" si="19"/>
        <v>1.65</v>
      </c>
      <c r="AD34" s="33">
        <f t="shared" si="19"/>
        <v>1.65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-6.9999999999999993E-2</v>
      </c>
      <c r="M37" s="61">
        <f t="shared" si="22"/>
        <v>0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>
        <v>0.2</v>
      </c>
      <c r="L38" s="30">
        <v>0.2</v>
      </c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0.18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>
        <v>0.15</v>
      </c>
      <c r="L44" s="30">
        <v>0.15</v>
      </c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2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9311.9630294508715</v>
      </c>
      <c r="K50" s="22">
        <f t="shared" ref="K50:AD50" si="23">IF(K49&gt;1,K19/K49,K19)</f>
        <v>66519.83450149266</v>
      </c>
      <c r="L50" s="22">
        <f t="shared" si="23"/>
        <v>11396.484018669125</v>
      </c>
      <c r="M50" s="22">
        <f t="shared" si="23"/>
        <v>0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1</v>
      </c>
      <c r="M51" s="51">
        <v>0</v>
      </c>
      <c r="N51" s="51">
        <v>0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0.622</v>
      </c>
      <c r="D52" s="8">
        <v>1</v>
      </c>
      <c r="E52" s="22">
        <v>0.622</v>
      </c>
      <c r="I52" s="22" t="s">
        <v>531</v>
      </c>
      <c r="J52" s="22">
        <f>IF(J51=0,J19,J50*3)</f>
        <v>9311.9630294508715</v>
      </c>
      <c r="K52" s="22">
        <f t="shared" ref="K52:AD52" si="25">IF(K51=0,K19,K50*3)</f>
        <v>199559.50350447797</v>
      </c>
      <c r="L52" s="22">
        <f t="shared" si="25"/>
        <v>34189.452056007372</v>
      </c>
      <c r="M52" s="22">
        <f t="shared" si="25"/>
        <v>0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27">K63*K64</f>
        <v>0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28">IFERROR(VLOOKUP(K61,$B$3:$D$8,3,FALSE)*K59*K60+K62,0)</f>
        <v>0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29">1+$D$20+K65+K66</f>
        <v>1</v>
      </c>
      <c r="L64" s="85">
        <f t="shared" si="29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2.1935964211067911</v>
      </c>
      <c r="W68" s="80">
        <f>($D$4+$C$4*W69+W70+1000)/($D$4+$C$4*W69+W70)</f>
        <v>2.1935964211067911</v>
      </c>
      <c r="X68" s="80">
        <f>($D$4+$C$4*X69+X70+1000)/($D$4+$C$4*X69+X70)</f>
        <v>2.1935964211067911</v>
      </c>
      <c r="Y68" s="80">
        <f>($D$4+$C$4*Y69+Y70+1000)/($D$4+$C$4*Y69+Y70)</f>
        <v>2.1935964211067911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2.1935964211067911</v>
      </c>
      <c r="Q69" s="80">
        <f>($D$4+$C$4*Q70+Q71+1000)/($D$4+$C$4*Q70+Q71)</f>
        <v>2.1935964211067911</v>
      </c>
      <c r="R69" s="80">
        <f>($D$4+$C$4*R70+R71+1000)/($D$4+$C$4*R70+R71)</f>
        <v>2.1935964211067911</v>
      </c>
      <c r="S69" s="80">
        <f>($D$4+$C$4*S70+S71+1000)/($D$4+$C$4*S70+S71)</f>
        <v>2.1935964211067911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>
        <v>0.2</v>
      </c>
      <c r="D76" s="7"/>
      <c r="E76" s="24" t="s">
        <v>495</v>
      </c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20.000000999999997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3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3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3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3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3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3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3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6</v>
      </c>
      <c r="E94" s="70">
        <f t="shared" si="33"/>
        <v>8</v>
      </c>
      <c r="F94">
        <f>F86-D52*2</f>
        <v>8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3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7.0000009999999993</v>
      </c>
      <c r="E96" s="70">
        <f t="shared" si="33"/>
        <v>9.0000009999999993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165144.60006977446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6162.1119429020318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88085.913079024423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244776.18164875975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4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5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6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7">20/16</f>
        <v>1.25</v>
      </c>
      <c r="V123" s="131">
        <f>30/22</f>
        <v>1.3636363636363635</v>
      </c>
      <c r="W123" s="131">
        <f t="shared" ref="W123:W129" si="38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39">21/16</f>
        <v>1.3125</v>
      </c>
      <c r="V124" s="129">
        <f>30/22</f>
        <v>1.3636363636363635</v>
      </c>
      <c r="W124" s="129">
        <f t="shared" si="38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39"/>
        <v>1.3125</v>
      </c>
      <c r="V125" s="131">
        <f t="shared" ref="V125:V129" si="40">30/22</f>
        <v>1.3636363636363635</v>
      </c>
      <c r="W125" s="131">
        <f t="shared" si="38"/>
        <v>1.3333333333333333</v>
      </c>
      <c r="X125" s="131">
        <f t="shared" ref="X125:X129" si="41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39"/>
        <v>1.3125</v>
      </c>
      <c r="V126" s="129">
        <f t="shared" si="40"/>
        <v>1.3636363636363635</v>
      </c>
      <c r="W126" s="129">
        <f t="shared" si="38"/>
        <v>1.3333333333333333</v>
      </c>
      <c r="X126" s="129">
        <f t="shared" si="41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39"/>
        <v>1.3125</v>
      </c>
      <c r="V127" s="131">
        <f t="shared" si="40"/>
        <v>1.3636363636363635</v>
      </c>
      <c r="W127" s="131">
        <f t="shared" si="38"/>
        <v>1.3333333333333333</v>
      </c>
      <c r="X127" s="131">
        <f t="shared" si="41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39"/>
        <v>1.3125</v>
      </c>
      <c r="V128" s="129">
        <f t="shared" si="40"/>
        <v>1.3636363636363635</v>
      </c>
      <c r="W128" s="129">
        <f t="shared" si="38"/>
        <v>1.3333333333333333</v>
      </c>
      <c r="X128" s="129">
        <f t="shared" si="41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39"/>
        <v>1.3125</v>
      </c>
      <c r="V129" s="131">
        <f t="shared" si="40"/>
        <v>1.3636363636363635</v>
      </c>
      <c r="W129" s="131">
        <f t="shared" si="38"/>
        <v>1.3333333333333333</v>
      </c>
      <c r="X129" s="131">
        <f t="shared" si="41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2">I178*2</f>
        <v>1.4918</v>
      </c>
      <c r="K178" s="121">
        <f t="shared" ref="K178" si="43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4">I181*2</f>
        <v>1.2786</v>
      </c>
      <c r="K181" s="121">
        <f t="shared" ref="K181" si="45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6">H184*2</f>
        <v>1.4918</v>
      </c>
      <c r="J184" s="121">
        <f t="shared" ref="J184" si="47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48">H187*2</f>
        <v>1.7902</v>
      </c>
      <c r="J187" s="121">
        <f t="shared" ref="J187" si="49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0">I196*2</f>
        <v>1.1366000000000001</v>
      </c>
      <c r="K196" s="121">
        <f t="shared" ref="K196" si="51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2">I208*2</f>
        <v>1.2786</v>
      </c>
      <c r="K208" s="121">
        <f t="shared" ref="K208" si="53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449B1F16-E8F5-49C6-B180-AC9161EF8150}">
      <formula1>"amp,trans,nil"</formula1>
    </dataValidation>
    <dataValidation type="list" allowBlank="1" showInputMessage="1" showErrorMessage="1" sqref="C1" xr:uid="{16DCFFE8-5480-449C-A5AD-08270BEFB386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CF20D-F946-4E93-A6B9-C12B6768569D}">
  <sheetPr>
    <tabColor theme="7" tint="0.79998168889431442"/>
  </sheetPr>
  <dimension ref="A1:CG345"/>
  <sheetViews>
    <sheetView topLeftCell="A79" zoomScale="79" zoomScaleNormal="79" zoomScaleSheetLayoutView="40" workbookViewId="0">
      <pane xSplit="1" topLeftCell="B1" activePane="topRight" state="frozen"/>
      <selection activeCell="A153" sqref="A153"/>
      <selection pane="topRight" activeCell="F56" sqref="F56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21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287.88694108748172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2075.0803466160073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925.04163373049687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1079.7467963130787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857.63152941176463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12405.695809888548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18934.265390877405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 t="s">
        <v>453</v>
      </c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0.34700000000000003</v>
      </c>
      <c r="E6" s="7">
        <v>0</v>
      </c>
      <c r="F6" s="1"/>
      <c r="J6"/>
      <c r="Z6" s="67" t="s">
        <v>83</v>
      </c>
      <c r="AA6" s="24">
        <v>1</v>
      </c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X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si="1"/>
        <v>13</v>
      </c>
      <c r="W7" s="123">
        <f t="shared" si="1"/>
        <v>14</v>
      </c>
      <c r="X7" s="123">
        <f t="shared" si="1"/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2">IF(VLOOKUP($C$1,$A$167:$AU$295,J7+1,FALSE)=0,"",VLOOKUP($C$1,$A$167:$AI$295,J7+1,FALSE))</f>
        <v>1-Hit DMG</v>
      </c>
      <c r="K8" s="124" t="str">
        <f t="shared" si="2"/>
        <v>2-Hit DMG</v>
      </c>
      <c r="L8" s="124" t="str">
        <f t="shared" si="2"/>
        <v>3-Hit DMG (*2)</v>
      </c>
      <c r="M8" s="124" t="str">
        <f t="shared" si="2"/>
        <v>4-Hit DMG (*2)</v>
      </c>
      <c r="N8" s="124" t="str">
        <f t="shared" si="2"/>
        <v>5-Hit DMG</v>
      </c>
      <c r="O8" s="124" t="str">
        <f t="shared" si="2"/>
        <v>Charged Attack DMG (*2)</v>
      </c>
      <c r="P8" s="124" t="str">
        <f t="shared" si="2"/>
        <v>Plunge DMG</v>
      </c>
      <c r="Q8" s="124" t="str">
        <f t="shared" si="2"/>
        <v>Low Plunge DMG</v>
      </c>
      <c r="R8" s="124" t="str">
        <f t="shared" si="2"/>
        <v>Plunge DMG</v>
      </c>
      <c r="S8" s="124" t="str">
        <f t="shared" si="2"/>
        <v>Low Plunge DMG</v>
      </c>
      <c r="T8" s="124" t="str">
        <f t="shared" si="2"/>
        <v>High Plunge DMG</v>
      </c>
      <c r="U8" s="124" t="str">
        <f t="shared" si="2"/>
        <v/>
      </c>
      <c r="V8" s="124" t="str">
        <f t="shared" si="2"/>
        <v/>
      </c>
      <c r="W8" s="124" t="str">
        <f t="shared" si="2"/>
        <v/>
      </c>
      <c r="X8" s="124" t="str">
        <f t="shared" si="2"/>
        <v/>
      </c>
      <c r="Z8" s="67" t="s">
        <v>142</v>
      </c>
      <c r="AA8" s="59">
        <v>0.1</v>
      </c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3">IFERROR(INDEX($A$167:$AU$295,MATCH($C$1,$A$167:$A$295,0)+2,J7+1)*HLOOKUP(INDEX($A$167:$AU$295,MATCH($C$1,$A$167:$A$295,0)+1,J7+1),$H$114:$AU$129,$H$9+1,FALSE),"")</f>
        <v>0.69346750000000001</v>
      </c>
      <c r="K9" s="134">
        <f t="shared" si="3"/>
        <v>0.71404190000000001</v>
      </c>
      <c r="L9" s="134">
        <f t="shared" si="3"/>
        <v>0.44400289999999998</v>
      </c>
      <c r="M9" s="134">
        <f t="shared" si="3"/>
        <v>0.45337159999999999</v>
      </c>
      <c r="N9" s="134">
        <f t="shared" si="3"/>
        <v>1.1580447999999999</v>
      </c>
      <c r="O9" s="134">
        <f t="shared" si="3"/>
        <v>1.1817420999999999</v>
      </c>
      <c r="P9" s="134">
        <f t="shared" si="3"/>
        <v>1.1743941</v>
      </c>
      <c r="Q9" s="134">
        <f t="shared" si="3"/>
        <v>2.3487882</v>
      </c>
      <c r="R9" s="134">
        <f t="shared" si="3"/>
        <v>2.9359852499999999</v>
      </c>
      <c r="S9" s="134">
        <f t="shared" si="3"/>
        <v>0</v>
      </c>
      <c r="T9" s="134">
        <f t="shared" si="3"/>
        <v>0</v>
      </c>
      <c r="U9" s="134" t="str">
        <f t="shared" si="3"/>
        <v/>
      </c>
      <c r="V9" s="134" t="str">
        <f t="shared" si="3"/>
        <v/>
      </c>
      <c r="W9" s="134" t="str">
        <f t="shared" si="3"/>
        <v/>
      </c>
      <c r="X9" s="134" t="str">
        <f t="shared" si="3"/>
        <v/>
      </c>
      <c r="Z9" s="32" t="s">
        <v>140</v>
      </c>
      <c r="AA9" s="63">
        <f>IF(AA5="ol",$F$10,IF(AA5="ec",$F$11,IF(AA5="sc",$F$12,IF(AA5="swirl",$F$13,IF(AA5="shatter",$F$14,0)))))</f>
        <v>725.3599999999999</v>
      </c>
      <c r="AB9" s="63">
        <f>IF(AB5="ol",$F$10,IF(AB5="ec",$F$11,IF(AB5="sc",$F$12,IF(AB5="swirl",$F$13,IF(AB5="shatter",$F$14,0)))))</f>
        <v>0</v>
      </c>
      <c r="AC9" s="63">
        <f t="shared" ref="AC9:AD9" si="4">IF(AC5="ol",$F$10,IF(AC5="ec",$F$11,IF(AC5="sc",$F$12,IF(AC5="swirl",$F$13,IF(AC5="shatter",$F$14,0)))))</f>
        <v>0</v>
      </c>
      <c r="AD9" s="63">
        <f t="shared" si="4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5">IF(VLOOKUP($C$1,$A$167:$AU$295,J7+16,FALSE)=0,"",VLOOKUP($C$1,$A$167:$AU$295,J7+16,FALSE))</f>
        <v>Skill DMG</v>
      </c>
      <c r="K10" s="124" t="str">
        <f t="shared" si="5"/>
        <v>Regeneration on Hit</v>
      </c>
      <c r="L10" s="124" t="str">
        <f t="shared" si="5"/>
        <v>Regeneration on Hit (flat)</v>
      </c>
      <c r="M10" s="124" t="str">
        <f t="shared" si="5"/>
        <v>Continuous Regeneration</v>
      </c>
      <c r="N10" s="124" t="str">
        <f t="shared" si="5"/>
        <v>Continuous Regeneration (flat)</v>
      </c>
      <c r="O10" s="124" t="str">
        <f t="shared" si="5"/>
        <v>Herald of Frost DMG</v>
      </c>
      <c r="P10" s="124" t="str">
        <f t="shared" si="5"/>
        <v/>
      </c>
      <c r="Q10" s="124" t="str">
        <f t="shared" si="5"/>
        <v/>
      </c>
      <c r="R10" s="124" t="str">
        <f t="shared" si="5"/>
        <v/>
      </c>
      <c r="S10" s="124" t="str">
        <f t="shared" si="5"/>
        <v/>
      </c>
      <c r="T10" s="124" t="str">
        <f t="shared" si="5"/>
        <v/>
      </c>
      <c r="U10" s="124" t="str">
        <f t="shared" si="5"/>
        <v/>
      </c>
      <c r="V10" s="124" t="str">
        <f t="shared" si="5"/>
        <v/>
      </c>
      <c r="W10" s="124" t="str">
        <f t="shared" si="5"/>
        <v/>
      </c>
      <c r="X10" s="124" t="str">
        <f t="shared" si="5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6">1+(16*($D$8+AC13))/(2000+(AC13+$D$8))</f>
        <v>1.3137254901960784</v>
      </c>
      <c r="AD10" s="64">
        <f t="shared" si="6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7">IFERROR(INDEX($A$167:$AU$295,MATCH($C$1,$A$167:$A$295,0)+2,J7+16)*HLOOKUP(INDEX($A$167:$AU$295,MATCH($C$1,$A$167:$A$295,0)+1,J7+16),$H$114:$AU$129,$H$11+1,FALSE),"")</f>
        <v>1.6319999999999999</v>
      </c>
      <c r="K11" s="134">
        <f t="shared" si="7"/>
        <v>0.17951999999999999</v>
      </c>
      <c r="L11" s="134">
        <f t="shared" si="7"/>
        <v>136.21099999999998</v>
      </c>
      <c r="M11" s="134">
        <f t="shared" si="7"/>
        <v>1.1831999999999998</v>
      </c>
      <c r="N11" s="134">
        <f t="shared" si="7"/>
        <v>916.88299999999992</v>
      </c>
      <c r="O11" s="134">
        <f t="shared" si="7"/>
        <v>0.61199999999999999</v>
      </c>
      <c r="P11" s="134" t="str">
        <f t="shared" si="7"/>
        <v/>
      </c>
      <c r="Q11" s="134" t="str">
        <f t="shared" si="7"/>
        <v/>
      </c>
      <c r="R11" s="134" t="str">
        <f t="shared" si="7"/>
        <v/>
      </c>
      <c r="S11" s="134" t="str">
        <f t="shared" si="7"/>
        <v/>
      </c>
      <c r="T11" s="134" t="str">
        <f t="shared" si="7"/>
        <v/>
      </c>
      <c r="U11" s="134" t="str">
        <f t="shared" si="7"/>
        <v/>
      </c>
      <c r="V11" s="134" t="str">
        <f t="shared" si="7"/>
        <v/>
      </c>
      <c r="W11" s="134" t="str">
        <f t="shared" si="7"/>
        <v/>
      </c>
      <c r="X11" s="134" t="str">
        <f t="shared" si="7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8">IF(AC5="ol",$C$81,IF(AC5="ec",$C$82,IF(AC5="sc",$C$83,IF(AC5="swirl",$C$84,0))))+AC14</f>
        <v>0</v>
      </c>
      <c r="AD11" s="59">
        <f t="shared" si="8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9">IF(VLOOKUP($C$1,$A$167:$AU$295,J7+32,FALSE)=0,"",VLOOKUP($C$1,$A$167:$AU$295,J7+32,FALSE))</f>
        <v>Skill DMG</v>
      </c>
      <c r="K12" s="124" t="str">
        <f t="shared" si="9"/>
        <v>Healing</v>
      </c>
      <c r="L12" s="124" t="str">
        <f t="shared" si="9"/>
        <v>Healing (flat)</v>
      </c>
      <c r="M12" s="124" t="str">
        <f t="shared" si="9"/>
        <v/>
      </c>
      <c r="N12" s="124" t="str">
        <f t="shared" si="9"/>
        <v/>
      </c>
      <c r="O12" s="124" t="str">
        <f t="shared" si="9"/>
        <v/>
      </c>
      <c r="P12" s="124" t="str">
        <f t="shared" si="9"/>
        <v/>
      </c>
      <c r="Q12" s="124" t="str">
        <f t="shared" si="9"/>
        <v/>
      </c>
      <c r="R12" s="124" t="str">
        <f t="shared" si="9"/>
        <v/>
      </c>
      <c r="S12" s="124" t="str">
        <f t="shared" si="9"/>
        <v/>
      </c>
      <c r="T12" s="124" t="str">
        <f t="shared" si="9"/>
        <v/>
      </c>
      <c r="U12" s="124" t="str">
        <f t="shared" si="9"/>
        <v/>
      </c>
      <c r="V12" s="124" t="str">
        <f t="shared" si="9"/>
        <v/>
      </c>
      <c r="W12" s="124" t="str">
        <f t="shared" si="9"/>
        <v/>
      </c>
      <c r="X12" s="124" t="str">
        <f t="shared" si="9"/>
        <v/>
      </c>
      <c r="Z12" s="32" t="s">
        <v>141</v>
      </c>
      <c r="AA12" s="60">
        <f>IF(AA8-AA7&lt;0,0.5*(AA8-AA7),AA8-AA7)</f>
        <v>0.1</v>
      </c>
      <c r="AB12" s="60">
        <f>IF(AB8-AB7&lt;0,0.5*(AB8-AB7),AB8-AB7)</f>
        <v>0</v>
      </c>
      <c r="AC12" s="60">
        <f t="shared" ref="AC12:AD12" si="10">IF(AC8-AC7&lt;0,0.5*(AC8-AC7),AC8-AC7)</f>
        <v>0</v>
      </c>
      <c r="AD12" s="60">
        <f t="shared" si="10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4.8415999999999997</v>
      </c>
      <c r="K13" s="134">
        <f t="shared" ref="K13:X13" si="11">IFERROR(INDEX($A$167:$AU$295,MATCH($C$1,$A$167:$A$295,0)+2,K7+32)*HLOOKUP(INDEX($A$167:$AU$295,MATCH($C$1,$A$167:$A$295,0)+1,K7+32),$H$114:$AU$129,$H13+1,FALSE),"")</f>
        <v>1.53</v>
      </c>
      <c r="L13" s="134">
        <f t="shared" si="11"/>
        <v>1173.0409999999999</v>
      </c>
      <c r="M13" s="134" t="str">
        <f t="shared" si="11"/>
        <v/>
      </c>
      <c r="N13" s="134" t="str">
        <f t="shared" si="11"/>
        <v/>
      </c>
      <c r="O13" s="134" t="str">
        <f t="shared" si="11"/>
        <v/>
      </c>
      <c r="P13" s="134" t="str">
        <f t="shared" si="11"/>
        <v/>
      </c>
      <c r="Q13" s="134" t="str">
        <f t="shared" si="11"/>
        <v/>
      </c>
      <c r="R13" s="134" t="str">
        <f t="shared" si="11"/>
        <v/>
      </c>
      <c r="S13" s="134" t="str">
        <f t="shared" si="11"/>
        <v/>
      </c>
      <c r="T13" s="134" t="str">
        <f t="shared" si="11"/>
        <v/>
      </c>
      <c r="U13" s="134" t="str">
        <f t="shared" si="11"/>
        <v/>
      </c>
      <c r="V13" s="134" t="str">
        <f t="shared" si="11"/>
        <v/>
      </c>
      <c r="W13" s="134" t="str">
        <f t="shared" si="11"/>
        <v/>
      </c>
      <c r="X13" s="134" t="str">
        <f t="shared" si="11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857.63152941176463</v>
      </c>
      <c r="AB16" s="51">
        <f t="shared" ref="AB16:AD16" si="12">IF(AB15&gt;1,AB4/AB15,AB4)</f>
        <v>0</v>
      </c>
      <c r="AC16" s="51">
        <f t="shared" si="12"/>
        <v>0</v>
      </c>
      <c r="AD16" s="51">
        <f t="shared" si="12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0.24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 t="s">
        <v>448</v>
      </c>
      <c r="K18" s="23" t="s">
        <v>449</v>
      </c>
      <c r="L18" s="23" t="s">
        <v>573</v>
      </c>
      <c r="M18" s="23" t="s">
        <v>574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2.1349999999999998</v>
      </c>
      <c r="E19" s="13">
        <v>2.08</v>
      </c>
      <c r="F19" s="12"/>
      <c r="H19" s="84"/>
      <c r="I19" s="84" t="s">
        <v>177</v>
      </c>
      <c r="J19" s="22">
        <f t="shared" ref="J19:AD19" si="13">IFERROR(J21*J20*IF(J22="atk",J29,IF(J22="def",J30,IF(J22="hp",J31,J22)))*(1+J33*J34)*J32*J36*(1-J37)*J35*IF(ISBLANK(J49),1,J49),0)</f>
        <v>1131.5626154653039</v>
      </c>
      <c r="K19" s="22">
        <f t="shared" si="13"/>
        <v>16650.566699033461</v>
      </c>
      <c r="L19" s="22">
        <f t="shared" si="13"/>
        <v>678.93756927918241</v>
      </c>
      <c r="M19" s="22">
        <f t="shared" si="13"/>
        <v>1609.086969747721</v>
      </c>
      <c r="N19" s="22">
        <f t="shared" si="13"/>
        <v>0</v>
      </c>
      <c r="O19" s="22">
        <f t="shared" si="13"/>
        <v>0</v>
      </c>
      <c r="P19" s="22">
        <f t="shared" si="13"/>
        <v>0</v>
      </c>
      <c r="Q19" s="22">
        <f t="shared" si="13"/>
        <v>0</v>
      </c>
      <c r="R19" s="22">
        <f t="shared" si="13"/>
        <v>0</v>
      </c>
      <c r="S19" s="22">
        <f t="shared" si="13"/>
        <v>0</v>
      </c>
      <c r="T19" s="22">
        <f t="shared" si="13"/>
        <v>0</v>
      </c>
      <c r="U19" s="22">
        <f t="shared" si="13"/>
        <v>0</v>
      </c>
      <c r="V19" s="22">
        <f t="shared" si="13"/>
        <v>0</v>
      </c>
      <c r="W19" s="22">
        <f t="shared" si="13"/>
        <v>0</v>
      </c>
      <c r="X19" s="22">
        <f t="shared" si="13"/>
        <v>0</v>
      </c>
      <c r="Y19" s="22">
        <f t="shared" si="13"/>
        <v>0</v>
      </c>
      <c r="Z19" s="22">
        <f t="shared" si="13"/>
        <v>0</v>
      </c>
      <c r="AA19" s="22">
        <f t="shared" si="13"/>
        <v>0</v>
      </c>
      <c r="AB19" s="22">
        <f t="shared" si="13"/>
        <v>0</v>
      </c>
      <c r="AC19" s="22">
        <f t="shared" si="13"/>
        <v>0</v>
      </c>
      <c r="AD19" s="22">
        <f t="shared" si="13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0.72899999999999998</v>
      </c>
      <c r="E20" s="13"/>
      <c r="F20" s="12"/>
      <c r="H20" s="66" t="s">
        <v>143</v>
      </c>
      <c r="I20" s="67" t="s">
        <v>82</v>
      </c>
      <c r="J20" s="60">
        <v>2.04</v>
      </c>
      <c r="K20" s="60">
        <v>6.0519999999999996</v>
      </c>
      <c r="L20" s="60">
        <v>0.61199999999999999</v>
      </c>
      <c r="M20" s="60">
        <v>0.61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>
        <v>0.5</v>
      </c>
      <c r="K21" s="51">
        <v>1</v>
      </c>
      <c r="L21" s="51">
        <v>1</v>
      </c>
      <c r="M21" s="51">
        <v>2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 t="s">
        <v>47</v>
      </c>
      <c r="K22" s="51" t="s">
        <v>47</v>
      </c>
      <c r="L22" s="51" t="s">
        <v>47</v>
      </c>
      <c r="M22" s="51" t="s">
        <v>47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 t="s">
        <v>91</v>
      </c>
      <c r="K23" s="51" t="s">
        <v>91</v>
      </c>
      <c r="L23" s="51" t="s">
        <v>91</v>
      </c>
      <c r="M23" s="51" t="s">
        <v>91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 t="s">
        <v>105</v>
      </c>
      <c r="K24" s="51" t="s">
        <v>72</v>
      </c>
      <c r="L24" s="51" t="s">
        <v>105</v>
      </c>
      <c r="M24" s="51" t="s">
        <v>105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454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>
        <v>0.24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4">($D$3+($C$3+$C$25)*J38+J39)</f>
        <v>2075.0803466160073</v>
      </c>
      <c r="K29" s="34">
        <f t="shared" si="14"/>
        <v>2075.0803466160073</v>
      </c>
      <c r="L29" s="34">
        <f t="shared" si="14"/>
        <v>2075.0803466160073</v>
      </c>
      <c r="M29" s="34">
        <f t="shared" si="14"/>
        <v>2075.0803466160073</v>
      </c>
      <c r="N29" s="34">
        <f t="shared" si="14"/>
        <v>2075.0803466160073</v>
      </c>
      <c r="O29" s="34">
        <f t="shared" si="14"/>
        <v>2075.0803466160073</v>
      </c>
      <c r="P29" s="34">
        <f t="shared" si="14"/>
        <v>2075.0803466160073</v>
      </c>
      <c r="Q29" s="34">
        <f t="shared" si="14"/>
        <v>2075.0803466160073</v>
      </c>
      <c r="R29" s="34">
        <f t="shared" si="14"/>
        <v>2075.0803466160073</v>
      </c>
      <c r="S29" s="34">
        <f t="shared" si="14"/>
        <v>2075.0803466160073</v>
      </c>
      <c r="T29" s="34">
        <f t="shared" si="14"/>
        <v>2075.0803466160073</v>
      </c>
      <c r="U29" s="34">
        <f t="shared" si="14"/>
        <v>2075.0803466160073</v>
      </c>
      <c r="V29" s="34">
        <f t="shared" si="14"/>
        <v>2075.0803466160073</v>
      </c>
      <c r="W29" s="34">
        <f t="shared" si="14"/>
        <v>2075.0803466160073</v>
      </c>
      <c r="X29" s="34">
        <f t="shared" si="14"/>
        <v>2075.0803466160073</v>
      </c>
      <c r="Y29" s="34">
        <f t="shared" si="14"/>
        <v>2075.0803466160073</v>
      </c>
      <c r="Z29" s="34">
        <f t="shared" si="14"/>
        <v>2075.0803466160073</v>
      </c>
      <c r="AA29" s="34">
        <f t="shared" si="14"/>
        <v>2075.0803466160073</v>
      </c>
      <c r="AB29" s="34">
        <f t="shared" si="14"/>
        <v>2075.0803466160073</v>
      </c>
      <c r="AC29" s="34">
        <f t="shared" si="14"/>
        <v>2075.0803466160073</v>
      </c>
      <c r="AD29" s="34">
        <f t="shared" si="14"/>
        <v>2075.0803466160073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5">($D$4+$C$4*J40+J41)</f>
        <v>1079.7467963130787</v>
      </c>
      <c r="K30" s="34">
        <f t="shared" si="15"/>
        <v>1079.7467963130787</v>
      </c>
      <c r="L30" s="34">
        <f t="shared" si="15"/>
        <v>1079.7467963130787</v>
      </c>
      <c r="M30" s="34">
        <f t="shared" si="15"/>
        <v>1079.7467963130787</v>
      </c>
      <c r="N30" s="34">
        <f t="shared" si="15"/>
        <v>1079.7467963130787</v>
      </c>
      <c r="O30" s="34">
        <f t="shared" si="15"/>
        <v>1079.7467963130787</v>
      </c>
      <c r="P30" s="34">
        <f t="shared" si="15"/>
        <v>1079.7467963130787</v>
      </c>
      <c r="Q30" s="34">
        <f t="shared" si="15"/>
        <v>1079.7467963130787</v>
      </c>
      <c r="R30" s="34">
        <f t="shared" si="15"/>
        <v>1079.7467963130787</v>
      </c>
      <c r="S30" s="34">
        <f t="shared" si="15"/>
        <v>1079.7467963130787</v>
      </c>
      <c r="T30" s="34">
        <f t="shared" si="15"/>
        <v>1079.7467963130787</v>
      </c>
      <c r="U30" s="34">
        <f t="shared" si="15"/>
        <v>1079.7467963130787</v>
      </c>
      <c r="V30" s="34">
        <f t="shared" si="15"/>
        <v>1079.7467963130787</v>
      </c>
      <c r="W30" s="34">
        <f t="shared" si="15"/>
        <v>1079.7467963130787</v>
      </c>
      <c r="X30" s="34">
        <f t="shared" si="15"/>
        <v>1079.7467963130787</v>
      </c>
      <c r="Y30" s="34">
        <f t="shared" si="15"/>
        <v>1079.7467963130787</v>
      </c>
      <c r="Z30" s="34">
        <f t="shared" si="15"/>
        <v>1079.7467963130787</v>
      </c>
      <c r="AA30" s="34">
        <f t="shared" si="15"/>
        <v>1079.7467963130787</v>
      </c>
      <c r="AB30" s="34">
        <f t="shared" si="15"/>
        <v>1079.7467963130787</v>
      </c>
      <c r="AC30" s="34">
        <f t="shared" si="15"/>
        <v>1079.7467963130787</v>
      </c>
      <c r="AD30" s="34">
        <f t="shared" si="15"/>
        <v>1079.7467963130787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6">($D$5+$C$5*J42+J43)</f>
        <v>18934.265390877405</v>
      </c>
      <c r="K31" s="34">
        <f t="shared" si="16"/>
        <v>18934.265390877405</v>
      </c>
      <c r="L31" s="34">
        <f t="shared" si="16"/>
        <v>18934.265390877405</v>
      </c>
      <c r="M31" s="34">
        <f t="shared" si="16"/>
        <v>18934.265390877405</v>
      </c>
      <c r="N31" s="34">
        <f t="shared" si="16"/>
        <v>18934.265390877405</v>
      </c>
      <c r="O31" s="34">
        <f t="shared" si="16"/>
        <v>18934.265390877405</v>
      </c>
      <c r="P31" s="34">
        <f t="shared" si="16"/>
        <v>18934.265390877405</v>
      </c>
      <c r="Q31" s="34">
        <f t="shared" si="16"/>
        <v>18934.265390877405</v>
      </c>
      <c r="R31" s="34">
        <f t="shared" si="16"/>
        <v>18934.265390877405</v>
      </c>
      <c r="S31" s="34">
        <f t="shared" si="16"/>
        <v>18934.265390877405</v>
      </c>
      <c r="T31" s="34">
        <f t="shared" si="16"/>
        <v>18934.265390877405</v>
      </c>
      <c r="U31" s="34">
        <f t="shared" si="16"/>
        <v>18934.265390877405</v>
      </c>
      <c r="V31" s="34">
        <f t="shared" si="16"/>
        <v>18934.265390877405</v>
      </c>
      <c r="W31" s="34">
        <f t="shared" si="16"/>
        <v>18934.265390877405</v>
      </c>
      <c r="X31" s="34">
        <f t="shared" si="16"/>
        <v>18934.265390877405</v>
      </c>
      <c r="Y31" s="34">
        <f t="shared" si="16"/>
        <v>18934.265390877405</v>
      </c>
      <c r="Z31" s="34">
        <f t="shared" si="16"/>
        <v>18934.265390877405</v>
      </c>
      <c r="AA31" s="34">
        <f t="shared" si="16"/>
        <v>18934.265390877405</v>
      </c>
      <c r="AB31" s="34">
        <f t="shared" si="16"/>
        <v>18934.265390877405</v>
      </c>
      <c r="AC31" s="34">
        <f t="shared" si="16"/>
        <v>18934.265390877405</v>
      </c>
      <c r="AD31" s="34">
        <f t="shared" si="16"/>
        <v>18934.265390877405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>
        <f t="shared" ref="J32:AD32" si="17">($D$9+VLOOKUP(J23,$B$10:$D$12,3,FALSE)+VLOOKUP(J24,$B$13:$D$18,3,FALSE)+J47)</f>
        <v>1</v>
      </c>
      <c r="K32" s="33">
        <f t="shared" si="17"/>
        <v>1.24</v>
      </c>
      <c r="L32" s="33">
        <f t="shared" si="17"/>
        <v>1</v>
      </c>
      <c r="M32" s="33">
        <f t="shared" si="17"/>
        <v>1</v>
      </c>
      <c r="N32" s="33" t="e">
        <f t="shared" si="17"/>
        <v>#N/A</v>
      </c>
      <c r="O32" s="33" t="e">
        <f t="shared" si="17"/>
        <v>#N/A</v>
      </c>
      <c r="P32" s="33" t="e">
        <f t="shared" si="17"/>
        <v>#N/A</v>
      </c>
      <c r="Q32" s="33" t="e">
        <f t="shared" si="17"/>
        <v>#N/A</v>
      </c>
      <c r="R32" s="33" t="e">
        <f t="shared" si="17"/>
        <v>#N/A</v>
      </c>
      <c r="S32" s="33" t="e">
        <f t="shared" si="17"/>
        <v>#N/A</v>
      </c>
      <c r="T32" s="33" t="e">
        <f t="shared" si="17"/>
        <v>#N/A</v>
      </c>
      <c r="U32" s="33" t="e">
        <f t="shared" si="17"/>
        <v>#N/A</v>
      </c>
      <c r="V32" s="33" t="e">
        <f t="shared" si="17"/>
        <v>#N/A</v>
      </c>
      <c r="W32" s="33" t="e">
        <f t="shared" si="17"/>
        <v>#N/A</v>
      </c>
      <c r="X32" s="33" t="e">
        <f t="shared" si="17"/>
        <v>#N/A</v>
      </c>
      <c r="Y32" s="33" t="e">
        <f t="shared" si="17"/>
        <v>#N/A</v>
      </c>
      <c r="Z32" s="33" t="e">
        <f t="shared" si="17"/>
        <v>#N/A</v>
      </c>
      <c r="AA32" s="33" t="e">
        <f t="shared" si="17"/>
        <v>#N/A</v>
      </c>
      <c r="AB32" s="33" t="e">
        <f t="shared" si="17"/>
        <v>#N/A</v>
      </c>
      <c r="AC32" s="33" t="e">
        <f t="shared" si="17"/>
        <v>#N/A</v>
      </c>
      <c r="AD32" s="33" t="e">
        <f t="shared" si="17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0.34700000000000003</v>
      </c>
      <c r="K33" s="33">
        <f t="shared" ref="K33:AD33" si="18">IF($D$6+K44&lt;0,0,IF($D$6+K44&gt;1,1,$D$6+K44))</f>
        <v>0.34700000000000003</v>
      </c>
      <c r="L33" s="33">
        <f t="shared" si="18"/>
        <v>0.34700000000000003</v>
      </c>
      <c r="M33" s="33">
        <f t="shared" si="18"/>
        <v>0.34700000000000003</v>
      </c>
      <c r="N33" s="33">
        <f t="shared" si="18"/>
        <v>0.34700000000000003</v>
      </c>
      <c r="O33" s="33">
        <f t="shared" si="18"/>
        <v>0.34700000000000003</v>
      </c>
      <c r="P33" s="33">
        <f t="shared" si="18"/>
        <v>0.34700000000000003</v>
      </c>
      <c r="Q33" s="33">
        <f t="shared" si="18"/>
        <v>0.34700000000000003</v>
      </c>
      <c r="R33" s="33">
        <f t="shared" si="18"/>
        <v>0.34700000000000003</v>
      </c>
      <c r="S33" s="33">
        <f t="shared" si="18"/>
        <v>0.34700000000000003</v>
      </c>
      <c r="T33" s="33">
        <f t="shared" si="18"/>
        <v>0.34700000000000003</v>
      </c>
      <c r="U33" s="33">
        <f t="shared" si="18"/>
        <v>0.34700000000000003</v>
      </c>
      <c r="V33" s="33">
        <f t="shared" si="18"/>
        <v>0.34700000000000003</v>
      </c>
      <c r="W33" s="33">
        <f t="shared" si="18"/>
        <v>0.34700000000000003</v>
      </c>
      <c r="X33" s="33">
        <f t="shared" si="18"/>
        <v>0.34700000000000003</v>
      </c>
      <c r="Y33" s="33">
        <f t="shared" si="18"/>
        <v>0.34700000000000003</v>
      </c>
      <c r="Z33" s="33">
        <f t="shared" si="18"/>
        <v>0.34700000000000003</v>
      </c>
      <c r="AA33" s="33">
        <f t="shared" si="18"/>
        <v>0.34700000000000003</v>
      </c>
      <c r="AB33" s="33">
        <f t="shared" si="18"/>
        <v>0.34700000000000003</v>
      </c>
      <c r="AC33" s="33">
        <f t="shared" si="18"/>
        <v>0.34700000000000003</v>
      </c>
      <c r="AD33" s="33">
        <f t="shared" si="18"/>
        <v>0.34700000000000003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19">($D$7+J45)</f>
        <v>0.63200000000000001</v>
      </c>
      <c r="K34" s="33">
        <f t="shared" si="19"/>
        <v>0.63200000000000001</v>
      </c>
      <c r="L34" s="33">
        <f t="shared" si="19"/>
        <v>0.63200000000000001</v>
      </c>
      <c r="M34" s="33">
        <f t="shared" si="19"/>
        <v>0.63200000000000001</v>
      </c>
      <c r="N34" s="33">
        <f t="shared" si="19"/>
        <v>0.63200000000000001</v>
      </c>
      <c r="O34" s="33">
        <f t="shared" si="19"/>
        <v>0.63200000000000001</v>
      </c>
      <c r="P34" s="33">
        <f t="shared" si="19"/>
        <v>0.63200000000000001</v>
      </c>
      <c r="Q34" s="33">
        <f t="shared" si="19"/>
        <v>0.63200000000000001</v>
      </c>
      <c r="R34" s="33">
        <f t="shared" si="19"/>
        <v>0.63200000000000001</v>
      </c>
      <c r="S34" s="33">
        <f t="shared" si="19"/>
        <v>0.63200000000000001</v>
      </c>
      <c r="T34" s="33">
        <f t="shared" si="19"/>
        <v>0.63200000000000001</v>
      </c>
      <c r="U34" s="33">
        <f t="shared" si="19"/>
        <v>0.63200000000000001</v>
      </c>
      <c r="V34" s="33">
        <f t="shared" si="19"/>
        <v>0.63200000000000001</v>
      </c>
      <c r="W34" s="33">
        <f t="shared" si="19"/>
        <v>0.63200000000000001</v>
      </c>
      <c r="X34" s="33">
        <f t="shared" si="19"/>
        <v>0.63200000000000001</v>
      </c>
      <c r="Y34" s="33">
        <f t="shared" si="19"/>
        <v>0.63200000000000001</v>
      </c>
      <c r="Z34" s="33">
        <f t="shared" si="19"/>
        <v>0.63200000000000001</v>
      </c>
      <c r="AA34" s="33">
        <f t="shared" si="19"/>
        <v>0.63200000000000001</v>
      </c>
      <c r="AB34" s="33">
        <f t="shared" si="19"/>
        <v>0.63200000000000001</v>
      </c>
      <c r="AC34" s="33">
        <f t="shared" si="19"/>
        <v>0.63200000000000001</v>
      </c>
      <c r="AD34" s="33">
        <f t="shared" si="19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0">IF(ISBLANK(J28),1,IF(J28=TRUE,1.5,2))*IF(ISBLANK(J28),1,(1+(2.78*($D$8+J46))/(1400+($D$8+J46))+IFERROR(VLOOKUP(J27,$B$79:$C$80,2,FALSE),0)+J48))</f>
        <v>1</v>
      </c>
      <c r="K35" s="61">
        <f t="shared" si="20"/>
        <v>1</v>
      </c>
      <c r="L35" s="61">
        <f t="shared" si="20"/>
        <v>1</v>
      </c>
      <c r="M35" s="61">
        <f t="shared" si="20"/>
        <v>1</v>
      </c>
      <c r="N35" s="61">
        <f t="shared" si="20"/>
        <v>1</v>
      </c>
      <c r="O35" s="61">
        <f t="shared" si="20"/>
        <v>1</v>
      </c>
      <c r="P35" s="61">
        <f t="shared" si="20"/>
        <v>1</v>
      </c>
      <c r="Q35" s="61">
        <f t="shared" si="20"/>
        <v>1</v>
      </c>
      <c r="R35" s="61">
        <f t="shared" si="20"/>
        <v>1</v>
      </c>
      <c r="S35" s="61">
        <f t="shared" si="20"/>
        <v>1</v>
      </c>
      <c r="T35" s="61">
        <f t="shared" si="20"/>
        <v>1</v>
      </c>
      <c r="U35" s="61">
        <f t="shared" si="20"/>
        <v>1</v>
      </c>
      <c r="V35" s="61">
        <f t="shared" si="20"/>
        <v>1</v>
      </c>
      <c r="W35" s="61">
        <f t="shared" si="20"/>
        <v>1</v>
      </c>
      <c r="X35" s="61">
        <f t="shared" si="20"/>
        <v>1</v>
      </c>
      <c r="Y35" s="61">
        <f t="shared" si="20"/>
        <v>1</v>
      </c>
      <c r="Z35" s="61">
        <f t="shared" si="20"/>
        <v>1</v>
      </c>
      <c r="AA35" s="61">
        <f t="shared" si="20"/>
        <v>1</v>
      </c>
      <c r="AB35" s="61">
        <f t="shared" si="20"/>
        <v>1</v>
      </c>
      <c r="AC35" s="61">
        <f t="shared" si="20"/>
        <v>1</v>
      </c>
      <c r="AD35" s="61">
        <f t="shared" si="20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1">($D$1+100)/($D$1+100+200*(1-J25))</f>
        <v>0.48717948717948717</v>
      </c>
      <c r="K36" s="61">
        <f t="shared" si="21"/>
        <v>0.48717948717948717</v>
      </c>
      <c r="L36" s="61">
        <f t="shared" si="21"/>
        <v>0.48717948717948717</v>
      </c>
      <c r="M36" s="61">
        <f t="shared" si="21"/>
        <v>0.48717948717948717</v>
      </c>
      <c r="N36" s="61">
        <f t="shared" si="21"/>
        <v>0.48717948717948717</v>
      </c>
      <c r="O36" s="61">
        <f t="shared" si="21"/>
        <v>0.48717948717948717</v>
      </c>
      <c r="P36" s="61">
        <f t="shared" si="21"/>
        <v>0.48717948717948717</v>
      </c>
      <c r="Q36" s="61">
        <f t="shared" si="21"/>
        <v>0.48717948717948717</v>
      </c>
      <c r="R36" s="61">
        <f t="shared" si="21"/>
        <v>0.48717948717948717</v>
      </c>
      <c r="S36" s="61">
        <f t="shared" si="21"/>
        <v>0.48717948717948717</v>
      </c>
      <c r="T36" s="61">
        <f t="shared" si="21"/>
        <v>0.48717948717948717</v>
      </c>
      <c r="U36" s="61">
        <f t="shared" si="21"/>
        <v>0.48717948717948717</v>
      </c>
      <c r="V36" s="61">
        <f t="shared" si="21"/>
        <v>0.48717948717948717</v>
      </c>
      <c r="W36" s="61">
        <f t="shared" si="21"/>
        <v>0.48717948717948717</v>
      </c>
      <c r="X36" s="61">
        <f t="shared" si="21"/>
        <v>0.48717948717948717</v>
      </c>
      <c r="Y36" s="61">
        <f t="shared" si="21"/>
        <v>0.48717948717948717</v>
      </c>
      <c r="Z36" s="61">
        <f t="shared" si="21"/>
        <v>0.48717948717948717</v>
      </c>
      <c r="AA36" s="61">
        <f t="shared" si="21"/>
        <v>0.48717948717948717</v>
      </c>
      <c r="AB36" s="61">
        <f t="shared" si="21"/>
        <v>0.48717948717948717</v>
      </c>
      <c r="AC36" s="61">
        <f t="shared" si="21"/>
        <v>0.48717948717948717</v>
      </c>
      <c r="AD36" s="61">
        <f t="shared" si="21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2">IF(J23="primary",IF($I$3-J26&lt;0,0.5*($I$3-J26),$I$3-J26),IF(J23="secondary",IF($I$4-J26&lt;0,0.5*($I$4-J26),$I$4-J26),IF(J23="phy",IF($I$5-J26&lt;0,0.5*($I$5-J26),$I$5-J26),0)))</f>
        <v>0.1</v>
      </c>
      <c r="K37" s="61">
        <f t="shared" si="22"/>
        <v>0.1</v>
      </c>
      <c r="L37" s="61">
        <f t="shared" si="22"/>
        <v>0.1</v>
      </c>
      <c r="M37" s="61">
        <f t="shared" si="22"/>
        <v>-6.9999999999999993E-2</v>
      </c>
      <c r="N37" s="61">
        <f t="shared" si="22"/>
        <v>0</v>
      </c>
      <c r="O37" s="61">
        <f t="shared" si="22"/>
        <v>0</v>
      </c>
      <c r="P37" s="61">
        <f t="shared" si="22"/>
        <v>0</v>
      </c>
      <c r="Q37" s="61">
        <f t="shared" si="22"/>
        <v>0</v>
      </c>
      <c r="R37" s="61">
        <f t="shared" si="22"/>
        <v>0</v>
      </c>
      <c r="S37" s="61">
        <f t="shared" si="22"/>
        <v>0</v>
      </c>
      <c r="T37" s="61">
        <f t="shared" si="22"/>
        <v>0</v>
      </c>
      <c r="U37" s="61">
        <f t="shared" si="22"/>
        <v>0</v>
      </c>
      <c r="V37" s="61">
        <f t="shared" si="22"/>
        <v>0</v>
      </c>
      <c r="W37" s="61">
        <f t="shared" si="22"/>
        <v>0</v>
      </c>
      <c r="X37" s="61">
        <f t="shared" si="22"/>
        <v>0</v>
      </c>
      <c r="Y37" s="61">
        <f t="shared" si="22"/>
        <v>0</v>
      </c>
      <c r="Z37" s="61">
        <f t="shared" si="22"/>
        <v>0</v>
      </c>
      <c r="AA37" s="61">
        <f t="shared" si="22"/>
        <v>0</v>
      </c>
      <c r="AB37" s="61">
        <f t="shared" si="22"/>
        <v>0</v>
      </c>
      <c r="AC37" s="61">
        <f t="shared" si="22"/>
        <v>0</v>
      </c>
      <c r="AD37" s="61">
        <f t="shared" si="22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>
        <v>0.24</v>
      </c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>
        <v>0.61299999999999999</v>
      </c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0.93200000000000005</v>
      </c>
      <c r="D48" s="8">
        <v>2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>
        <v>1</v>
      </c>
      <c r="K49" s="51">
        <v>2</v>
      </c>
      <c r="L49" s="51">
        <v>1</v>
      </c>
      <c r="M49" s="51">
        <v>1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1131.5626154653039</v>
      </c>
      <c r="K50" s="22">
        <f t="shared" ref="K50:AD50" si="23">IF(K49&gt;1,K19/K49,K19)</f>
        <v>8325.2833495167306</v>
      </c>
      <c r="L50" s="22">
        <f t="shared" si="23"/>
        <v>678.93756927918241</v>
      </c>
      <c r="M50" s="22">
        <f t="shared" si="23"/>
        <v>1609.086969747721</v>
      </c>
      <c r="N50" s="22">
        <f t="shared" si="23"/>
        <v>0</v>
      </c>
      <c r="O50" s="22">
        <f t="shared" si="23"/>
        <v>0</v>
      </c>
      <c r="P50" s="22">
        <f t="shared" si="23"/>
        <v>0</v>
      </c>
      <c r="Q50" s="22">
        <f t="shared" si="23"/>
        <v>0</v>
      </c>
      <c r="R50" s="22">
        <f t="shared" si="23"/>
        <v>0</v>
      </c>
      <c r="S50" s="22">
        <f t="shared" si="23"/>
        <v>0</v>
      </c>
      <c r="T50" s="22">
        <f t="shared" si="23"/>
        <v>0</v>
      </c>
      <c r="U50" s="22">
        <f t="shared" si="23"/>
        <v>0</v>
      </c>
      <c r="V50" s="22">
        <f t="shared" si="23"/>
        <v>0</v>
      </c>
      <c r="W50" s="22">
        <f t="shared" si="23"/>
        <v>0</v>
      </c>
      <c r="X50" s="22">
        <f t="shared" si="23"/>
        <v>0</v>
      </c>
      <c r="Y50" s="22">
        <f t="shared" si="23"/>
        <v>0</v>
      </c>
      <c r="Z50" s="22">
        <f t="shared" si="23"/>
        <v>0</v>
      </c>
      <c r="AA50" s="22">
        <f t="shared" si="23"/>
        <v>0</v>
      </c>
      <c r="AB50" s="22">
        <f t="shared" si="23"/>
        <v>0</v>
      </c>
      <c r="AC50" s="22">
        <f t="shared" si="23"/>
        <v>0</v>
      </c>
      <c r="AD50" s="22">
        <f t="shared" si="23"/>
        <v>0</v>
      </c>
    </row>
    <row r="51" spans="1:30" x14ac:dyDescent="0.25">
      <c r="A51" s="1"/>
      <c r="B51" s="90" t="s">
        <v>3</v>
      </c>
      <c r="C51" s="37">
        <f t="shared" ref="C51:C58" si="24">E51*D51</f>
        <v>0</v>
      </c>
      <c r="D51" s="8">
        <v>0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I52" s="22" t="s">
        <v>531</v>
      </c>
      <c r="J52" s="22">
        <f>IF(J51=0,J19,J50*3)</f>
        <v>1131.5626154653039</v>
      </c>
      <c r="K52" s="22">
        <f t="shared" ref="K52:AD52" si="25">IF(K51=0,K19,K50*3)</f>
        <v>24975.850048550194</v>
      </c>
      <c r="L52" s="22">
        <f t="shared" si="25"/>
        <v>678.93756927918241</v>
      </c>
      <c r="M52" s="22">
        <f t="shared" si="25"/>
        <v>1609.086969747721</v>
      </c>
      <c r="N52" s="22">
        <f t="shared" si="25"/>
        <v>0</v>
      </c>
      <c r="O52" s="22">
        <f t="shared" si="25"/>
        <v>0</v>
      </c>
      <c r="P52" s="22">
        <f t="shared" si="25"/>
        <v>0</v>
      </c>
      <c r="Q52" s="22">
        <f t="shared" si="25"/>
        <v>0</v>
      </c>
      <c r="R52" s="22">
        <f t="shared" si="25"/>
        <v>0</v>
      </c>
      <c r="S52" s="22">
        <f t="shared" si="25"/>
        <v>0</v>
      </c>
      <c r="T52" s="22">
        <f t="shared" si="25"/>
        <v>0</v>
      </c>
      <c r="U52" s="22">
        <f t="shared" si="25"/>
        <v>0</v>
      </c>
      <c r="V52" s="22">
        <f t="shared" si="25"/>
        <v>0</v>
      </c>
      <c r="W52" s="22">
        <f t="shared" si="25"/>
        <v>0</v>
      </c>
      <c r="X52" s="22">
        <f t="shared" si="25"/>
        <v>0</v>
      </c>
      <c r="Y52" s="22">
        <f t="shared" si="25"/>
        <v>0</v>
      </c>
      <c r="Z52" s="22">
        <f t="shared" si="25"/>
        <v>0</v>
      </c>
      <c r="AA52" s="22">
        <f t="shared" si="25"/>
        <v>0</v>
      </c>
      <c r="AB52" s="22">
        <f t="shared" si="25"/>
        <v>0</v>
      </c>
      <c r="AC52" s="22">
        <f t="shared" si="25"/>
        <v>0</v>
      </c>
      <c r="AD52" s="22">
        <f t="shared" si="25"/>
        <v>0</v>
      </c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4"/>
        <v>0</v>
      </c>
      <c r="D54" s="8">
        <v>0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23" t="s">
        <v>176</v>
      </c>
      <c r="I56" s="23"/>
      <c r="J56" s="23" t="s">
        <v>448</v>
      </c>
      <c r="K56" s="23" t="s">
        <v>449</v>
      </c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6">IF($I$5-K68&lt;0,0.5*($I$5-K68),$I$5-K68)*K58*K67</f>
        <v>0</v>
      </c>
      <c r="L57" s="22">
        <f t="shared" si="26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4"/>
        <v>0.35899999999999999</v>
      </c>
      <c r="D58" s="8">
        <v>1</v>
      </c>
      <c r="E58" s="74">
        <v>0.35899999999999999</v>
      </c>
      <c r="H58" s="84"/>
      <c r="I58" s="84" t="s">
        <v>178</v>
      </c>
      <c r="J58" s="22">
        <f>J63*J64</f>
        <v>3656.6179128962171</v>
      </c>
      <c r="K58" s="22">
        <f t="shared" ref="K58:L58" si="27">K63*K64</f>
        <v>9885.1756788046405</v>
      </c>
      <c r="L58" s="22">
        <f t="shared" si="27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>
        <v>1.3919999999999999</v>
      </c>
      <c r="K59" s="60">
        <v>1.9125000000000001</v>
      </c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>
        <v>0.33300000000000002</v>
      </c>
      <c r="K60" s="51">
        <v>1</v>
      </c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 t="s">
        <v>47</v>
      </c>
      <c r="K61" s="51" t="s">
        <v>47</v>
      </c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>
        <v>1153</v>
      </c>
      <c r="K62" s="51">
        <v>1588</v>
      </c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2114.8744435489975</v>
      </c>
      <c r="K63" s="22">
        <f t="shared" ref="K63:L63" si="28">IFERROR(VLOOKUP(K61,$B$3:$D$8,3,FALSE)*K59*K60+K62,0)</f>
        <v>5556.5911629031143</v>
      </c>
      <c r="L63" s="22">
        <f t="shared" si="28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1.7290000000000001</v>
      </c>
      <c r="K64" s="85">
        <f t="shared" ref="K64:L64" si="29">1+$D$20+K65+K66</f>
        <v>1.7790000000000001</v>
      </c>
      <c r="L64" s="85">
        <f t="shared" si="29"/>
        <v>1.7290000000000001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>
        <v>0.05</v>
      </c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0">IFERROR(VLOOKUP(Q60,$B$3:$D$8,3,FALSE)*Q58*Q59+Q61,0)</f>
        <v>0</v>
      </c>
      <c r="R66" s="22">
        <f t="shared" si="30"/>
        <v>0</v>
      </c>
      <c r="S66" s="22">
        <f t="shared" si="30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1">1/((1-Q65)*(1-Q64))</f>
        <v>1</v>
      </c>
      <c r="R67" s="44">
        <f t="shared" si="31"/>
        <v>1</v>
      </c>
      <c r="S67" s="44">
        <f t="shared" si="31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2">(1+Q63)*(Q62)</f>
        <v>0</v>
      </c>
      <c r="R68" s="80">
        <f t="shared" si="32"/>
        <v>0</v>
      </c>
      <c r="S68" s="80">
        <f t="shared" si="32"/>
        <v>0</v>
      </c>
      <c r="U68" s="32" t="s">
        <v>161</v>
      </c>
      <c r="V68" s="80">
        <f>($D$4+$C$4*V69+V70+1000)/($D$4+$C$4*V69+V70)</f>
        <v>1.9261430581823593</v>
      </c>
      <c r="W68" s="80">
        <f>($D$4+$C$4*W69+W70+1000)/($D$4+$C$4*W69+W70)</f>
        <v>1.9261430581823593</v>
      </c>
      <c r="X68" s="80">
        <f>($D$4+$C$4*X69+X70+1000)/($D$4+$C$4*X69+X70)</f>
        <v>1.9261430581823593</v>
      </c>
      <c r="Y68" s="80">
        <f>($D$4+$C$4*Y69+Y70+1000)/($D$4+$C$4*Y69+Y70)</f>
        <v>1.9261430581823593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1.9261430581823593</v>
      </c>
      <c r="Q69" s="80">
        <f>($D$4+$C$4*Q70+Q71+1000)/($D$4+$C$4*Q70+Q71)</f>
        <v>1.9261430581823593</v>
      </c>
      <c r="R69" s="80">
        <f>($D$4+$C$4*R70+R71+1000)/($D$4+$C$4*R70+R71)</f>
        <v>1.9261430581823593</v>
      </c>
      <c r="S69" s="80">
        <f>($D$4+$C$4*S70+S71+1000)/($D$4+$C$4*S70+S71)</f>
        <v>1.9261430581823593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I71" s="156" t="s">
        <v>576</v>
      </c>
      <c r="J71" s="45">
        <f>MIN(30000,$K$58*1)*0.9*J72*J73*J74</f>
        <v>20462.313655125603</v>
      </c>
      <c r="K71" s="45">
        <f>MIN(30000,$K$58*3)*0.9*K72*K73*K74</f>
        <v>133449.87166386266</v>
      </c>
      <c r="L71" s="45">
        <f>MIN(30000,$K$58*3)*0.9*L72*L73*L74</f>
        <v>73130.529671796743</v>
      </c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I72" s="156" t="s">
        <v>575</v>
      </c>
      <c r="J72" s="45">
        <v>1</v>
      </c>
      <c r="K72">
        <v>2</v>
      </c>
      <c r="L72">
        <v>1</v>
      </c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  <c r="I73" s="156" t="s">
        <v>577</v>
      </c>
      <c r="J73" s="45">
        <v>1.1499999999999999</v>
      </c>
      <c r="K73">
        <v>1.25</v>
      </c>
      <c r="L73">
        <v>1.37</v>
      </c>
    </row>
    <row r="74" spans="1:25" x14ac:dyDescent="0.25">
      <c r="A74" s="1"/>
      <c r="B74" s="99" t="s">
        <v>152</v>
      </c>
      <c r="C74" s="7"/>
      <c r="D74" s="7"/>
      <c r="E74" s="24"/>
      <c r="I74" s="156" t="s">
        <v>138</v>
      </c>
      <c r="J74" s="45">
        <v>2</v>
      </c>
      <c r="K74">
        <v>2</v>
      </c>
      <c r="L74">
        <v>2</v>
      </c>
    </row>
    <row r="75" spans="1:25" x14ac:dyDescent="0.25">
      <c r="A75" s="1"/>
      <c r="B75" s="100" t="s">
        <v>49</v>
      </c>
      <c r="C75" s="7"/>
      <c r="D75" s="7"/>
      <c r="E75" s="24"/>
      <c r="I75" s="157" t="s">
        <v>534</v>
      </c>
      <c r="J75" s="45">
        <f>IF(J74&gt;1,J71/J74)</f>
        <v>10231.156827562801</v>
      </c>
      <c r="K75" s="45">
        <f t="shared" ref="K75:L75" si="33">IF(K74&gt;1,K71/K74)</f>
        <v>66724.935831931332</v>
      </c>
      <c r="L75" s="45">
        <f t="shared" si="33"/>
        <v>36565.264835898372</v>
      </c>
    </row>
    <row r="76" spans="1:25" x14ac:dyDescent="0.25">
      <c r="A76" s="1"/>
      <c r="B76" s="101" t="s">
        <v>48</v>
      </c>
      <c r="C76" s="7"/>
      <c r="D76" s="7"/>
      <c r="E76" s="24"/>
      <c r="I76" s="156" t="s">
        <v>578</v>
      </c>
      <c r="J76" s="158">
        <v>1</v>
      </c>
      <c r="K76" s="158">
        <v>1</v>
      </c>
      <c r="L76" s="158">
        <v>1</v>
      </c>
    </row>
    <row r="77" spans="1:25" x14ac:dyDescent="0.25">
      <c r="A77" s="1"/>
      <c r="B77" s="103" t="s">
        <v>11</v>
      </c>
      <c r="C77" s="7"/>
      <c r="D77" s="7"/>
      <c r="E77" s="24"/>
      <c r="I77" s="156" t="s">
        <v>579</v>
      </c>
      <c r="J77" s="45">
        <f>IF(J76=1,J75*3)</f>
        <v>30693.470482688404</v>
      </c>
      <c r="K77" s="45">
        <f t="shared" ref="K77:L77" si="34">IF(K76=1,K75*3)</f>
        <v>200174.807495794</v>
      </c>
      <c r="L77" s="45">
        <f t="shared" si="34"/>
        <v>109695.79450769511</v>
      </c>
    </row>
    <row r="78" spans="1:25" x14ac:dyDescent="0.25">
      <c r="A78" s="1"/>
      <c r="B78" s="104" t="s">
        <v>148</v>
      </c>
      <c r="C78" s="7">
        <v>0.15</v>
      </c>
      <c r="D78" s="7"/>
      <c r="E78" s="24" t="s">
        <v>572</v>
      </c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20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5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5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5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6</v>
      </c>
      <c r="E90" s="70">
        <f t="shared" si="35"/>
        <v>8</v>
      </c>
      <c r="F90">
        <f>F86-D48*2</f>
        <v>6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5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5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7</v>
      </c>
      <c r="E93" s="70">
        <f t="shared" si="35"/>
        <v>9</v>
      </c>
      <c r="F93">
        <f>F86-D51*2</f>
        <v>10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5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5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7.0000000000000009</v>
      </c>
      <c r="E96" s="70">
        <f t="shared" si="35"/>
        <v>9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SUM(J19:AC19)+SUM(Z61:Z61)+SUM(J71:L71)</f>
        <v>247112.86884431069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>
        <v>26.8</v>
      </c>
      <c r="G98" s="82" t="s">
        <v>412</v>
      </c>
      <c r="H98" s="83" t="str">
        <f>IFERROR(IF(D98&gt;=0,H97/D98,"-"),"-")</f>
        <v>-</v>
      </c>
      <c r="I98" s="82" t="s">
        <v>410</v>
      </c>
      <c r="J98" s="83">
        <f>IFERROR(IF(F98&gt;=0,J97/F98,"-"),"-")</f>
        <v>0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>
        <f>IFERROR(IF(F98&gt;=0,F97/F98,"-"),"-")</f>
        <v>9220.6294344892049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SUM(J50:AD50,AA16:AD16,J75:L75)</f>
        <v>126123.85952881321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SUM(J52:AD52,AA4:AD4,J77:L77)</f>
        <v>369817.1412186317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6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7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8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39">20/16</f>
        <v>1.25</v>
      </c>
      <c r="V123" s="131">
        <f>30/22</f>
        <v>1.3636363636363635</v>
      </c>
      <c r="W123" s="131">
        <f t="shared" ref="W123:W129" si="40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1">21/16</f>
        <v>1.3125</v>
      </c>
      <c r="V124" s="129">
        <f>30/22</f>
        <v>1.3636363636363635</v>
      </c>
      <c r="W124" s="129">
        <f t="shared" si="40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1"/>
        <v>1.3125</v>
      </c>
      <c r="V125" s="131">
        <f t="shared" ref="V125:V129" si="42">30/22</f>
        <v>1.3636363636363635</v>
      </c>
      <c r="W125" s="131">
        <f t="shared" si="40"/>
        <v>1.3333333333333333</v>
      </c>
      <c r="X125" s="131">
        <f t="shared" ref="X125:X129" si="43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1"/>
        <v>1.3125</v>
      </c>
      <c r="V126" s="129">
        <f t="shared" si="42"/>
        <v>1.3636363636363635</v>
      </c>
      <c r="W126" s="129">
        <f t="shared" si="40"/>
        <v>1.3333333333333333</v>
      </c>
      <c r="X126" s="129">
        <f t="shared" si="43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1"/>
        <v>1.3125</v>
      </c>
      <c r="V127" s="131">
        <f t="shared" si="42"/>
        <v>1.3636363636363635</v>
      </c>
      <c r="W127" s="131">
        <f t="shared" si="40"/>
        <v>1.3333333333333333</v>
      </c>
      <c r="X127" s="131">
        <f t="shared" si="43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1"/>
        <v>1.3125</v>
      </c>
      <c r="V128" s="129">
        <f t="shared" si="42"/>
        <v>1.3636363636363635</v>
      </c>
      <c r="W128" s="129">
        <f t="shared" si="40"/>
        <v>1.3333333333333333</v>
      </c>
      <c r="X128" s="129">
        <f t="shared" si="43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1"/>
        <v>1.3125</v>
      </c>
      <c r="V129" s="131">
        <f t="shared" si="42"/>
        <v>1.3636363636363635</v>
      </c>
      <c r="W129" s="131">
        <f t="shared" si="40"/>
        <v>1.3333333333333333</v>
      </c>
      <c r="X129" s="131">
        <f t="shared" si="43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4">I178*2</f>
        <v>1.4918</v>
      </c>
      <c r="K178" s="121">
        <f t="shared" ref="K178" si="45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6">I181*2</f>
        <v>1.2786</v>
      </c>
      <c r="K181" s="121">
        <f t="shared" ref="K181" si="47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8">H184*2</f>
        <v>1.4918</v>
      </c>
      <c r="J184" s="121">
        <f t="shared" ref="J184" si="49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0">H187*2</f>
        <v>1.7902</v>
      </c>
      <c r="J187" s="121">
        <f t="shared" ref="J187" si="51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2">I196*2</f>
        <v>1.1366000000000001</v>
      </c>
      <c r="K196" s="121">
        <f t="shared" ref="K196" si="53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4">I208*2</f>
        <v>1.2786</v>
      </c>
      <c r="K208" s="121">
        <f t="shared" ref="K208" si="55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E8AF7E7A-403B-4A03-90DB-1FEE81C1446E}">
      <formula1>"amp,trans,nil"</formula1>
    </dataValidation>
    <dataValidation type="list" allowBlank="1" showInputMessage="1" showErrorMessage="1" sqref="C1" xr:uid="{3EAD6D46-0BB2-41B6-B376-ABECEC05D7DF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09AF6-0D45-43F7-8BEE-A96967E4E736}">
  <sheetPr codeName="Sheet18"/>
  <dimension ref="A1:CG345"/>
  <sheetViews>
    <sheetView topLeftCell="A82" zoomScale="79" zoomScaleNormal="79" zoomScaleSheetLayoutView="40" workbookViewId="0">
      <pane xSplit="1" topLeftCell="B1" activePane="topRight" state="frozen"/>
      <selection activeCell="A153" sqref="A153"/>
      <selection pane="topRight" activeCell="F100" sqref="F100"/>
    </sheetView>
  </sheetViews>
  <sheetFormatPr defaultRowHeight="15" x14ac:dyDescent="0.25"/>
  <cols>
    <col min="1" max="1" width="14.140625" bestFit="1" customWidth="1"/>
    <col min="2" max="2" width="19.7109375" bestFit="1" customWidth="1"/>
    <col min="3" max="3" width="18.28515625" bestFit="1" customWidth="1"/>
    <col min="4" max="4" width="16.28515625" bestFit="1" customWidth="1"/>
    <col min="5" max="5" width="36.28515625" bestFit="1" customWidth="1"/>
    <col min="6" max="6" width="26" bestFit="1" customWidth="1"/>
    <col min="7" max="7" width="35.85546875" bestFit="1" customWidth="1"/>
    <col min="8" max="8" width="30.42578125" bestFit="1" customWidth="1"/>
    <col min="9" max="9" width="38.42578125" style="45" bestFit="1" customWidth="1"/>
    <col min="10" max="10" width="30.85546875" style="45" bestFit="1" customWidth="1"/>
    <col min="11" max="11" width="25.5703125" bestFit="1" customWidth="1"/>
    <col min="12" max="12" width="30.7109375" bestFit="1" customWidth="1"/>
    <col min="13" max="13" width="15.28515625" bestFit="1" customWidth="1"/>
    <col min="14" max="14" width="16.28515625" bestFit="1" customWidth="1"/>
    <col min="15" max="15" width="24.7109375" bestFit="1" customWidth="1"/>
    <col min="16" max="16" width="14.28515625" bestFit="1" customWidth="1"/>
    <col min="17" max="17" width="24.28515625" bestFit="1" customWidth="1"/>
    <col min="18" max="18" width="28.85546875" bestFit="1" customWidth="1"/>
    <col min="19" max="19" width="31.28515625" bestFit="1" customWidth="1"/>
    <col min="20" max="20" width="30.5703125" bestFit="1" customWidth="1"/>
    <col min="21" max="21" width="33.42578125" bestFit="1" customWidth="1"/>
    <col min="22" max="22" width="27.28515625" bestFit="1" customWidth="1"/>
    <col min="23" max="23" width="31.28515625" bestFit="1" customWidth="1"/>
    <col min="24" max="24" width="14.28515625" bestFit="1" customWidth="1"/>
    <col min="25" max="25" width="18.28515625" bestFit="1" customWidth="1"/>
    <col min="26" max="26" width="24" bestFit="1" customWidth="1"/>
    <col min="27" max="27" width="11.28515625" bestFit="1" customWidth="1"/>
    <col min="28" max="30" width="7" bestFit="1" customWidth="1"/>
    <col min="31" max="31" width="12.28515625" bestFit="1" customWidth="1"/>
    <col min="32" max="32" width="12.28515625" customWidth="1"/>
    <col min="33" max="33" width="38.140625" bestFit="1" customWidth="1"/>
    <col min="34" max="34" width="28.7109375" bestFit="1" customWidth="1"/>
    <col min="35" max="35" width="33.28515625" bestFit="1" customWidth="1"/>
    <col min="36" max="36" width="28.42578125" bestFit="1" customWidth="1"/>
    <col min="37" max="37" width="23" bestFit="1" customWidth="1"/>
    <col min="38" max="38" width="27.5703125" bestFit="1" customWidth="1"/>
    <col min="39" max="39" width="14.28515625" bestFit="1" customWidth="1"/>
    <col min="40" max="40" width="13.7109375" bestFit="1" customWidth="1"/>
    <col min="41" max="41" width="9.7109375" bestFit="1" customWidth="1"/>
    <col min="42" max="43" width="22.85546875" bestFit="1" customWidth="1"/>
    <col min="44" max="44" width="11.140625" bestFit="1" customWidth="1"/>
    <col min="45" max="45" width="15" bestFit="1" customWidth="1"/>
    <col min="46" max="46" width="15.28515625" bestFit="1" customWidth="1"/>
    <col min="48" max="48" width="14" bestFit="1" customWidth="1"/>
    <col min="49" max="49" width="30.28515625" bestFit="1" customWidth="1"/>
    <col min="50" max="50" width="27.7109375" bestFit="1" customWidth="1"/>
    <col min="51" max="51" width="15.5703125" bestFit="1" customWidth="1"/>
  </cols>
  <sheetData>
    <row r="1" spans="1:30" ht="14.65" customHeight="1" x14ac:dyDescent="0.25">
      <c r="A1" s="1"/>
      <c r="C1" t="s">
        <v>69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  <c r="Z2" s="77" t="s">
        <v>154</v>
      </c>
      <c r="AA2" s="76"/>
      <c r="AB2" s="76"/>
    </row>
    <row r="3" spans="1:30" x14ac:dyDescent="0.25">
      <c r="A3" s="1"/>
      <c r="B3" s="87" t="s">
        <v>47</v>
      </c>
      <c r="C3" s="35">
        <f>VLOOKUP($C$1,$B$115:$E$165,2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338.26715762090515</v>
      </c>
      <c r="D3" s="36">
        <f>(C3+C25)*(1+IFERROR(IF(VLOOKUP($C$1,B115:G165,5,FALSE)="atk%",IF(VLOOKUP($C$1,$B$115:$G$165,6,FALSE)=5,0.072,0.06)*IF(D1&gt;=80,4,IF(D1&gt;=70,3,IF(D1&gt;=50,2,IF(D1&gt;=40,1,0)))),0),0)+C27+C48+C90*E90+E3+C62)+C26+C46+C87*E87+F3+C61</f>
        <v>874.72636883433745</v>
      </c>
      <c r="E3" s="7">
        <v>0</v>
      </c>
      <c r="F3">
        <v>0</v>
      </c>
      <c r="H3" s="22" t="s">
        <v>91</v>
      </c>
      <c r="I3" s="59">
        <v>0.1</v>
      </c>
      <c r="J3"/>
      <c r="Z3" s="23" t="s">
        <v>116</v>
      </c>
      <c r="AA3" s="23"/>
      <c r="AB3" s="23"/>
      <c r="AC3" s="23"/>
      <c r="AD3" s="23"/>
    </row>
    <row r="4" spans="1:30" x14ac:dyDescent="0.25">
      <c r="A4" s="1"/>
      <c r="B4" s="88" t="s">
        <v>45</v>
      </c>
      <c r="C4" s="35">
        <f>VLOOKUP($C$1,$B$115:$E$165,3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791.68151278866878</v>
      </c>
      <c r="D4" s="36">
        <f>C4*(1+IFERROR(IF(VLOOKUP($C$1,B115:G165,5,FALSE)="def%",IF(VLOOKUP($C$1,$B$115:$G$165,6,FALSE)=5,0.09,0.075)*IF(D1&gt;=80,4,IF(D1&gt;=70,3,IF(D1&gt;=50,2,IF(D1&gt;=40,1,0)))),0),0)+C28+C49+C91*E91+E4+C63)+C88*E88+F4</f>
        <v>929.85002037446384</v>
      </c>
      <c r="E4" s="7">
        <v>0</v>
      </c>
      <c r="F4">
        <v>0</v>
      </c>
      <c r="H4" s="57" t="s">
        <v>92</v>
      </c>
      <c r="I4" s="59">
        <v>0.1</v>
      </c>
      <c r="J4"/>
      <c r="Z4" s="84" t="s">
        <v>177</v>
      </c>
      <c r="AA4" s="22">
        <f>AA9*AA6*(AA10+AA11)*(1-AA12)*IF(ISBLANK(AA15),1,AA15)</f>
        <v>0</v>
      </c>
      <c r="AB4" s="22">
        <f>AB9*AB6*(AB10+AB11)*(1-AB12)*IF(ISBLANK(AB15),1,AB15)</f>
        <v>0</v>
      </c>
      <c r="AC4" s="22">
        <f t="shared" ref="AC4:AD4" si="0">AC9*AC6*(AC10+AC11)*(1-AC12)*IF(ISBLANK(AC15),1,AC15)</f>
        <v>0</v>
      </c>
      <c r="AD4" s="22">
        <f t="shared" si="0"/>
        <v>0</v>
      </c>
    </row>
    <row r="5" spans="1:30" x14ac:dyDescent="0.25">
      <c r="A5" s="1"/>
      <c r="B5" s="89" t="s">
        <v>46</v>
      </c>
      <c r="C5" s="35">
        <f>VLOOKUP($C$1,$B$115:$E$165,4,FALSE)*(IF(VLOOKUP($C$1,$B$115:$G$165,6,FALSE)=5,($D$1-1)*0.087394+1,($D$1-1)*0.082566+1)+IF(VLOOKUP($C$1,$B$115:$G$165,6,FALSE)=5,0.8573469,0.7470687)*IF(D1&gt;=80,4.7894737,IF(D1&gt;=70,4.078947,IF(D1&gt;=60,3.368421,IF(D1&gt;=50,2.6578,IF(D1&gt;=40,1.7105263,IF(D1&gt;=20,1,0)))))))</f>
        <v>12946.141506160244</v>
      </c>
      <c r="D5" s="36">
        <f>C5*(1+IFERROR(IF(VLOOKUP($C$1,B115:G165,5,FALSE)="hp%",IF(VLOOKUP($C$1,$B$115:$G$165,6,FALSE)=5,0.072,0.06)*IF(D1&gt;=80,4,IF(D1&gt;=70,3,IF(D1&gt;=50,2,IF(D1&gt;=40,1,0)))),0),0)+C29+C50+C92*E92+E5+C64)+C89*E89+C47+F5</f>
        <v>19528.755656776269</v>
      </c>
      <c r="E5" s="7">
        <v>0</v>
      </c>
      <c r="F5">
        <v>0</v>
      </c>
      <c r="H5" s="58" t="s">
        <v>103</v>
      </c>
      <c r="I5" s="59">
        <v>0.1</v>
      </c>
      <c r="J5"/>
      <c r="Z5" s="67" t="s">
        <v>97</v>
      </c>
      <c r="AA5" s="24"/>
      <c r="AB5" s="24"/>
      <c r="AC5" s="24"/>
      <c r="AD5" s="24"/>
    </row>
    <row r="6" spans="1:30" x14ac:dyDescent="0.25">
      <c r="A6" s="1"/>
      <c r="B6" s="90" t="s">
        <v>3</v>
      </c>
      <c r="C6" s="37">
        <f>0.05+IFERROR(IF(VLOOKUP($C$1,B115:G165,5,FALSE)="crit",IF(VLOOKUP($C$1,$B$115:$G$165,6,FALSE)=5,0.048,0.04)*IF(D1&gt;=80,4,IF(D1&gt;=70,3,IF(D1&gt;=50,2,IF(D1&gt;=40,1,0)))),0),0)</f>
        <v>0.05</v>
      </c>
      <c r="D6" s="38">
        <f>C6+C30+C51+C93*E93+E6+C65</f>
        <v>0.42699999999999999</v>
      </c>
      <c r="E6" s="7">
        <v>0</v>
      </c>
      <c r="F6" s="1"/>
      <c r="J6"/>
      <c r="Z6" s="67" t="s">
        <v>83</v>
      </c>
      <c r="AA6" s="24"/>
      <c r="AB6" s="24"/>
      <c r="AC6" s="24"/>
      <c r="AD6" s="24"/>
    </row>
    <row r="7" spans="1:30" x14ac:dyDescent="0.25">
      <c r="A7" s="1"/>
      <c r="B7" s="91" t="s">
        <v>2</v>
      </c>
      <c r="C7" s="37">
        <f>0.5+IFERROR(IF(VLOOKUP($C$1,B115:G165,5,FALSE)="crit damage",IF(VLOOKUP($C$1,$B$115:$G$165,6,FALSE)=5,0.096,0.08)*IF(D1&gt;=80,4,IF(D1&gt;=70,3,IF(D1&gt;=50,2,IF(D1&gt;=40,1,0)))),0),0)</f>
        <v>0.5</v>
      </c>
      <c r="D7" s="38">
        <f>C7+C31+C94*E94+C52+E7+C66</f>
        <v>0.63200000000000001</v>
      </c>
      <c r="E7" s="7">
        <v>0</v>
      </c>
      <c r="F7" s="1"/>
      <c r="H7" s="123" t="s">
        <v>196</v>
      </c>
      <c r="I7" s="123"/>
      <c r="J7" s="123">
        <v>1</v>
      </c>
      <c r="K7" s="123">
        <f t="shared" ref="K7:U7" si="1">J7+1</f>
        <v>2</v>
      </c>
      <c r="L7" s="123">
        <f t="shared" si="1"/>
        <v>3</v>
      </c>
      <c r="M7" s="123">
        <f t="shared" si="1"/>
        <v>4</v>
      </c>
      <c r="N7" s="123">
        <f t="shared" si="1"/>
        <v>5</v>
      </c>
      <c r="O7" s="123">
        <f t="shared" si="1"/>
        <v>6</v>
      </c>
      <c r="P7" s="123">
        <f t="shared" si="1"/>
        <v>7</v>
      </c>
      <c r="Q7" s="123">
        <f t="shared" si="1"/>
        <v>8</v>
      </c>
      <c r="R7" s="123">
        <f t="shared" si="1"/>
        <v>9</v>
      </c>
      <c r="S7" s="123">
        <f t="shared" si="1"/>
        <v>10</v>
      </c>
      <c r="T7" s="123">
        <f t="shared" si="1"/>
        <v>11</v>
      </c>
      <c r="U7" s="123">
        <f t="shared" si="1"/>
        <v>12</v>
      </c>
      <c r="V7" s="123">
        <f t="shared" ref="V7" si="2">U7+1</f>
        <v>13</v>
      </c>
      <c r="W7" s="123">
        <f t="shared" ref="W7" si="3">V7+1</f>
        <v>14</v>
      </c>
      <c r="X7" s="123">
        <f t="shared" ref="X7" si="4">W7+1</f>
        <v>15</v>
      </c>
      <c r="Z7" s="67" t="s">
        <v>100</v>
      </c>
      <c r="AA7" s="29"/>
      <c r="AB7" s="29"/>
      <c r="AC7" s="29"/>
      <c r="AD7" s="29"/>
    </row>
    <row r="8" spans="1:30" x14ac:dyDescent="0.25">
      <c r="A8" s="1"/>
      <c r="B8" s="92" t="s">
        <v>1</v>
      </c>
      <c r="C8" s="22">
        <f>IFERROR(IF(VLOOKUP($C$1,B115:G165,5,FALSE)="em",IF(VLOOKUP($C$1,$B$115:$G$165,6,FALSE)=5,28.8,24)*IF(D1&gt;=80,4,IF(D1&gt;=70,3,IF(D1&gt;=50,2,IF(D1&gt;=40,1,0)))),0),0)</f>
        <v>0</v>
      </c>
      <c r="D8" s="36">
        <f>C8+C32+C95*E95+C53+F8+C67</f>
        <v>40</v>
      </c>
      <c r="E8" s="20"/>
      <c r="F8">
        <v>0</v>
      </c>
      <c r="H8" s="51" t="s">
        <v>203</v>
      </c>
      <c r="I8" s="123" t="s">
        <v>197</v>
      </c>
      <c r="J8" s="124" t="str">
        <f t="shared" ref="J8:X8" si="5">IF(VLOOKUP($C$1,$A$167:$AU$295,J7+1,FALSE)=0,"",VLOOKUP($C$1,$A$167:$AI$295,J7+1,FALSE))</f>
        <v>1-Hit DMG</v>
      </c>
      <c r="K8" s="124" t="str">
        <f t="shared" si="5"/>
        <v>2-Hit DMG</v>
      </c>
      <c r="L8" s="124" t="str">
        <f t="shared" si="5"/>
        <v>3-Hit DMG</v>
      </c>
      <c r="M8" s="124" t="str">
        <f t="shared" si="5"/>
        <v>4-Hit DMG (*2)</v>
      </c>
      <c r="N8" s="124" t="str">
        <f t="shared" si="5"/>
        <v>5-Hit DMG</v>
      </c>
      <c r="O8" s="124" t="str">
        <f t="shared" si="5"/>
        <v>Charged Attack DMG</v>
      </c>
      <c r="P8" s="124" t="str">
        <f t="shared" si="5"/>
        <v>Plunge DMG</v>
      </c>
      <c r="Q8" s="124" t="str">
        <f t="shared" si="5"/>
        <v>Low Plunge DMG</v>
      </c>
      <c r="R8" s="124" t="str">
        <f t="shared" si="5"/>
        <v>High Plunge DMG</v>
      </c>
      <c r="S8" s="124" t="str">
        <f t="shared" si="5"/>
        <v/>
      </c>
      <c r="T8" s="124" t="str">
        <f t="shared" si="5"/>
        <v/>
      </c>
      <c r="U8" s="124" t="str">
        <f t="shared" si="5"/>
        <v/>
      </c>
      <c r="V8" s="124" t="str">
        <f t="shared" si="5"/>
        <v/>
      </c>
      <c r="W8" s="124" t="str">
        <f t="shared" si="5"/>
        <v/>
      </c>
      <c r="X8" s="124" t="str">
        <f t="shared" si="5"/>
        <v/>
      </c>
      <c r="Z8" s="67" t="s">
        <v>142</v>
      </c>
      <c r="AA8" s="59"/>
      <c r="AB8" s="62"/>
      <c r="AC8" s="62"/>
      <c r="AD8" s="62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51">
        <v>9</v>
      </c>
      <c r="I9" s="133" t="s">
        <v>198</v>
      </c>
      <c r="J9" s="134">
        <f t="shared" ref="J9:X9" si="6">IFERROR(INDEX($A$167:$AU$295,MATCH($C$1,$A$167:$A$295,0)+2,J7+1)*HLOOKUP(INDEX($A$167:$AU$295,MATCH($C$1,$A$167:$A$295,0)+1,J7+1),$H$114:$AU$129,$H$9+1,FALSE),"")</f>
        <v>0.72837050000000003</v>
      </c>
      <c r="K9" s="134">
        <f t="shared" si="6"/>
        <v>0.72984009999999999</v>
      </c>
      <c r="L9" s="134">
        <f t="shared" si="6"/>
        <v>0.91629559999999999</v>
      </c>
      <c r="M9" s="134">
        <f t="shared" si="6"/>
        <v>0.53236260000000002</v>
      </c>
      <c r="N9" s="134">
        <f t="shared" si="6"/>
        <v>1.2023165</v>
      </c>
      <c r="O9" s="134">
        <f t="shared" si="6"/>
        <v>1.8294683</v>
      </c>
      <c r="P9" s="134">
        <f t="shared" si="6"/>
        <v>1.1743941</v>
      </c>
      <c r="Q9" s="134">
        <f t="shared" si="6"/>
        <v>2.3487882</v>
      </c>
      <c r="R9" s="134">
        <f t="shared" si="6"/>
        <v>2.9359852499999999</v>
      </c>
      <c r="S9" s="134" t="str">
        <f t="shared" si="6"/>
        <v/>
      </c>
      <c r="T9" s="134" t="str">
        <f t="shared" si="6"/>
        <v/>
      </c>
      <c r="U9" s="134" t="str">
        <f t="shared" si="6"/>
        <v/>
      </c>
      <c r="V9" s="134" t="str">
        <f t="shared" si="6"/>
        <v/>
      </c>
      <c r="W9" s="134" t="str">
        <f t="shared" si="6"/>
        <v/>
      </c>
      <c r="X9" s="134" t="str">
        <f t="shared" si="6"/>
        <v/>
      </c>
      <c r="Z9" s="32" t="s">
        <v>140</v>
      </c>
      <c r="AA9" s="63">
        <f>IF(AA5="ol",$F$10,IF(AA5="ec",$F$11,IF(AA5="sc",$F$12,IF(AA5="swirl",$F$13,IF(AA5="shatter",$F$14,0)))))</f>
        <v>0</v>
      </c>
      <c r="AB9" s="63">
        <f>IF(AB5="ol",$F$10,IF(AB5="ec",$F$11,IF(AB5="sc",$F$12,IF(AB5="swirl",$F$13,IF(AB5="shatter",$F$14,0)))))</f>
        <v>0</v>
      </c>
      <c r="AC9" s="63">
        <f t="shared" ref="AC9:AD9" si="7">IF(AC5="ol",$F$10,IF(AC5="ec",$F$11,IF(AC5="sc",$F$12,IF(AC5="swirl",$F$13,IF(AC5="shatter",$F$14,0)))))</f>
        <v>0</v>
      </c>
      <c r="AD9" s="63">
        <f t="shared" si="7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IFERROR(IF(VLOOKUP($C$1,B115:G165,5,FALSE)="dmg%",IF(VLOOKUP($C$1,$B$115:$G$165,6,FALSE)=5,0.072,0.06)*IF(D1&gt;=80,4,IF(D1&gt;=70,3,IF(D1&gt;=50,2,IF(D1&gt;=40,1,0)))),0),0)+IF(AND(C1="xingqiu",_xlfn.NUMBERVALUE(D1)&gt;=60),0.2,0)+C34+C54+C69+C10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51" t="s">
        <v>203</v>
      </c>
      <c r="I10" s="123" t="s">
        <v>197</v>
      </c>
      <c r="J10" s="124" t="str">
        <f t="shared" ref="J10:X10" si="8">IF(VLOOKUP($C$1,$A$167:$AU$295,J7+16,FALSE)=0,"",VLOOKUP($C$1,$A$167:$AU$295,J7+16,FALSE))</f>
        <v>Skill DMG</v>
      </c>
      <c r="K10" s="124" t="str">
        <f t="shared" si="8"/>
        <v>Coordinated ATK DMG</v>
      </c>
      <c r="L10" s="124" t="str">
        <f t="shared" si="8"/>
        <v>Elemental Burst DMG Bonus</v>
      </c>
      <c r="M10" s="124" t="str">
        <f t="shared" si="8"/>
        <v/>
      </c>
      <c r="N10" s="124" t="str">
        <f t="shared" si="8"/>
        <v/>
      </c>
      <c r="O10" s="124" t="str">
        <f t="shared" si="8"/>
        <v/>
      </c>
      <c r="P10" s="124" t="str">
        <f t="shared" si="8"/>
        <v/>
      </c>
      <c r="Q10" s="124" t="str">
        <f t="shared" si="8"/>
        <v/>
      </c>
      <c r="R10" s="124" t="str">
        <f t="shared" si="8"/>
        <v/>
      </c>
      <c r="S10" s="124" t="str">
        <f t="shared" si="8"/>
        <v/>
      </c>
      <c r="T10" s="124" t="str">
        <f t="shared" si="8"/>
        <v/>
      </c>
      <c r="U10" s="124" t="str">
        <f t="shared" si="8"/>
        <v/>
      </c>
      <c r="V10" s="124" t="str">
        <f t="shared" si="8"/>
        <v/>
      </c>
      <c r="W10" s="124" t="str">
        <f t="shared" si="8"/>
        <v/>
      </c>
      <c r="X10" s="124" t="str">
        <f t="shared" si="8"/>
        <v/>
      </c>
      <c r="Z10" s="32" t="s">
        <v>139</v>
      </c>
      <c r="AA10" s="64">
        <f>1+(16*($D$8+AA13))/(2000+(AA13+$D$8))</f>
        <v>1.3137254901960784</v>
      </c>
      <c r="AB10" s="64">
        <f>1+(16*($D$8+AB13))/(2000+(AB13+$D$8))</f>
        <v>1.3137254901960784</v>
      </c>
      <c r="AC10" s="64">
        <f t="shared" ref="AC10:AD10" si="9">1+(16*($D$8+AC13))/(2000+(AC13+$D$8))</f>
        <v>1.3137254901960784</v>
      </c>
      <c r="AD10" s="64">
        <f t="shared" si="9"/>
        <v>1.3137254901960784</v>
      </c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51">
        <v>9</v>
      </c>
      <c r="I11" s="133" t="s">
        <v>198</v>
      </c>
      <c r="J11" s="134">
        <f t="shared" ref="J11:X11" si="10">IFERROR(INDEX($A$167:$AU$295,MATCH($C$1,$A$167:$A$295,0)+2,J7+16)*HLOOKUP(INDEX($A$167:$AU$295,MATCH($C$1,$A$167:$A$295,0)+1,J7+16),$H$114:$AU$129,$H$11+1,FALSE),"")</f>
        <v>1.9923999999999997</v>
      </c>
      <c r="K11" s="134">
        <f t="shared" si="10"/>
        <v>0.71399999999999997</v>
      </c>
      <c r="L11" s="134">
        <f t="shared" si="10"/>
        <v>0.3</v>
      </c>
      <c r="M11" s="134" t="str">
        <f t="shared" si="10"/>
        <v/>
      </c>
      <c r="N11" s="134" t="str">
        <f t="shared" si="10"/>
        <v/>
      </c>
      <c r="O11" s="134" t="str">
        <f t="shared" si="10"/>
        <v/>
      </c>
      <c r="P11" s="134" t="str">
        <f t="shared" si="10"/>
        <v/>
      </c>
      <c r="Q11" s="134" t="str">
        <f t="shared" si="10"/>
        <v/>
      </c>
      <c r="R11" s="134" t="str">
        <f t="shared" si="10"/>
        <v/>
      </c>
      <c r="S11" s="134" t="str">
        <f t="shared" si="10"/>
        <v/>
      </c>
      <c r="T11" s="134" t="str">
        <f t="shared" si="10"/>
        <v/>
      </c>
      <c r="U11" s="134" t="str">
        <f t="shared" si="10"/>
        <v/>
      </c>
      <c r="V11" s="134" t="str">
        <f t="shared" si="10"/>
        <v/>
      </c>
      <c r="W11" s="134" t="str">
        <f t="shared" si="10"/>
        <v/>
      </c>
      <c r="X11" s="134" t="str">
        <f t="shared" si="10"/>
        <v/>
      </c>
      <c r="Z11" s="32" t="s">
        <v>99</v>
      </c>
      <c r="AA11" s="59">
        <f>IF(AA5="ol",$C$81,IF(AA5="ec",$C$82,IF(AA5="sc",$C$83,IF(AA5="swirl",$C$84,0))))+AA14</f>
        <v>0</v>
      </c>
      <c r="AB11" s="59">
        <f>IF(AB5="ol",$C$81,IF(AB5="ec",$C$82,IF(AB5="sc",$C$83,IF(AB5="swirl",$C$84,0))))+AB14</f>
        <v>0</v>
      </c>
      <c r="AC11" s="59">
        <f t="shared" ref="AC11:AD11" si="11">IF(AC5="ol",$C$81,IF(AC5="ec",$C$82,IF(AC5="sc",$C$83,IF(AC5="swirl",$C$84,0))))+AC14</f>
        <v>0</v>
      </c>
      <c r="AD11" s="59">
        <f t="shared" si="11"/>
        <v>0</v>
      </c>
    </row>
    <row r="12" spans="1:30" x14ac:dyDescent="0.25">
      <c r="A12" s="1"/>
      <c r="B12" s="97" t="s">
        <v>103</v>
      </c>
      <c r="C12" s="40">
        <v>0</v>
      </c>
      <c r="D12" s="38">
        <f>IFERROR(IF(VLOOKUP($C$1,B115:G165,5,FALSE)="phy%",IF(VLOOKUP($C$1,$B$115:$G$165,6,FALSE)=5,0.09,0.075)*IF(D1&gt;=80,4,IF(D1&gt;=70,3,IF(D1&gt;=50,2,IF(D1&gt;=40,1,0)))),0),0)+C36+C56+C12+C71</f>
        <v>0</v>
      </c>
      <c r="E12" s="28" t="s">
        <v>79</v>
      </c>
      <c r="F12" s="22">
        <f>$F$9*1</f>
        <v>725.3599999999999</v>
      </c>
      <c r="H12" s="51" t="s">
        <v>203</v>
      </c>
      <c r="I12" s="123" t="s">
        <v>197</v>
      </c>
      <c r="J12" s="124" t="str">
        <f t="shared" ref="J12:X12" si="12">IF(VLOOKUP($C$1,$A$167:$AU$295,J7+32,FALSE)=0,"",VLOOKUP($C$1,$A$167:$AU$295,J7+32,FALSE))</f>
        <v>Musou no Hitotachi Base DMG</v>
      </c>
      <c r="K12" s="124" t="str">
        <f t="shared" si="12"/>
        <v>Resolve Bonus (initial)</v>
      </c>
      <c r="L12" s="124" t="str">
        <f t="shared" si="12"/>
        <v>Resolve Bonus (ATK DMG Per Stack)</v>
      </c>
      <c r="M12" s="124" t="str">
        <f t="shared" si="12"/>
        <v>1-Hit DMG</v>
      </c>
      <c r="N12" s="124" t="str">
        <f t="shared" si="12"/>
        <v>2-Hit DMG</v>
      </c>
      <c r="O12" s="124" t="str">
        <f t="shared" si="12"/>
        <v>3-Hit DMG</v>
      </c>
      <c r="P12" s="124" t="str">
        <f t="shared" si="12"/>
        <v>4-Hit DMG (1/2)</v>
      </c>
      <c r="Q12" s="124" t="str">
        <f t="shared" si="12"/>
        <v>4-Hit DMG(2/2)</v>
      </c>
      <c r="R12" s="124" t="str">
        <f t="shared" si="12"/>
        <v>5-Hit DMG</v>
      </c>
      <c r="S12" s="124" t="str">
        <f t="shared" si="12"/>
        <v>Charged Attack DMG (1/2)</v>
      </c>
      <c r="T12" s="124" t="str">
        <f t="shared" si="12"/>
        <v>Charged Attack DMG (2/2)</v>
      </c>
      <c r="U12" s="124" t="str">
        <f t="shared" si="12"/>
        <v>Plunge DMG</v>
      </c>
      <c r="V12" s="124" t="str">
        <f t="shared" si="12"/>
        <v>Low Plunge DMG</v>
      </c>
      <c r="W12" s="124" t="str">
        <f t="shared" si="12"/>
        <v>High Plunge DMG</v>
      </c>
      <c r="X12" s="124" t="str">
        <f t="shared" si="12"/>
        <v/>
      </c>
      <c r="Z12" s="32" t="s">
        <v>141</v>
      </c>
      <c r="AA12" s="60">
        <f>IF(AA8-AA7&lt;0,0.5*(AA8-AA7),AA8-AA7)</f>
        <v>0</v>
      </c>
      <c r="AB12" s="60">
        <f>IF(AB8-AB7&lt;0,0.5*(AB8-AB7),AB8-AB7)</f>
        <v>0</v>
      </c>
      <c r="AC12" s="60">
        <f t="shared" ref="AC12:AD12" si="13">IF(AC8-AC7&lt;0,0.5*(AC8-AC7),AC8-AC7)</f>
        <v>0</v>
      </c>
      <c r="AD12" s="60">
        <f t="shared" si="13"/>
        <v>0</v>
      </c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51">
        <v>9</v>
      </c>
      <c r="I13" s="133" t="s">
        <v>198</v>
      </c>
      <c r="J13" s="134">
        <f>IFERROR(INDEX($A$167:$AU$295,MATCH($C$1,$A$167:$A$295,0)+2,J7+32)*HLOOKUP(INDEX($A$167:$AU$295,MATCH($C$1,$A$167:$A$295,0)+1,J7+32),$H$114:$AU$129,$H13+1,FALSE),"")</f>
        <v>6.8136000000000001</v>
      </c>
      <c r="K13" s="134">
        <f t="shared" ref="K13:X13" si="14">IFERROR(INDEX($A$167:$AU$295,MATCH($C$1,$A$167:$A$295,0)+2,K7+32)*HLOOKUP(INDEX($A$167:$AU$295,MATCH($C$1,$A$167:$A$295,0)+1,K7+32),$H$114:$AU$129,$H13+1,FALSE),"")</f>
        <v>6.6129999999999994E-2</v>
      </c>
      <c r="L13" s="134">
        <f t="shared" si="14"/>
        <v>1.2409999999999999E-2</v>
      </c>
      <c r="M13" s="134">
        <f t="shared" si="14"/>
        <v>0.76058000000000003</v>
      </c>
      <c r="N13" s="134">
        <f t="shared" si="14"/>
        <v>0.74731999999999998</v>
      </c>
      <c r="O13" s="134">
        <f t="shared" si="14"/>
        <v>0.91493999999999998</v>
      </c>
      <c r="P13" s="134">
        <f t="shared" si="14"/>
        <v>0.52512999999999999</v>
      </c>
      <c r="Q13" s="134">
        <f t="shared" si="14"/>
        <v>0.52666000000000002</v>
      </c>
      <c r="R13" s="134">
        <f t="shared" si="14"/>
        <v>1.25698</v>
      </c>
      <c r="S13" s="134">
        <f t="shared" si="14"/>
        <v>1.0471999999999999</v>
      </c>
      <c r="T13" s="134">
        <f t="shared" si="14"/>
        <v>1.2641200000000001</v>
      </c>
      <c r="U13" s="134">
        <f t="shared" si="14"/>
        <v>1.0868099999999998</v>
      </c>
      <c r="V13" s="134">
        <f t="shared" si="14"/>
        <v>2.1736199999999997</v>
      </c>
      <c r="W13" s="134">
        <f t="shared" si="14"/>
        <v>2.717025</v>
      </c>
      <c r="X13" s="134" t="str">
        <f t="shared" si="14"/>
        <v/>
      </c>
      <c r="Z13" s="69" t="s">
        <v>98</v>
      </c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I14"/>
      <c r="J14"/>
      <c r="Z14" s="69" t="s">
        <v>99</v>
      </c>
      <c r="AA14" s="29"/>
      <c r="AB14" s="29"/>
      <c r="AC14" s="29"/>
      <c r="AD14" s="29"/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I15"/>
      <c r="J15"/>
      <c r="Z15" s="69" t="s">
        <v>138</v>
      </c>
      <c r="AA15" s="51"/>
      <c r="AB15" s="51"/>
      <c r="AC15" s="51"/>
      <c r="AD15" s="51"/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I16"/>
      <c r="J16"/>
      <c r="Z16" s="152" t="s">
        <v>534</v>
      </c>
      <c r="AA16" s="51">
        <f>IF(AA15&gt;1,AA4/AA15,AA4)</f>
        <v>0</v>
      </c>
      <c r="AB16" s="51">
        <f t="shared" ref="AB16:AD16" si="15">IF(AB15&gt;1,AB4/AB15,AB4)</f>
        <v>0</v>
      </c>
      <c r="AC16" s="51">
        <f t="shared" si="15"/>
        <v>0</v>
      </c>
      <c r="AD16" s="51">
        <f t="shared" si="15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77" t="s">
        <v>153</v>
      </c>
      <c r="I17" s="76"/>
      <c r="J17" s="79"/>
      <c r="K17" s="45"/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23" t="s">
        <v>116</v>
      </c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 x14ac:dyDescent="0.25">
      <c r="A19" s="1"/>
      <c r="B19" s="103" t="s">
        <v>11</v>
      </c>
      <c r="C19" s="39">
        <v>0</v>
      </c>
      <c r="D19" s="38">
        <f>IFERROR(IF(VLOOKUP($C$1,B115:G165,5,FALSE)="er",IF(VLOOKUP($C$1,$B$115:$G$165,6,FALSE)=5,0.088,0.2/3)*IF(D1&gt;=80,4,IF(D1&gt;=70,3,IF(D1&gt;=50,2,IF(D1&gt;=40,1,0)))),0),0)+C57+C77+C42+C96*E96+1</f>
        <v>1.468</v>
      </c>
      <c r="E19" s="13">
        <v>1</v>
      </c>
      <c r="F19" s="12"/>
      <c r="H19" s="84"/>
      <c r="I19" s="84" t="s">
        <v>177</v>
      </c>
      <c r="J19" s="22">
        <f t="shared" ref="J19:AD19" si="16">IFERROR(J21*J20*IF(J22="atk",J29,IF(J22="def",J30,IF(J22="hp",J31,J22)))*(1+J33*J34)*J32*J36*(1-J37)*J35*IF(ISBLANK(J49),1,J49),0)</f>
        <v>0</v>
      </c>
      <c r="K19" s="22">
        <f t="shared" si="16"/>
        <v>0</v>
      </c>
      <c r="L19" s="22">
        <f t="shared" si="16"/>
        <v>0</v>
      </c>
      <c r="M19" s="22">
        <f t="shared" si="16"/>
        <v>0</v>
      </c>
      <c r="N19" s="22">
        <f t="shared" si="16"/>
        <v>0</v>
      </c>
      <c r="O19" s="22">
        <f t="shared" si="16"/>
        <v>0</v>
      </c>
      <c r="P19" s="22">
        <f t="shared" si="16"/>
        <v>0</v>
      </c>
      <c r="Q19" s="22">
        <f t="shared" si="16"/>
        <v>0</v>
      </c>
      <c r="R19" s="22">
        <f t="shared" si="16"/>
        <v>0</v>
      </c>
      <c r="S19" s="22">
        <f t="shared" si="16"/>
        <v>0</v>
      </c>
      <c r="T19" s="22">
        <f t="shared" si="16"/>
        <v>0</v>
      </c>
      <c r="U19" s="22">
        <f t="shared" si="16"/>
        <v>0</v>
      </c>
      <c r="V19" s="22">
        <f t="shared" si="16"/>
        <v>0</v>
      </c>
      <c r="W19" s="22">
        <f t="shared" si="16"/>
        <v>0</v>
      </c>
      <c r="X19" s="22">
        <f t="shared" si="16"/>
        <v>0</v>
      </c>
      <c r="Y19" s="22">
        <f t="shared" si="16"/>
        <v>0</v>
      </c>
      <c r="Z19" s="22">
        <f t="shared" si="16"/>
        <v>0</v>
      </c>
      <c r="AA19" s="22">
        <f t="shared" si="16"/>
        <v>0</v>
      </c>
      <c r="AB19" s="22">
        <f t="shared" si="16"/>
        <v>0</v>
      </c>
      <c r="AC19" s="22">
        <f t="shared" si="16"/>
        <v>0</v>
      </c>
      <c r="AD19" s="22">
        <f t="shared" si="16"/>
        <v>0</v>
      </c>
    </row>
    <row r="20" spans="1:30" x14ac:dyDescent="0.25">
      <c r="A20" s="1"/>
      <c r="B20" s="104" t="s">
        <v>148</v>
      </c>
      <c r="C20" s="39">
        <v>0</v>
      </c>
      <c r="D20" s="75">
        <f>C20+IFERROR(IF(VLOOKUP($C$1,B115:G165,5,FALSE)="heal%",IF(VLOOKUP($C$1,$B$115:$G$165,6,FALSE)=5,0.055,0.055/1.2)*IF(D1&gt;=80,4,IF(D1&gt;=70,3,IF(D1&gt;=50,2,IF(D1&gt;=40,1,0)))),0),0)+C43+C78+C58</f>
        <v>0</v>
      </c>
      <c r="E20" s="13"/>
      <c r="F20" s="12"/>
      <c r="H20" s="66" t="s">
        <v>143</v>
      </c>
      <c r="I20" s="67" t="s">
        <v>82</v>
      </c>
      <c r="J20" s="60"/>
      <c r="K20" s="60"/>
      <c r="L20" s="60"/>
      <c r="M20" s="6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5">
      <c r="A21" s="1"/>
      <c r="B21" s="16"/>
      <c r="C21" s="1"/>
      <c r="D21" s="1"/>
      <c r="H21" s="66"/>
      <c r="I21" s="67" t="s">
        <v>83</v>
      </c>
      <c r="J21" s="51"/>
      <c r="K21" s="51"/>
      <c r="L21" s="51"/>
      <c r="M21" s="51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</row>
    <row r="22" spans="1:30" x14ac:dyDescent="0.25">
      <c r="A22" s="1"/>
      <c r="B22" s="16"/>
      <c r="C22" s="1"/>
      <c r="D22" s="1"/>
      <c r="H22" s="66"/>
      <c r="I22" s="67" t="s">
        <v>88</v>
      </c>
      <c r="J22" s="51"/>
      <c r="K22" s="51"/>
      <c r="L22" s="51"/>
      <c r="M22" s="51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</row>
    <row r="23" spans="1:30" x14ac:dyDescent="0.25">
      <c r="A23" s="1"/>
      <c r="B23" s="16"/>
      <c r="C23" s="1"/>
      <c r="D23" s="1"/>
      <c r="H23" s="66"/>
      <c r="I23" s="67" t="s">
        <v>89</v>
      </c>
      <c r="J23" s="51"/>
      <c r="K23" s="51"/>
      <c r="L23" s="51"/>
      <c r="M23" s="51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</row>
    <row r="24" spans="1:30" x14ac:dyDescent="0.25">
      <c r="A24" s="1"/>
      <c r="B24" s="17" t="s">
        <v>62</v>
      </c>
      <c r="C24" s="14"/>
      <c r="H24" s="66"/>
      <c r="I24" s="67" t="s">
        <v>90</v>
      </c>
      <c r="J24" s="51"/>
      <c r="K24" s="51"/>
      <c r="L24" s="51"/>
      <c r="M24" s="51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</row>
    <row r="25" spans="1:30" x14ac:dyDescent="0.25">
      <c r="A25" s="1"/>
      <c r="B25" s="108" t="s">
        <v>61</v>
      </c>
      <c r="C25" s="73">
        <v>0</v>
      </c>
      <c r="H25" s="66"/>
      <c r="I25" s="67" t="s">
        <v>137</v>
      </c>
      <c r="J25" s="60"/>
      <c r="K25" s="60"/>
      <c r="L25" s="60"/>
      <c r="M25" s="6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5">
      <c r="A26" s="1"/>
      <c r="B26" s="86" t="s">
        <v>47</v>
      </c>
      <c r="C26" s="14"/>
      <c r="H26" s="66"/>
      <c r="I26" s="68" t="s">
        <v>100</v>
      </c>
      <c r="J26" s="60"/>
      <c r="K26" s="60"/>
      <c r="L26" s="60"/>
      <c r="M26" s="6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5">
      <c r="A27" s="1"/>
      <c r="B27" s="87" t="s">
        <v>4</v>
      </c>
      <c r="C27" s="7"/>
      <c r="D27" s="7"/>
      <c r="E27" s="12"/>
      <c r="H27" s="66"/>
      <c r="I27" s="68" t="s">
        <v>146</v>
      </c>
      <c r="J27" s="51"/>
      <c r="K27" s="51"/>
      <c r="L27" s="51"/>
      <c r="M27" s="51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</row>
    <row r="28" spans="1:30" x14ac:dyDescent="0.25">
      <c r="A28" s="1"/>
      <c r="B28" s="88" t="s">
        <v>22</v>
      </c>
      <c r="C28" s="7"/>
      <c r="D28" s="7"/>
      <c r="E28" s="12"/>
      <c r="H28" s="66"/>
      <c r="I28" s="68" t="s">
        <v>107</v>
      </c>
      <c r="J28" s="51"/>
      <c r="K28" s="51"/>
      <c r="L28" s="51"/>
      <c r="M28" s="51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</row>
    <row r="29" spans="1:30" x14ac:dyDescent="0.25">
      <c r="A29" s="1"/>
      <c r="B29" s="89" t="s">
        <v>40</v>
      </c>
      <c r="C29" s="7"/>
      <c r="D29" s="7"/>
      <c r="E29" s="12"/>
      <c r="H29" s="65" t="s">
        <v>108</v>
      </c>
      <c r="I29" s="32" t="s">
        <v>109</v>
      </c>
      <c r="J29" s="34">
        <f t="shared" ref="J29:AD29" si="17">($D$3+($C$3+$C$25)*J38+J39)</f>
        <v>874.72636883433745</v>
      </c>
      <c r="K29" s="34">
        <f t="shared" si="17"/>
        <v>874.72636883433745</v>
      </c>
      <c r="L29" s="34">
        <f t="shared" si="17"/>
        <v>874.72636883433745</v>
      </c>
      <c r="M29" s="34">
        <f t="shared" si="17"/>
        <v>874.72636883433745</v>
      </c>
      <c r="N29" s="34">
        <f t="shared" si="17"/>
        <v>874.72636883433745</v>
      </c>
      <c r="O29" s="34">
        <f t="shared" si="17"/>
        <v>874.72636883433745</v>
      </c>
      <c r="P29" s="34">
        <f t="shared" si="17"/>
        <v>874.72636883433745</v>
      </c>
      <c r="Q29" s="34">
        <f t="shared" si="17"/>
        <v>874.72636883433745</v>
      </c>
      <c r="R29" s="34">
        <f t="shared" si="17"/>
        <v>874.72636883433745</v>
      </c>
      <c r="S29" s="34">
        <f t="shared" si="17"/>
        <v>874.72636883433745</v>
      </c>
      <c r="T29" s="34">
        <f t="shared" si="17"/>
        <v>874.72636883433745</v>
      </c>
      <c r="U29" s="34">
        <f t="shared" si="17"/>
        <v>874.72636883433745</v>
      </c>
      <c r="V29" s="34">
        <f t="shared" si="17"/>
        <v>874.72636883433745</v>
      </c>
      <c r="W29" s="34">
        <f t="shared" si="17"/>
        <v>874.72636883433745</v>
      </c>
      <c r="X29" s="34">
        <f t="shared" si="17"/>
        <v>874.72636883433745</v>
      </c>
      <c r="Y29" s="34">
        <f t="shared" si="17"/>
        <v>874.72636883433745</v>
      </c>
      <c r="Z29" s="34">
        <f t="shared" si="17"/>
        <v>874.72636883433745</v>
      </c>
      <c r="AA29" s="34">
        <f t="shared" si="17"/>
        <v>874.72636883433745</v>
      </c>
      <c r="AB29" s="34">
        <f t="shared" si="17"/>
        <v>874.72636883433745</v>
      </c>
      <c r="AC29" s="34">
        <f t="shared" si="17"/>
        <v>874.72636883433745</v>
      </c>
      <c r="AD29" s="34">
        <f t="shared" si="17"/>
        <v>874.72636883433745</v>
      </c>
    </row>
    <row r="30" spans="1:30" x14ac:dyDescent="0.25">
      <c r="A30" s="1"/>
      <c r="B30" s="90" t="s">
        <v>60</v>
      </c>
      <c r="C30" s="7"/>
      <c r="D30" s="7"/>
      <c r="E30" s="12"/>
      <c r="H30" s="65"/>
      <c r="I30" s="32" t="s">
        <v>110</v>
      </c>
      <c r="J30" s="34">
        <f t="shared" ref="J30:AD30" si="18">($D$4+$C$4*J40+J41)</f>
        <v>929.85002037446384</v>
      </c>
      <c r="K30" s="34">
        <f t="shared" si="18"/>
        <v>929.85002037446384</v>
      </c>
      <c r="L30" s="34">
        <f t="shared" si="18"/>
        <v>929.85002037446384</v>
      </c>
      <c r="M30" s="34">
        <f t="shared" si="18"/>
        <v>929.85002037446384</v>
      </c>
      <c r="N30" s="34">
        <f t="shared" si="18"/>
        <v>929.85002037446384</v>
      </c>
      <c r="O30" s="34">
        <f t="shared" si="18"/>
        <v>929.85002037446384</v>
      </c>
      <c r="P30" s="34">
        <f t="shared" si="18"/>
        <v>929.85002037446384</v>
      </c>
      <c r="Q30" s="34">
        <f t="shared" si="18"/>
        <v>929.85002037446384</v>
      </c>
      <c r="R30" s="34">
        <f t="shared" si="18"/>
        <v>929.85002037446384</v>
      </c>
      <c r="S30" s="34">
        <f t="shared" si="18"/>
        <v>929.85002037446384</v>
      </c>
      <c r="T30" s="34">
        <f t="shared" si="18"/>
        <v>929.85002037446384</v>
      </c>
      <c r="U30" s="34">
        <f t="shared" si="18"/>
        <v>929.85002037446384</v>
      </c>
      <c r="V30" s="34">
        <f t="shared" si="18"/>
        <v>929.85002037446384</v>
      </c>
      <c r="W30" s="34">
        <f t="shared" si="18"/>
        <v>929.85002037446384</v>
      </c>
      <c r="X30" s="34">
        <f t="shared" si="18"/>
        <v>929.85002037446384</v>
      </c>
      <c r="Y30" s="34">
        <f t="shared" si="18"/>
        <v>929.85002037446384</v>
      </c>
      <c r="Z30" s="34">
        <f t="shared" si="18"/>
        <v>929.85002037446384</v>
      </c>
      <c r="AA30" s="34">
        <f t="shared" si="18"/>
        <v>929.85002037446384</v>
      </c>
      <c r="AB30" s="34">
        <f t="shared" si="18"/>
        <v>929.85002037446384</v>
      </c>
      <c r="AC30" s="34">
        <f t="shared" si="18"/>
        <v>929.85002037446384</v>
      </c>
      <c r="AD30" s="34">
        <f t="shared" si="18"/>
        <v>929.85002037446384</v>
      </c>
    </row>
    <row r="31" spans="1:30" x14ac:dyDescent="0.25">
      <c r="A31" s="1"/>
      <c r="B31" s="91" t="s">
        <v>2</v>
      </c>
      <c r="C31" s="7"/>
      <c r="D31" s="7"/>
      <c r="E31" s="12"/>
      <c r="H31" s="65"/>
      <c r="I31" s="32" t="s">
        <v>111</v>
      </c>
      <c r="J31" s="34">
        <f t="shared" ref="J31:AD31" si="19">($D$5+$C$5*J42+J43)</f>
        <v>19528.755656776269</v>
      </c>
      <c r="K31" s="34">
        <f t="shared" si="19"/>
        <v>19528.755656776269</v>
      </c>
      <c r="L31" s="34">
        <f t="shared" si="19"/>
        <v>19528.755656776269</v>
      </c>
      <c r="M31" s="34">
        <f t="shared" si="19"/>
        <v>19528.755656776269</v>
      </c>
      <c r="N31" s="34">
        <f t="shared" si="19"/>
        <v>19528.755656776269</v>
      </c>
      <c r="O31" s="34">
        <f t="shared" si="19"/>
        <v>19528.755656776269</v>
      </c>
      <c r="P31" s="34">
        <f t="shared" si="19"/>
        <v>19528.755656776269</v>
      </c>
      <c r="Q31" s="34">
        <f t="shared" si="19"/>
        <v>19528.755656776269</v>
      </c>
      <c r="R31" s="34">
        <f t="shared" si="19"/>
        <v>19528.755656776269</v>
      </c>
      <c r="S31" s="34">
        <f t="shared" si="19"/>
        <v>19528.755656776269</v>
      </c>
      <c r="T31" s="34">
        <f t="shared" si="19"/>
        <v>19528.755656776269</v>
      </c>
      <c r="U31" s="34">
        <f t="shared" si="19"/>
        <v>19528.755656776269</v>
      </c>
      <c r="V31" s="34">
        <f t="shared" si="19"/>
        <v>19528.755656776269</v>
      </c>
      <c r="W31" s="34">
        <f t="shared" si="19"/>
        <v>19528.755656776269</v>
      </c>
      <c r="X31" s="34">
        <f t="shared" si="19"/>
        <v>19528.755656776269</v>
      </c>
      <c r="Y31" s="34">
        <f t="shared" si="19"/>
        <v>19528.755656776269</v>
      </c>
      <c r="Z31" s="34">
        <f t="shared" si="19"/>
        <v>19528.755656776269</v>
      </c>
      <c r="AA31" s="34">
        <f t="shared" si="19"/>
        <v>19528.755656776269</v>
      </c>
      <c r="AB31" s="34">
        <f t="shared" si="19"/>
        <v>19528.755656776269</v>
      </c>
      <c r="AC31" s="34">
        <f t="shared" si="19"/>
        <v>19528.755656776269</v>
      </c>
      <c r="AD31" s="34">
        <f t="shared" si="19"/>
        <v>19528.755656776269</v>
      </c>
    </row>
    <row r="32" spans="1:30" x14ac:dyDescent="0.25">
      <c r="A32" s="1"/>
      <c r="B32" s="92" t="s">
        <v>1</v>
      </c>
      <c r="E32" s="12"/>
      <c r="H32" s="65"/>
      <c r="I32" s="32" t="s">
        <v>112</v>
      </c>
      <c r="J32" s="33" t="e">
        <f t="shared" ref="J32:AD32" si="20">($D$9+VLOOKUP(J23,$B$10:$D$12,3,FALSE)+VLOOKUP(J24,$B$13:$D$18,3,FALSE)+J47)</f>
        <v>#N/A</v>
      </c>
      <c r="K32" s="33" t="e">
        <f t="shared" si="20"/>
        <v>#N/A</v>
      </c>
      <c r="L32" s="33" t="e">
        <f t="shared" si="20"/>
        <v>#N/A</v>
      </c>
      <c r="M32" s="33" t="e">
        <f t="shared" si="20"/>
        <v>#N/A</v>
      </c>
      <c r="N32" s="33" t="e">
        <f t="shared" si="20"/>
        <v>#N/A</v>
      </c>
      <c r="O32" s="33" t="e">
        <f t="shared" si="20"/>
        <v>#N/A</v>
      </c>
      <c r="P32" s="33" t="e">
        <f t="shared" si="20"/>
        <v>#N/A</v>
      </c>
      <c r="Q32" s="33" t="e">
        <f t="shared" si="20"/>
        <v>#N/A</v>
      </c>
      <c r="R32" s="33" t="e">
        <f t="shared" si="20"/>
        <v>#N/A</v>
      </c>
      <c r="S32" s="33" t="e">
        <f t="shared" si="20"/>
        <v>#N/A</v>
      </c>
      <c r="T32" s="33" t="e">
        <f t="shared" si="20"/>
        <v>#N/A</v>
      </c>
      <c r="U32" s="33" t="e">
        <f t="shared" si="20"/>
        <v>#N/A</v>
      </c>
      <c r="V32" s="33" t="e">
        <f t="shared" si="20"/>
        <v>#N/A</v>
      </c>
      <c r="W32" s="33" t="e">
        <f t="shared" si="20"/>
        <v>#N/A</v>
      </c>
      <c r="X32" s="33" t="e">
        <f t="shared" si="20"/>
        <v>#N/A</v>
      </c>
      <c r="Y32" s="33" t="e">
        <f t="shared" si="20"/>
        <v>#N/A</v>
      </c>
      <c r="Z32" s="33" t="e">
        <f t="shared" si="20"/>
        <v>#N/A</v>
      </c>
      <c r="AA32" s="33" t="e">
        <f t="shared" si="20"/>
        <v>#N/A</v>
      </c>
      <c r="AB32" s="33" t="e">
        <f t="shared" si="20"/>
        <v>#N/A</v>
      </c>
      <c r="AC32" s="33" t="e">
        <f t="shared" si="20"/>
        <v>#N/A</v>
      </c>
      <c r="AD32" s="33" t="e">
        <f t="shared" si="20"/>
        <v>#N/A</v>
      </c>
    </row>
    <row r="33" spans="1:39" x14ac:dyDescent="0.25">
      <c r="A33" s="1"/>
      <c r="B33" s="93" t="s">
        <v>53</v>
      </c>
      <c r="C33" s="7"/>
      <c r="D33" s="7"/>
      <c r="E33" s="12"/>
      <c r="H33" s="65"/>
      <c r="I33" s="32" t="s">
        <v>113</v>
      </c>
      <c r="J33" s="33">
        <f>IF($D$6+J44&lt;0,0,IF($D$6+J44&gt;1,1,$D$6+J44))</f>
        <v>0.42699999999999999</v>
      </c>
      <c r="K33" s="33">
        <f t="shared" ref="K33:AD33" si="21">IF($D$6+K44&lt;0,0,IF($D$6+K44&gt;1,1,$D$6+K44))</f>
        <v>0.42699999999999999</v>
      </c>
      <c r="L33" s="33">
        <f t="shared" si="21"/>
        <v>0.42699999999999999</v>
      </c>
      <c r="M33" s="33">
        <f t="shared" si="21"/>
        <v>0.42699999999999999</v>
      </c>
      <c r="N33" s="33">
        <f t="shared" si="21"/>
        <v>0.42699999999999999</v>
      </c>
      <c r="O33" s="33">
        <f t="shared" si="21"/>
        <v>0.42699999999999999</v>
      </c>
      <c r="P33" s="33">
        <f t="shared" si="21"/>
        <v>0.42699999999999999</v>
      </c>
      <c r="Q33" s="33">
        <f t="shared" si="21"/>
        <v>0.42699999999999999</v>
      </c>
      <c r="R33" s="33">
        <f t="shared" si="21"/>
        <v>0.42699999999999999</v>
      </c>
      <c r="S33" s="33">
        <f t="shared" si="21"/>
        <v>0.42699999999999999</v>
      </c>
      <c r="T33" s="33">
        <f t="shared" si="21"/>
        <v>0.42699999999999999</v>
      </c>
      <c r="U33" s="33">
        <f t="shared" si="21"/>
        <v>0.42699999999999999</v>
      </c>
      <c r="V33" s="33">
        <f t="shared" si="21"/>
        <v>0.42699999999999999</v>
      </c>
      <c r="W33" s="33">
        <f t="shared" si="21"/>
        <v>0.42699999999999999</v>
      </c>
      <c r="X33" s="33">
        <f t="shared" si="21"/>
        <v>0.42699999999999999</v>
      </c>
      <c r="Y33" s="33">
        <f t="shared" si="21"/>
        <v>0.42699999999999999</v>
      </c>
      <c r="Z33" s="33">
        <f t="shared" si="21"/>
        <v>0.42699999999999999</v>
      </c>
      <c r="AA33" s="33">
        <f t="shared" si="21"/>
        <v>0.42699999999999999</v>
      </c>
      <c r="AB33" s="33">
        <f t="shared" si="21"/>
        <v>0.42699999999999999</v>
      </c>
      <c r="AC33" s="33">
        <f t="shared" si="21"/>
        <v>0.42699999999999999</v>
      </c>
      <c r="AD33" s="33">
        <f t="shared" si="21"/>
        <v>0.42699999999999999</v>
      </c>
    </row>
    <row r="34" spans="1:39" x14ac:dyDescent="0.25">
      <c r="A34" s="1"/>
      <c r="B34" s="94" t="s">
        <v>52</v>
      </c>
      <c r="C34" s="7"/>
      <c r="D34" s="7"/>
      <c r="E34" s="12"/>
      <c r="H34" s="65"/>
      <c r="I34" s="32" t="s">
        <v>114</v>
      </c>
      <c r="J34" s="33">
        <f t="shared" ref="J34:AD34" si="22">($D$7+J45)</f>
        <v>0.63200000000000001</v>
      </c>
      <c r="K34" s="33">
        <f t="shared" si="22"/>
        <v>0.63200000000000001</v>
      </c>
      <c r="L34" s="33">
        <f t="shared" si="22"/>
        <v>0.63200000000000001</v>
      </c>
      <c r="M34" s="33">
        <f t="shared" si="22"/>
        <v>0.63200000000000001</v>
      </c>
      <c r="N34" s="33">
        <f t="shared" si="22"/>
        <v>0.63200000000000001</v>
      </c>
      <c r="O34" s="33">
        <f t="shared" si="22"/>
        <v>0.63200000000000001</v>
      </c>
      <c r="P34" s="33">
        <f t="shared" si="22"/>
        <v>0.63200000000000001</v>
      </c>
      <c r="Q34" s="33">
        <f t="shared" si="22"/>
        <v>0.63200000000000001</v>
      </c>
      <c r="R34" s="33">
        <f t="shared" si="22"/>
        <v>0.63200000000000001</v>
      </c>
      <c r="S34" s="33">
        <f t="shared" si="22"/>
        <v>0.63200000000000001</v>
      </c>
      <c r="T34" s="33">
        <f t="shared" si="22"/>
        <v>0.63200000000000001</v>
      </c>
      <c r="U34" s="33">
        <f t="shared" si="22"/>
        <v>0.63200000000000001</v>
      </c>
      <c r="V34" s="33">
        <f t="shared" si="22"/>
        <v>0.63200000000000001</v>
      </c>
      <c r="W34" s="33">
        <f t="shared" si="22"/>
        <v>0.63200000000000001</v>
      </c>
      <c r="X34" s="33">
        <f t="shared" si="22"/>
        <v>0.63200000000000001</v>
      </c>
      <c r="Y34" s="33">
        <f t="shared" si="22"/>
        <v>0.63200000000000001</v>
      </c>
      <c r="Z34" s="33">
        <f t="shared" si="22"/>
        <v>0.63200000000000001</v>
      </c>
      <c r="AA34" s="33">
        <f t="shared" si="22"/>
        <v>0.63200000000000001</v>
      </c>
      <c r="AB34" s="33">
        <f t="shared" si="22"/>
        <v>0.63200000000000001</v>
      </c>
      <c r="AC34" s="33">
        <f t="shared" si="22"/>
        <v>0.63200000000000001</v>
      </c>
      <c r="AD34" s="33">
        <f t="shared" si="22"/>
        <v>0.63200000000000001</v>
      </c>
    </row>
    <row r="35" spans="1:39" x14ac:dyDescent="0.25">
      <c r="A35" s="1"/>
      <c r="B35" s="96" t="s">
        <v>0</v>
      </c>
      <c r="C35" s="7"/>
      <c r="D35" s="7"/>
      <c r="E35" s="12"/>
      <c r="H35" s="65"/>
      <c r="I35" s="32" t="s">
        <v>115</v>
      </c>
      <c r="J35" s="61">
        <f t="shared" ref="J35:AD35" si="23">IF(ISBLANK(J28),1,IF(J28=TRUE,1.5,2))*IF(ISBLANK(J28),1,(1+(2.78*($D$8+J46))/(1400+($D$8+J46))+IFERROR(VLOOKUP(J27,$B$79:$C$80,2,FALSE),0)+J48))</f>
        <v>1</v>
      </c>
      <c r="K35" s="61">
        <f t="shared" si="23"/>
        <v>1</v>
      </c>
      <c r="L35" s="61">
        <f t="shared" si="23"/>
        <v>1</v>
      </c>
      <c r="M35" s="61">
        <f t="shared" si="23"/>
        <v>1</v>
      </c>
      <c r="N35" s="61">
        <f t="shared" si="23"/>
        <v>1</v>
      </c>
      <c r="O35" s="61">
        <f t="shared" si="23"/>
        <v>1</v>
      </c>
      <c r="P35" s="61">
        <f t="shared" si="23"/>
        <v>1</v>
      </c>
      <c r="Q35" s="61">
        <f t="shared" si="23"/>
        <v>1</v>
      </c>
      <c r="R35" s="61">
        <f t="shared" si="23"/>
        <v>1</v>
      </c>
      <c r="S35" s="61">
        <f t="shared" si="23"/>
        <v>1</v>
      </c>
      <c r="T35" s="61">
        <f t="shared" si="23"/>
        <v>1</v>
      </c>
      <c r="U35" s="61">
        <f t="shared" si="23"/>
        <v>1</v>
      </c>
      <c r="V35" s="61">
        <f t="shared" si="23"/>
        <v>1</v>
      </c>
      <c r="W35" s="61">
        <f t="shared" si="23"/>
        <v>1</v>
      </c>
      <c r="X35" s="61">
        <f t="shared" si="23"/>
        <v>1</v>
      </c>
      <c r="Y35" s="61">
        <f t="shared" si="23"/>
        <v>1</v>
      </c>
      <c r="Z35" s="61">
        <f t="shared" si="23"/>
        <v>1</v>
      </c>
      <c r="AA35" s="61">
        <f t="shared" si="23"/>
        <v>1</v>
      </c>
      <c r="AB35" s="61">
        <f t="shared" si="23"/>
        <v>1</v>
      </c>
      <c r="AC35" s="61">
        <f t="shared" si="23"/>
        <v>1</v>
      </c>
      <c r="AD35" s="61">
        <f t="shared" si="23"/>
        <v>1</v>
      </c>
    </row>
    <row r="36" spans="1:39" x14ac:dyDescent="0.25">
      <c r="A36" s="1"/>
      <c r="B36" s="97" t="s">
        <v>51</v>
      </c>
      <c r="C36" s="7"/>
      <c r="D36" s="7"/>
      <c r="E36" s="12"/>
      <c r="H36" s="65"/>
      <c r="I36" s="32" t="s">
        <v>135</v>
      </c>
      <c r="J36" s="61">
        <f t="shared" ref="J36:AD36" si="24">($D$1+100)/($D$1+100+200*(1-J25))</f>
        <v>0.48717948717948717</v>
      </c>
      <c r="K36" s="61">
        <f t="shared" si="24"/>
        <v>0.48717948717948717</v>
      </c>
      <c r="L36" s="61">
        <f t="shared" si="24"/>
        <v>0.48717948717948717</v>
      </c>
      <c r="M36" s="61">
        <f t="shared" si="24"/>
        <v>0.48717948717948717</v>
      </c>
      <c r="N36" s="61">
        <f t="shared" si="24"/>
        <v>0.48717948717948717</v>
      </c>
      <c r="O36" s="61">
        <f t="shared" si="24"/>
        <v>0.48717948717948717</v>
      </c>
      <c r="P36" s="61">
        <f t="shared" si="24"/>
        <v>0.48717948717948717</v>
      </c>
      <c r="Q36" s="61">
        <f t="shared" si="24"/>
        <v>0.48717948717948717</v>
      </c>
      <c r="R36" s="61">
        <f t="shared" si="24"/>
        <v>0.48717948717948717</v>
      </c>
      <c r="S36" s="61">
        <f t="shared" si="24"/>
        <v>0.48717948717948717</v>
      </c>
      <c r="T36" s="61">
        <f t="shared" si="24"/>
        <v>0.48717948717948717</v>
      </c>
      <c r="U36" s="61">
        <f t="shared" si="24"/>
        <v>0.48717948717948717</v>
      </c>
      <c r="V36" s="61">
        <f t="shared" si="24"/>
        <v>0.48717948717948717</v>
      </c>
      <c r="W36" s="61">
        <f t="shared" si="24"/>
        <v>0.48717948717948717</v>
      </c>
      <c r="X36" s="61">
        <f t="shared" si="24"/>
        <v>0.48717948717948717</v>
      </c>
      <c r="Y36" s="61">
        <f t="shared" si="24"/>
        <v>0.48717948717948717</v>
      </c>
      <c r="Z36" s="61">
        <f t="shared" si="24"/>
        <v>0.48717948717948717</v>
      </c>
      <c r="AA36" s="61">
        <f t="shared" si="24"/>
        <v>0.48717948717948717</v>
      </c>
      <c r="AB36" s="61">
        <f t="shared" si="24"/>
        <v>0.48717948717948717</v>
      </c>
      <c r="AC36" s="61">
        <f t="shared" si="24"/>
        <v>0.48717948717948717</v>
      </c>
      <c r="AD36" s="61">
        <f t="shared" si="24"/>
        <v>0.48717948717948717</v>
      </c>
    </row>
    <row r="37" spans="1:39" x14ac:dyDescent="0.25">
      <c r="A37" s="1"/>
      <c r="B37" s="95" t="s">
        <v>50</v>
      </c>
      <c r="D37" s="7"/>
      <c r="E37" s="12"/>
      <c r="H37" s="65"/>
      <c r="I37" s="32" t="s">
        <v>95</v>
      </c>
      <c r="J37" s="61">
        <f t="shared" ref="J37:AD37" si="25">IF(J23="primary",IF($I$3-J26&lt;0,0.5*($I$3-J26),$I$3-J26),IF(J23="secondary",IF($I$4-J26&lt;0,0.5*($I$4-J26),$I$4-J26),IF(J23="phy",IF($I$5-J26&lt;0,0.5*($I$5-J26),$I$5-J26),0)))</f>
        <v>0</v>
      </c>
      <c r="K37" s="61">
        <f t="shared" si="25"/>
        <v>0</v>
      </c>
      <c r="L37" s="61">
        <f t="shared" si="25"/>
        <v>0</v>
      </c>
      <c r="M37" s="61">
        <f t="shared" si="25"/>
        <v>0</v>
      </c>
      <c r="N37" s="61">
        <f t="shared" si="25"/>
        <v>0</v>
      </c>
      <c r="O37" s="61">
        <f t="shared" si="25"/>
        <v>0</v>
      </c>
      <c r="P37" s="61">
        <f t="shared" si="25"/>
        <v>0</v>
      </c>
      <c r="Q37" s="61">
        <f t="shared" si="25"/>
        <v>0</v>
      </c>
      <c r="R37" s="61">
        <f t="shared" si="25"/>
        <v>0</v>
      </c>
      <c r="S37" s="61">
        <f t="shared" si="25"/>
        <v>0</v>
      </c>
      <c r="T37" s="61">
        <f t="shared" si="25"/>
        <v>0</v>
      </c>
      <c r="U37" s="61">
        <f t="shared" si="25"/>
        <v>0</v>
      </c>
      <c r="V37" s="61">
        <f t="shared" si="25"/>
        <v>0</v>
      </c>
      <c r="W37" s="61">
        <f t="shared" si="25"/>
        <v>0</v>
      </c>
      <c r="X37" s="61">
        <f t="shared" si="25"/>
        <v>0</v>
      </c>
      <c r="Y37" s="61">
        <f t="shared" si="25"/>
        <v>0</v>
      </c>
      <c r="Z37" s="61">
        <f t="shared" si="25"/>
        <v>0</v>
      </c>
      <c r="AA37" s="61">
        <f t="shared" si="25"/>
        <v>0</v>
      </c>
      <c r="AB37" s="61">
        <f t="shared" si="25"/>
        <v>0</v>
      </c>
      <c r="AC37" s="61">
        <f t="shared" si="25"/>
        <v>0</v>
      </c>
      <c r="AD37" s="61">
        <f t="shared" si="25"/>
        <v>0</v>
      </c>
    </row>
    <row r="38" spans="1:39" x14ac:dyDescent="0.25">
      <c r="A38" s="1"/>
      <c r="B38" s="98" t="s">
        <v>57</v>
      </c>
      <c r="C38" s="7"/>
      <c r="D38" s="7"/>
      <c r="E38" s="39"/>
      <c r="H38" s="28" t="s">
        <v>54</v>
      </c>
      <c r="I38" s="22" t="s">
        <v>4</v>
      </c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9" x14ac:dyDescent="0.25">
      <c r="A39" s="1"/>
      <c r="B39" s="99" t="s">
        <v>152</v>
      </c>
      <c r="C39" s="7"/>
      <c r="D39" s="7"/>
      <c r="E39" s="39"/>
      <c r="H39" s="27"/>
      <c r="I39" s="31" t="s">
        <v>47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</row>
    <row r="40" spans="1:39" x14ac:dyDescent="0.25">
      <c r="A40" s="1"/>
      <c r="B40" s="100" t="s">
        <v>49</v>
      </c>
      <c r="C40" s="7"/>
      <c r="D40" s="7"/>
      <c r="E40" s="12"/>
      <c r="H40" s="27"/>
      <c r="I40" s="31" t="s">
        <v>22</v>
      </c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9" x14ac:dyDescent="0.25">
      <c r="A41" s="1"/>
      <c r="B41" s="101" t="s">
        <v>48</v>
      </c>
      <c r="C41" s="7"/>
      <c r="D41" s="7"/>
      <c r="E41" s="12"/>
      <c r="H41" s="27"/>
      <c r="I41" s="22" t="s">
        <v>45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</row>
    <row r="42" spans="1:39" x14ac:dyDescent="0.25">
      <c r="A42" s="1"/>
      <c r="B42" s="103" t="s">
        <v>11</v>
      </c>
      <c r="C42" s="7"/>
      <c r="D42" s="7"/>
      <c r="E42" s="12"/>
      <c r="H42" s="27"/>
      <c r="I42" s="22" t="s">
        <v>40</v>
      </c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9" x14ac:dyDescent="0.25">
      <c r="A43" s="1"/>
      <c r="B43" s="104" t="s">
        <v>148</v>
      </c>
      <c r="C43" s="7"/>
      <c r="D43" s="7"/>
      <c r="E43" s="12"/>
      <c r="H43" s="27"/>
      <c r="I43" s="22" t="s">
        <v>46</v>
      </c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</row>
    <row r="44" spans="1:39" x14ac:dyDescent="0.25">
      <c r="A44" s="1"/>
      <c r="B44" s="16"/>
      <c r="C44" s="1"/>
      <c r="D44" s="1"/>
      <c r="E44" s="1"/>
      <c r="H44" s="27"/>
      <c r="I44" s="22" t="s">
        <v>3</v>
      </c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9" x14ac:dyDescent="0.25">
      <c r="A45" s="1"/>
      <c r="B45" s="17" t="s">
        <v>59</v>
      </c>
      <c r="C45" s="28"/>
      <c r="D45" s="28" t="s">
        <v>68</v>
      </c>
      <c r="E45" s="28" t="s">
        <v>87</v>
      </c>
      <c r="H45" s="27"/>
      <c r="I45" s="22" t="s">
        <v>101</v>
      </c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9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49"/>
      <c r="I46" s="22" t="s">
        <v>1</v>
      </c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</row>
    <row r="47" spans="1:39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49"/>
      <c r="I47" s="22" t="s">
        <v>5</v>
      </c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9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49"/>
      <c r="I48" s="22" t="s">
        <v>102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M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49"/>
      <c r="I49" s="22" t="s">
        <v>138</v>
      </c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I50" s="22" t="s">
        <v>530</v>
      </c>
      <c r="J50" s="22">
        <f>IF(J49&gt;1,J19/J49,J19)</f>
        <v>0</v>
      </c>
      <c r="K50" s="22">
        <f t="shared" ref="K50:AD50" si="26">IF(K49&gt;1,K19/K49,K19)</f>
        <v>0</v>
      </c>
      <c r="L50" s="22">
        <f t="shared" si="26"/>
        <v>0</v>
      </c>
      <c r="M50" s="22">
        <f t="shared" si="26"/>
        <v>0</v>
      </c>
      <c r="N50" s="22">
        <f t="shared" si="26"/>
        <v>0</v>
      </c>
      <c r="O50" s="22">
        <f t="shared" si="26"/>
        <v>0</v>
      </c>
      <c r="P50" s="22">
        <f t="shared" si="26"/>
        <v>0</v>
      </c>
      <c r="Q50" s="22">
        <f t="shared" si="26"/>
        <v>0</v>
      </c>
      <c r="R50" s="22">
        <f t="shared" si="26"/>
        <v>0</v>
      </c>
      <c r="S50" s="22">
        <f t="shared" si="26"/>
        <v>0</v>
      </c>
      <c r="T50" s="22">
        <f t="shared" si="26"/>
        <v>0</v>
      </c>
      <c r="U50" s="22">
        <f t="shared" si="26"/>
        <v>0</v>
      </c>
      <c r="V50" s="22">
        <f t="shared" si="26"/>
        <v>0</v>
      </c>
      <c r="W50" s="22">
        <f t="shared" si="26"/>
        <v>0</v>
      </c>
      <c r="X50" s="22">
        <f t="shared" si="26"/>
        <v>0</v>
      </c>
      <c r="Y50" s="22">
        <f t="shared" si="26"/>
        <v>0</v>
      </c>
      <c r="Z50" s="22">
        <f t="shared" si="26"/>
        <v>0</v>
      </c>
      <c r="AA50" s="22">
        <f t="shared" si="26"/>
        <v>0</v>
      </c>
      <c r="AB50" s="22">
        <f t="shared" si="26"/>
        <v>0</v>
      </c>
      <c r="AC50" s="22">
        <f t="shared" si="26"/>
        <v>0</v>
      </c>
      <c r="AD50" s="22">
        <f t="shared" si="26"/>
        <v>0</v>
      </c>
    </row>
    <row r="51" spans="1:30" x14ac:dyDescent="0.25">
      <c r="A51" s="1"/>
      <c r="B51" s="90" t="s">
        <v>3</v>
      </c>
      <c r="C51" s="37">
        <f t="shared" ref="C51:C58" si="27">E51*D51</f>
        <v>0.311</v>
      </c>
      <c r="D51" s="8">
        <v>1</v>
      </c>
      <c r="E51" s="22">
        <v>0.311</v>
      </c>
      <c r="I51" s="22" t="s">
        <v>532</v>
      </c>
      <c r="J51" s="51">
        <v>0</v>
      </c>
      <c r="K51" s="51">
        <v>1</v>
      </c>
      <c r="L51" s="51">
        <v>0</v>
      </c>
      <c r="M51" s="51">
        <v>0</v>
      </c>
      <c r="N51" s="51">
        <v>1</v>
      </c>
      <c r="O51" s="51">
        <v>0</v>
      </c>
      <c r="P51" s="51">
        <v>1</v>
      </c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</row>
    <row r="52" spans="1:30" x14ac:dyDescent="0.25">
      <c r="A52" s="1"/>
      <c r="B52" s="91" t="s">
        <v>2</v>
      </c>
      <c r="C52" s="37">
        <f t="shared" si="27"/>
        <v>0</v>
      </c>
      <c r="D52" s="8">
        <v>0</v>
      </c>
      <c r="E52" s="22">
        <v>0.622</v>
      </c>
      <c r="I52" s="22" t="s">
        <v>531</v>
      </c>
      <c r="J52" s="22">
        <f>IF(J51=0,J19,J50*3)</f>
        <v>0</v>
      </c>
      <c r="K52" s="22">
        <f t="shared" ref="K52:AD52" si="28">IF(K51=0,K19,K50*3)</f>
        <v>0</v>
      </c>
      <c r="L52" s="22">
        <f t="shared" si="28"/>
        <v>0</v>
      </c>
      <c r="M52" s="22">
        <f t="shared" si="28"/>
        <v>0</v>
      </c>
      <c r="N52" s="22">
        <f t="shared" si="28"/>
        <v>0</v>
      </c>
      <c r="O52" s="22">
        <f t="shared" si="28"/>
        <v>0</v>
      </c>
      <c r="P52" s="22">
        <f t="shared" si="28"/>
        <v>0</v>
      </c>
      <c r="Q52" s="22">
        <f t="shared" si="28"/>
        <v>0</v>
      </c>
      <c r="R52" s="22">
        <f t="shared" si="28"/>
        <v>0</v>
      </c>
      <c r="S52" s="22">
        <f t="shared" si="28"/>
        <v>0</v>
      </c>
      <c r="T52" s="22">
        <f t="shared" si="28"/>
        <v>0</v>
      </c>
      <c r="U52" s="22">
        <f t="shared" si="28"/>
        <v>0</v>
      </c>
      <c r="V52" s="22">
        <f t="shared" si="28"/>
        <v>0</v>
      </c>
      <c r="W52" s="22">
        <f t="shared" si="28"/>
        <v>0</v>
      </c>
      <c r="X52" s="22">
        <f t="shared" si="28"/>
        <v>0</v>
      </c>
      <c r="Y52" s="22">
        <f t="shared" si="28"/>
        <v>0</v>
      </c>
      <c r="Z52" s="22">
        <f t="shared" si="28"/>
        <v>0</v>
      </c>
      <c r="AA52" s="22">
        <f t="shared" si="28"/>
        <v>0</v>
      </c>
      <c r="AB52" s="22">
        <f t="shared" si="28"/>
        <v>0</v>
      </c>
      <c r="AC52" s="22">
        <f t="shared" si="28"/>
        <v>0</v>
      </c>
      <c r="AD52" s="22">
        <f t="shared" si="28"/>
        <v>0</v>
      </c>
    </row>
    <row r="53" spans="1:30" x14ac:dyDescent="0.25">
      <c r="A53" s="1"/>
      <c r="B53" s="92" t="s">
        <v>1</v>
      </c>
      <c r="C53" s="22">
        <f t="shared" si="27"/>
        <v>0</v>
      </c>
      <c r="D53" s="14">
        <v>0</v>
      </c>
      <c r="E53" s="22">
        <v>187</v>
      </c>
    </row>
    <row r="54" spans="1:30" x14ac:dyDescent="0.25">
      <c r="A54" s="1"/>
      <c r="B54" s="94" t="s">
        <v>52</v>
      </c>
      <c r="C54" s="37">
        <f t="shared" si="27"/>
        <v>0.46600000000000003</v>
      </c>
      <c r="D54" s="8">
        <v>1</v>
      </c>
      <c r="E54" s="22">
        <v>0.46600000000000003</v>
      </c>
    </row>
    <row r="55" spans="1:30" x14ac:dyDescent="0.25">
      <c r="A55" s="1"/>
      <c r="B55" s="96" t="s">
        <v>63</v>
      </c>
      <c r="C55" s="37">
        <f t="shared" si="27"/>
        <v>0</v>
      </c>
      <c r="D55" s="8">
        <v>0</v>
      </c>
      <c r="E55" s="22">
        <v>0.46600000000000003</v>
      </c>
      <c r="H55" s="76" t="s">
        <v>172</v>
      </c>
      <c r="I55" s="76"/>
      <c r="J55" s="76"/>
      <c r="K55" s="76"/>
      <c r="L55" s="76"/>
      <c r="N55" s="77" t="s">
        <v>155</v>
      </c>
      <c r="O55" s="76"/>
      <c r="P55" s="79"/>
    </row>
    <row r="56" spans="1:30" x14ac:dyDescent="0.25">
      <c r="A56" s="1"/>
      <c r="B56" s="97" t="s">
        <v>51</v>
      </c>
      <c r="C56" s="37">
        <f t="shared" si="27"/>
        <v>0</v>
      </c>
      <c r="D56" s="8">
        <v>0</v>
      </c>
      <c r="E56" s="22">
        <v>0.58299999999999996</v>
      </c>
      <c r="H56" s="23" t="s">
        <v>176</v>
      </c>
      <c r="I56" s="23"/>
      <c r="J56" s="23"/>
      <c r="K56" s="23"/>
      <c r="L56" s="23"/>
      <c r="N56" s="23" t="s">
        <v>162</v>
      </c>
      <c r="O56" s="23"/>
      <c r="P56" s="23"/>
      <c r="Q56" s="23"/>
      <c r="R56" s="23"/>
      <c r="S56" s="23"/>
      <c r="U56" s="77" t="s">
        <v>164</v>
      </c>
      <c r="V56" s="76" t="s">
        <v>169</v>
      </c>
      <c r="W56" s="76"/>
    </row>
    <row r="57" spans="1:30" x14ac:dyDescent="0.25">
      <c r="A57" s="1"/>
      <c r="B57" s="103" t="s">
        <v>11</v>
      </c>
      <c r="C57" s="22">
        <f t="shared" si="27"/>
        <v>0</v>
      </c>
      <c r="D57" s="8">
        <v>0</v>
      </c>
      <c r="E57" s="22">
        <v>0.51300000000000001</v>
      </c>
      <c r="H57" s="84"/>
      <c r="I57" s="84" t="s">
        <v>177</v>
      </c>
      <c r="J57" s="22">
        <f>IF($I$5-J68&lt;0,0.5*($I$5-J68),$I$5-J68)*J58*J67</f>
        <v>0</v>
      </c>
      <c r="K57" s="22">
        <f t="shared" ref="K57:L57" si="29">IF($I$5-K68&lt;0,0.5*($I$5-K68),$I$5-K68)*K58*K67</f>
        <v>0</v>
      </c>
      <c r="L57" s="22">
        <f t="shared" si="29"/>
        <v>0</v>
      </c>
      <c r="N57" s="27"/>
      <c r="O57" s="31" t="s">
        <v>163</v>
      </c>
      <c r="P57" s="22">
        <f>P66*P68*P67*P69</f>
        <v>0</v>
      </c>
      <c r="Q57" s="22">
        <f>Q66*Q68*Q67*Q69</f>
        <v>0</v>
      </c>
      <c r="R57" s="22">
        <f>R66*R68*R67*R69</f>
        <v>0</v>
      </c>
      <c r="S57" s="22">
        <f>S66*S68*S67*S69</f>
        <v>0</v>
      </c>
      <c r="U57" s="23" t="s">
        <v>165</v>
      </c>
      <c r="V57" s="23"/>
      <c r="W57" s="23"/>
      <c r="X57" s="23"/>
      <c r="Y57" s="23"/>
      <c r="Z57" s="23" t="s">
        <v>411</v>
      </c>
    </row>
    <row r="58" spans="1:30" x14ac:dyDescent="0.25">
      <c r="A58" s="1"/>
      <c r="B58" s="104" t="s">
        <v>148</v>
      </c>
      <c r="C58" s="37">
        <f t="shared" si="27"/>
        <v>0</v>
      </c>
      <c r="D58" s="8">
        <v>0</v>
      </c>
      <c r="E58" s="74">
        <v>0.35899999999999999</v>
      </c>
      <c r="H58" s="84"/>
      <c r="I58" s="84" t="s">
        <v>178</v>
      </c>
      <c r="J58" s="22">
        <f>J63*J64</f>
        <v>0</v>
      </c>
      <c r="K58" s="22">
        <f t="shared" ref="K58:L58" si="30">K63*K64</f>
        <v>0</v>
      </c>
      <c r="L58" s="22">
        <f t="shared" si="30"/>
        <v>0</v>
      </c>
      <c r="N58" s="66" t="s">
        <v>143</v>
      </c>
      <c r="O58" s="67" t="s">
        <v>82</v>
      </c>
      <c r="P58" s="60"/>
      <c r="Q58" s="60"/>
      <c r="R58" s="60"/>
      <c r="S58" s="60"/>
      <c r="U58" s="22" t="s">
        <v>163</v>
      </c>
      <c r="V58" s="31" t="str">
        <f>CONCATENATE(V59,"*",ROUND(V64*V67*V65*V66*V68,0)," damage")</f>
        <v>*0 damage</v>
      </c>
      <c r="W58" s="31" t="str">
        <f>CONCATENATE(W59,"*",ROUND(W64*W67*W65*W66*W68,0)," damage")</f>
        <v>*0 damage</v>
      </c>
      <c r="X58" s="31" t="str">
        <f>CONCATENATE(X59,"*",ROUND(X64*X67*X65*X66*X68,0)," damage")</f>
        <v>*0 damage</v>
      </c>
      <c r="Y58" s="31" t="str">
        <f>CONCATENATE(Y59,"*",ROUND(Y64*Y67*Y65*Y66*Y68,0)," damage")</f>
        <v>*0 damage</v>
      </c>
      <c r="Z58" s="51"/>
    </row>
    <row r="59" spans="1:30" x14ac:dyDescent="0.25">
      <c r="A59" s="1"/>
      <c r="B59" s="16"/>
      <c r="C59" s="1"/>
      <c r="D59" s="1"/>
      <c r="E59" s="50" t="s">
        <v>118</v>
      </c>
      <c r="H59" s="66" t="s">
        <v>143</v>
      </c>
      <c r="I59" s="67" t="s">
        <v>82</v>
      </c>
      <c r="J59" s="60"/>
      <c r="K59" s="60"/>
      <c r="L59" s="60"/>
      <c r="N59" s="66"/>
      <c r="O59" s="67" t="s">
        <v>83</v>
      </c>
      <c r="P59" s="51"/>
      <c r="Q59" s="51"/>
      <c r="R59" s="51"/>
      <c r="S59" s="51"/>
      <c r="U59" s="67" t="s">
        <v>83</v>
      </c>
      <c r="V59" s="51"/>
      <c r="W59" s="51"/>
      <c r="X59" s="51"/>
      <c r="Y59" s="51"/>
    </row>
    <row r="60" spans="1:30" x14ac:dyDescent="0.25">
      <c r="A60" s="1"/>
      <c r="B60" s="17" t="s">
        <v>58</v>
      </c>
      <c r="E60" s="24"/>
      <c r="H60" s="66"/>
      <c r="I60" s="67" t="s">
        <v>83</v>
      </c>
      <c r="J60" s="51"/>
      <c r="K60" s="51"/>
      <c r="L60" s="51"/>
      <c r="N60" s="66"/>
      <c r="O60" s="67" t="s">
        <v>88</v>
      </c>
      <c r="P60" s="51"/>
      <c r="Q60" s="51"/>
      <c r="R60" s="51"/>
      <c r="S60" s="51"/>
      <c r="U60" s="67" t="s">
        <v>158</v>
      </c>
      <c r="V60" s="60"/>
      <c r="W60" s="60"/>
      <c r="X60" s="60"/>
      <c r="Y60" s="60"/>
    </row>
    <row r="61" spans="1:30" x14ac:dyDescent="0.25">
      <c r="A61" s="1"/>
      <c r="B61" s="86" t="s">
        <v>47</v>
      </c>
      <c r="E61" s="24"/>
      <c r="H61" s="66"/>
      <c r="I61" s="67" t="s">
        <v>88</v>
      </c>
      <c r="J61" s="51"/>
      <c r="K61" s="51"/>
      <c r="L61" s="51"/>
      <c r="N61" s="66"/>
      <c r="O61" s="67" t="s">
        <v>159</v>
      </c>
      <c r="P61" s="51"/>
      <c r="Q61" s="51"/>
      <c r="R61" s="51"/>
      <c r="S61" s="51"/>
      <c r="U61" s="67" t="s">
        <v>156</v>
      </c>
      <c r="V61" s="60"/>
      <c r="W61" s="60"/>
      <c r="X61" s="60"/>
      <c r="Y61" s="60"/>
    </row>
    <row r="62" spans="1:30" x14ac:dyDescent="0.25">
      <c r="A62" s="1"/>
      <c r="B62" s="87" t="s">
        <v>4</v>
      </c>
      <c r="E62" s="24"/>
      <c r="H62" s="66"/>
      <c r="I62" s="67" t="s">
        <v>159</v>
      </c>
      <c r="J62" s="51"/>
      <c r="K62" s="51"/>
      <c r="L62" s="51"/>
      <c r="N62" s="66"/>
      <c r="O62" s="67" t="s">
        <v>158</v>
      </c>
      <c r="P62" s="60"/>
      <c r="Q62" s="60"/>
      <c r="R62" s="60"/>
      <c r="S62" s="60"/>
      <c r="U62" s="67" t="s">
        <v>157</v>
      </c>
      <c r="V62" s="60"/>
      <c r="W62" s="60"/>
      <c r="X62" s="60"/>
      <c r="Y62" s="60"/>
    </row>
    <row r="63" spans="1:30" x14ac:dyDescent="0.25">
      <c r="A63" s="1"/>
      <c r="B63" s="88" t="s">
        <v>22</v>
      </c>
      <c r="E63" s="24"/>
      <c r="H63" s="65" t="s">
        <v>108</v>
      </c>
      <c r="I63" s="32" t="s">
        <v>174</v>
      </c>
      <c r="J63" s="22">
        <f>IFERROR(VLOOKUP(J61,$B$3:$D$8,3,FALSE)*J59*J60+J62,0)</f>
        <v>0</v>
      </c>
      <c r="K63" s="22">
        <f t="shared" ref="K63:L63" si="31">IFERROR(VLOOKUP(K61,$B$3:$D$8,3,FALSE)*K59*K60+K62,0)</f>
        <v>0</v>
      </c>
      <c r="L63" s="22">
        <f t="shared" si="31"/>
        <v>0</v>
      </c>
      <c r="N63" s="66"/>
      <c r="O63" s="67" t="s">
        <v>156</v>
      </c>
      <c r="P63" s="60"/>
      <c r="Q63" s="60"/>
      <c r="R63" s="60"/>
      <c r="S63" s="60"/>
      <c r="U63" s="67" t="s">
        <v>95</v>
      </c>
      <c r="V63" s="60"/>
      <c r="W63" s="60"/>
      <c r="X63" s="60"/>
      <c r="Y63" s="60"/>
    </row>
    <row r="64" spans="1:30" x14ac:dyDescent="0.25">
      <c r="A64" s="1"/>
      <c r="B64" s="89" t="s">
        <v>40</v>
      </c>
      <c r="E64" s="24"/>
      <c r="H64" s="65"/>
      <c r="I64" s="32" t="s">
        <v>175</v>
      </c>
      <c r="J64" s="85">
        <f>1+$D$20+J65+J66</f>
        <v>1</v>
      </c>
      <c r="K64" s="85">
        <f t="shared" ref="K64:L64" si="32">1+$D$20+K65+K66</f>
        <v>1</v>
      </c>
      <c r="L64" s="85">
        <f t="shared" si="32"/>
        <v>1</v>
      </c>
      <c r="N64" s="66"/>
      <c r="O64" s="67" t="s">
        <v>157</v>
      </c>
      <c r="P64" s="60"/>
      <c r="Q64" s="60"/>
      <c r="R64" s="60"/>
      <c r="S64" s="60"/>
      <c r="U64" s="32" t="s">
        <v>168</v>
      </c>
      <c r="V64" s="31">
        <f>$F$15*V60</f>
        <v>0</v>
      </c>
      <c r="W64" s="31">
        <f>$F$15*W60</f>
        <v>0</v>
      </c>
      <c r="X64" s="31">
        <f>$F$15*X60</f>
        <v>0</v>
      </c>
      <c r="Y64" s="31">
        <f>$F$15*Y60</f>
        <v>0</v>
      </c>
    </row>
    <row r="65" spans="1:25" x14ac:dyDescent="0.25">
      <c r="A65" s="1"/>
      <c r="B65" s="90" t="s">
        <v>3</v>
      </c>
      <c r="E65" s="24"/>
      <c r="H65" s="28" t="s">
        <v>54</v>
      </c>
      <c r="I65" s="22" t="s">
        <v>179</v>
      </c>
      <c r="J65" s="60"/>
      <c r="K65" s="60"/>
      <c r="L65" s="60"/>
      <c r="N65" s="66"/>
      <c r="O65" s="67" t="s">
        <v>95</v>
      </c>
      <c r="P65" s="60"/>
      <c r="Q65" s="60"/>
      <c r="R65" s="60"/>
      <c r="S65" s="60"/>
      <c r="U65" s="32" t="s">
        <v>170</v>
      </c>
      <c r="V65" s="81">
        <f>1+(4.44*($D$8+V71))/(1400+$D$8+V71)+V72</f>
        <v>1.1233333333333333</v>
      </c>
      <c r="W65" s="81">
        <f>1+(4.44*($D$8+W71))/(1400+$D$8+W71)+W72</f>
        <v>1.1233333333333333</v>
      </c>
      <c r="X65" s="81">
        <f>1+(4.44*($D$8+X71))/(1400+$D$8+X71)+X72</f>
        <v>1.1233333333333333</v>
      </c>
      <c r="Y65" s="81">
        <f>1+(4.44*($D$8+Y71))/(1400+$D$8+Y71)+Y72</f>
        <v>1.1233333333333333</v>
      </c>
    </row>
    <row r="66" spans="1:25" x14ac:dyDescent="0.25">
      <c r="A66" s="1"/>
      <c r="B66" s="91" t="s">
        <v>2</v>
      </c>
      <c r="E66" s="24"/>
      <c r="H66" s="27"/>
      <c r="I66" s="22" t="s">
        <v>180</v>
      </c>
      <c r="J66" s="60"/>
      <c r="K66" s="60"/>
      <c r="L66" s="60"/>
      <c r="N66" s="65" t="s">
        <v>108</v>
      </c>
      <c r="O66" s="32" t="s">
        <v>160</v>
      </c>
      <c r="P66" s="22">
        <f>IFERROR(VLOOKUP(P60,$B$3:$D$8,3,FALSE)*P58*P59+P61,0)</f>
        <v>0</v>
      </c>
      <c r="Q66" s="22">
        <f t="shared" ref="Q66:S66" si="33">IFERROR(VLOOKUP(Q60,$B$3:$D$8,3,FALSE)*Q58*Q59+Q61,0)</f>
        <v>0</v>
      </c>
      <c r="R66" s="22">
        <f t="shared" si="33"/>
        <v>0</v>
      </c>
      <c r="S66" s="22">
        <f t="shared" si="33"/>
        <v>0</v>
      </c>
      <c r="U66" s="32" t="s">
        <v>166</v>
      </c>
      <c r="V66" s="80">
        <f>1/(1-V63)*(1-V62)</f>
        <v>1</v>
      </c>
      <c r="W66" s="80">
        <f>1/(1-W63)*(1-W62)</f>
        <v>1</v>
      </c>
      <c r="X66" s="80">
        <f>1/(1-X63)*(1-X62)</f>
        <v>1</v>
      </c>
      <c r="Y66" s="80">
        <f>1/(1-Y63)*(1-Y62)</f>
        <v>1</v>
      </c>
    </row>
    <row r="67" spans="1:25" x14ac:dyDescent="0.25">
      <c r="A67" s="1"/>
      <c r="B67" s="92" t="s">
        <v>1</v>
      </c>
      <c r="E67" s="24"/>
      <c r="H67" s="27"/>
      <c r="I67" s="22" t="s">
        <v>181</v>
      </c>
      <c r="J67" s="60"/>
      <c r="K67" s="60"/>
      <c r="L67" s="60"/>
      <c r="N67" s="65"/>
      <c r="O67" s="32" t="s">
        <v>166</v>
      </c>
      <c r="P67" s="44">
        <f>1/((1-P65)*(1-P64))</f>
        <v>1</v>
      </c>
      <c r="Q67" s="44">
        <f t="shared" ref="Q67:S67" si="34">1/((1-Q65)*(1-Q64))</f>
        <v>1</v>
      </c>
      <c r="R67" s="44">
        <f t="shared" si="34"/>
        <v>1</v>
      </c>
      <c r="S67" s="44">
        <f t="shared" si="34"/>
        <v>1</v>
      </c>
      <c r="U67" s="32" t="s">
        <v>161</v>
      </c>
      <c r="V67" s="80">
        <f>(1+V60)*(V61)</f>
        <v>0</v>
      </c>
      <c r="W67" s="80">
        <f>(1+W60)*(1+W61)</f>
        <v>1</v>
      </c>
      <c r="X67" s="80">
        <f>(1+X60)*(1+X61)</f>
        <v>1</v>
      </c>
      <c r="Y67" s="80">
        <f>(1+Y60)*(1+Y61)</f>
        <v>1</v>
      </c>
    </row>
    <row r="68" spans="1:25" x14ac:dyDescent="0.25">
      <c r="A68" s="1"/>
      <c r="B68" s="93" t="s">
        <v>53</v>
      </c>
      <c r="C68" s="7"/>
      <c r="D68" s="7"/>
      <c r="E68" s="24"/>
      <c r="H68" s="27"/>
      <c r="I68" s="22" t="s">
        <v>100</v>
      </c>
      <c r="J68" s="60"/>
      <c r="K68" s="60"/>
      <c r="L68" s="60"/>
      <c r="N68" s="65"/>
      <c r="O68" s="32" t="s">
        <v>161</v>
      </c>
      <c r="P68" s="80">
        <f>(1+P63)*(P62)</f>
        <v>0</v>
      </c>
      <c r="Q68" s="80">
        <f t="shared" ref="Q68:S68" si="35">(1+Q63)*(Q62)</f>
        <v>0</v>
      </c>
      <c r="R68" s="80">
        <f t="shared" si="35"/>
        <v>0</v>
      </c>
      <c r="S68" s="80">
        <f t="shared" si="35"/>
        <v>0</v>
      </c>
      <c r="U68" s="32" t="s">
        <v>161</v>
      </c>
      <c r="V68" s="80">
        <f>($D$4+$C$4*V69+V70+1000)/($D$4+$C$4*V69+V70)</f>
        <v>2.0754422520712379</v>
      </c>
      <c r="W68" s="80">
        <f>($D$4+$C$4*W69+W70+1000)/($D$4+$C$4*W69+W70)</f>
        <v>2.0754422520712379</v>
      </c>
      <c r="X68" s="80">
        <f>($D$4+$C$4*X69+X70+1000)/($D$4+$C$4*X69+X70)</f>
        <v>2.0754422520712379</v>
      </c>
      <c r="Y68" s="80">
        <f>($D$4+$C$4*Y69+Y70+1000)/($D$4+$C$4*Y69+Y70)</f>
        <v>2.0754422520712379</v>
      </c>
    </row>
    <row r="69" spans="1:25" x14ac:dyDescent="0.25">
      <c r="A69" s="1"/>
      <c r="B69" s="94" t="s">
        <v>52</v>
      </c>
      <c r="C69" s="7"/>
      <c r="D69" s="7"/>
      <c r="E69" s="24"/>
      <c r="N69" s="65"/>
      <c r="O69" s="32" t="s">
        <v>135</v>
      </c>
      <c r="P69" s="80">
        <f>($D$4+$C$4*P70+P71+1000)/($D$4+$C$4*P70+P71)</f>
        <v>2.0754422520712379</v>
      </c>
      <c r="Q69" s="80">
        <f>($D$4+$C$4*Q70+Q71+1000)/($D$4+$C$4*Q70+Q71)</f>
        <v>2.0754422520712379</v>
      </c>
      <c r="R69" s="80">
        <f>($D$4+$C$4*R70+R71+1000)/($D$4+$C$4*R70+R71)</f>
        <v>2.0754422520712379</v>
      </c>
      <c r="S69" s="80">
        <f>($D$4+$C$4*S70+S71+1000)/($D$4+$C$4*S70+S71)</f>
        <v>2.0754422520712379</v>
      </c>
      <c r="U69" s="69" t="s">
        <v>22</v>
      </c>
      <c r="V69" s="51"/>
      <c r="W69" s="51"/>
      <c r="X69" s="51"/>
      <c r="Y69" s="51"/>
    </row>
    <row r="70" spans="1:25" x14ac:dyDescent="0.25">
      <c r="A70" s="1"/>
      <c r="B70" s="96" t="s">
        <v>63</v>
      </c>
      <c r="C70" s="7"/>
      <c r="D70" s="7"/>
      <c r="E70" s="24"/>
      <c r="N70" s="28" t="s">
        <v>54</v>
      </c>
      <c r="O70" s="22" t="s">
        <v>22</v>
      </c>
      <c r="P70" s="51"/>
      <c r="Q70" s="51"/>
      <c r="R70" s="51"/>
      <c r="S70" s="51"/>
      <c r="U70" s="69" t="s">
        <v>173</v>
      </c>
      <c r="V70" s="51"/>
      <c r="W70" s="51"/>
      <c r="X70" s="51"/>
      <c r="Y70" s="51"/>
    </row>
    <row r="71" spans="1:25" x14ac:dyDescent="0.25">
      <c r="A71" s="1"/>
      <c r="B71" s="97" t="s">
        <v>51</v>
      </c>
      <c r="C71" s="7"/>
      <c r="D71" s="7"/>
      <c r="E71" s="24"/>
      <c r="N71" s="28"/>
      <c r="O71" s="22" t="s">
        <v>173</v>
      </c>
      <c r="P71" s="51"/>
      <c r="Q71" s="51"/>
      <c r="R71" s="51"/>
      <c r="S71" s="51"/>
      <c r="U71" s="69" t="s">
        <v>98</v>
      </c>
      <c r="V71" s="51"/>
      <c r="W71" s="51"/>
      <c r="X71" s="51"/>
      <c r="Y71" s="51"/>
    </row>
    <row r="72" spans="1:25" x14ac:dyDescent="0.25">
      <c r="A72" s="1"/>
      <c r="B72" s="95" t="s">
        <v>50</v>
      </c>
      <c r="C72" s="7"/>
      <c r="D72" s="7"/>
      <c r="E72" s="24"/>
      <c r="U72" s="69" t="s">
        <v>99</v>
      </c>
      <c r="V72" s="51"/>
      <c r="W72" s="51"/>
      <c r="X72" s="51"/>
      <c r="Y72" s="51"/>
    </row>
    <row r="73" spans="1:25" x14ac:dyDescent="0.25">
      <c r="A73" s="1"/>
      <c r="B73" s="98" t="s">
        <v>57</v>
      </c>
      <c r="C73" s="7"/>
      <c r="D73" s="7"/>
      <c r="E73" s="24"/>
    </row>
    <row r="74" spans="1:25" x14ac:dyDescent="0.25">
      <c r="A74" s="1"/>
      <c r="B74" s="99" t="s">
        <v>152</v>
      </c>
      <c r="C74" s="7"/>
      <c r="D74" s="7"/>
      <c r="E74" s="24"/>
    </row>
    <row r="75" spans="1:25" x14ac:dyDescent="0.25">
      <c r="A75" s="1"/>
      <c r="B75" s="100" t="s">
        <v>49</v>
      </c>
      <c r="C75" s="7"/>
      <c r="D75" s="7"/>
      <c r="E75" s="24"/>
    </row>
    <row r="76" spans="1:25" x14ac:dyDescent="0.25">
      <c r="A76" s="1"/>
      <c r="B76" s="101" t="s">
        <v>48</v>
      </c>
      <c r="C76" s="7"/>
      <c r="D76" s="7"/>
      <c r="E76" s="24"/>
    </row>
    <row r="77" spans="1:25" x14ac:dyDescent="0.25">
      <c r="A77" s="1"/>
      <c r="B77" s="103" t="s">
        <v>11</v>
      </c>
      <c r="C77" s="7"/>
      <c r="D77" s="7"/>
      <c r="E77" s="24"/>
    </row>
    <row r="78" spans="1:25" x14ac:dyDescent="0.25">
      <c r="A78" s="1"/>
      <c r="B78" s="104" t="s">
        <v>148</v>
      </c>
      <c r="C78" s="7"/>
      <c r="D78" s="7"/>
      <c r="E78" s="24"/>
      <c r="I78"/>
      <c r="J78"/>
    </row>
    <row r="79" spans="1:25" x14ac:dyDescent="0.25">
      <c r="A79" s="1"/>
      <c r="B79" s="18" t="s">
        <v>106</v>
      </c>
      <c r="C79" s="7"/>
      <c r="E79" s="24"/>
      <c r="I79"/>
      <c r="J79"/>
    </row>
    <row r="80" spans="1:25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6" si="36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36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36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36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36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36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si="36"/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6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6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6"/>
        <v>2</v>
      </c>
      <c r="F96">
        <f>F86-D57*2</f>
        <v>10</v>
      </c>
    </row>
    <row r="97" spans="1:10" ht="26.25" x14ac:dyDescent="0.4">
      <c r="A97" s="1"/>
      <c r="B97" s="1"/>
      <c r="C97" s="9"/>
      <c r="D97" s="9"/>
      <c r="E97" s="82" t="s">
        <v>134</v>
      </c>
      <c r="F97" s="83">
        <f>SUM(J19:AC19)+SUM(Z61:Z61)</f>
        <v>0</v>
      </c>
      <c r="G97" s="82" t="s">
        <v>409</v>
      </c>
      <c r="H97" s="83">
        <f>SUM(J55:L55)</f>
        <v>0</v>
      </c>
      <c r="I97" s="82" t="s">
        <v>408</v>
      </c>
      <c r="J97" s="83">
        <f>SUM(P54:S54)+Z54</f>
        <v>0</v>
      </c>
    </row>
    <row r="98" spans="1:10" ht="26.25" x14ac:dyDescent="0.4">
      <c r="A98" s="167" t="s">
        <v>117</v>
      </c>
      <c r="B98" s="167"/>
      <c r="C98" s="167"/>
      <c r="D98" s="167"/>
      <c r="E98" s="82" t="s">
        <v>119</v>
      </c>
      <c r="F98" s="83" t="s">
        <v>171</v>
      </c>
      <c r="G98" s="82" t="s">
        <v>412</v>
      </c>
      <c r="H98" s="83" t="str">
        <f>IFERROR(IF(D98&gt;=0,H97/D98,"-"),"-")</f>
        <v>-</v>
      </c>
      <c r="I98" s="82" t="s">
        <v>410</v>
      </c>
      <c r="J98" s="83" t="str">
        <f>IFERROR(IF(F98&gt;=0,J97/F98,"-"),"-")</f>
        <v>-</v>
      </c>
    </row>
    <row r="99" spans="1:10" ht="26.25" x14ac:dyDescent="0.4">
      <c r="A99" s="167"/>
      <c r="B99" s="167"/>
      <c r="C99" s="167"/>
      <c r="D99" s="167"/>
      <c r="E99" s="82" t="s">
        <v>120</v>
      </c>
      <c r="F99" s="83" t="str">
        <f>IFERROR(IF(F98&gt;=0,F97/F98,"-"),"-")</f>
        <v>-</v>
      </c>
    </row>
    <row r="100" spans="1:10" ht="26.25" x14ac:dyDescent="0.4">
      <c r="A100" s="167"/>
      <c r="B100" s="167"/>
      <c r="C100" s="167"/>
      <c r="D100" s="167"/>
      <c r="E100" s="82" t="s">
        <v>533</v>
      </c>
      <c r="F100" s="22">
        <f>SUM(J50:AD50,AA16:AD16)</f>
        <v>0</v>
      </c>
    </row>
    <row r="101" spans="1:10" ht="26.25" x14ac:dyDescent="0.4">
      <c r="A101" s="167"/>
      <c r="B101" s="167"/>
      <c r="C101" s="167"/>
      <c r="D101" s="167"/>
      <c r="E101" s="82" t="s">
        <v>535</v>
      </c>
      <c r="F101" s="22">
        <f>SUM(J52:AD52,AA4:AD4)</f>
        <v>0</v>
      </c>
    </row>
    <row r="102" spans="1:10" x14ac:dyDescent="0.25">
      <c r="A102" s="167"/>
      <c r="B102" s="167"/>
      <c r="C102" s="167"/>
      <c r="D102" s="167"/>
    </row>
    <row r="103" spans="1:10" ht="14.65" customHeight="1" x14ac:dyDescent="0.25"/>
    <row r="113" spans="1:8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85" s="12" customFormat="1" x14ac:dyDescent="0.25">
      <c r="A114" s="128"/>
      <c r="B114" s="129"/>
      <c r="C114" s="129" t="s">
        <v>47</v>
      </c>
      <c r="D114" s="129" t="s">
        <v>45</v>
      </c>
      <c r="E114" s="129" t="s">
        <v>46</v>
      </c>
      <c r="F114" s="129"/>
      <c r="G114" s="129"/>
      <c r="H114" s="129" t="s">
        <v>124</v>
      </c>
      <c r="I114" s="129" t="s">
        <v>103</v>
      </c>
      <c r="J114" s="129" t="s">
        <v>191</v>
      </c>
      <c r="K114" s="129" t="s">
        <v>199</v>
      </c>
      <c r="L114" s="129" t="s">
        <v>200</v>
      </c>
      <c r="M114" s="129" t="s">
        <v>201</v>
      </c>
      <c r="N114" s="129" t="s">
        <v>202</v>
      </c>
      <c r="O114" s="129" t="s">
        <v>86</v>
      </c>
      <c r="P114" s="129" t="s">
        <v>6</v>
      </c>
      <c r="Q114" s="129" t="s">
        <v>132</v>
      </c>
      <c r="R114" s="129" t="s">
        <v>39</v>
      </c>
      <c r="S114" s="129" t="s">
        <v>271</v>
      </c>
      <c r="T114" s="129" t="s">
        <v>296</v>
      </c>
      <c r="U114" s="129" t="s">
        <v>34</v>
      </c>
      <c r="V114" s="129" t="s">
        <v>307</v>
      </c>
      <c r="W114" s="129" t="s">
        <v>315</v>
      </c>
      <c r="X114" s="129" t="s">
        <v>19</v>
      </c>
      <c r="Y114" s="129"/>
      <c r="Z114" s="129"/>
      <c r="AA114" s="129"/>
      <c r="AB114" s="122"/>
      <c r="AC114" s="122"/>
      <c r="AD114" s="122"/>
      <c r="AE114" s="122"/>
      <c r="AF114" s="122"/>
      <c r="AG114" s="122"/>
      <c r="AH114" s="122"/>
      <c r="AI114" s="122"/>
      <c r="AJ114" s="1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</row>
    <row r="115" spans="1:85" s="12" customFormat="1" x14ac:dyDescent="0.25">
      <c r="A115" s="130"/>
      <c r="B115" s="131" t="s">
        <v>43</v>
      </c>
      <c r="C115" s="131">
        <v>19.551000595092699</v>
      </c>
      <c r="D115" s="131">
        <v>68.206199645996094</v>
      </c>
      <c r="E115" s="131">
        <v>1029.58557128906</v>
      </c>
      <c r="F115" s="131" t="s">
        <v>5</v>
      </c>
      <c r="G115" s="131">
        <v>5</v>
      </c>
      <c r="H115" s="131">
        <v>1</v>
      </c>
      <c r="I115" s="131">
        <v>1</v>
      </c>
      <c r="J115" s="131">
        <v>1</v>
      </c>
      <c r="K115" s="131">
        <v>1</v>
      </c>
      <c r="L115" s="131">
        <v>1</v>
      </c>
      <c r="M115" s="131">
        <v>1</v>
      </c>
      <c r="N115" s="131">
        <v>1</v>
      </c>
      <c r="O115" s="131">
        <v>1</v>
      </c>
      <c r="P115" s="131">
        <v>1</v>
      </c>
      <c r="Q115" s="131">
        <v>1</v>
      </c>
      <c r="R115" s="131">
        <v>1</v>
      </c>
      <c r="S115" s="131">
        <v>1</v>
      </c>
      <c r="T115" s="131">
        <v>1</v>
      </c>
      <c r="U115" s="131">
        <v>1</v>
      </c>
      <c r="V115" s="131">
        <f>22/22</f>
        <v>1</v>
      </c>
      <c r="W115" s="131">
        <f>3/3</f>
        <v>1</v>
      </c>
      <c r="X115" s="131">
        <f>26/26</f>
        <v>1</v>
      </c>
      <c r="Y115" s="131"/>
      <c r="Z115" s="131"/>
      <c r="AA115" s="131"/>
      <c r="AB115" s="24"/>
      <c r="AC115" s="24"/>
      <c r="AD115" s="24"/>
      <c r="AE115" s="24"/>
      <c r="AF115" s="24"/>
      <c r="AG115" s="24"/>
      <c r="AH115" s="24"/>
      <c r="AI115" s="24"/>
      <c r="AJ115" s="1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s="12" customFormat="1" x14ac:dyDescent="0.25">
      <c r="A116" s="128"/>
      <c r="B116" s="129" t="s">
        <v>42</v>
      </c>
      <c r="C116" s="129">
        <v>18.698400497436499</v>
      </c>
      <c r="D116" s="129">
        <v>50.358001708984297</v>
      </c>
      <c r="E116" s="129">
        <v>793.25817871093705</v>
      </c>
      <c r="F116" s="129" t="s">
        <v>4</v>
      </c>
      <c r="G116" s="129">
        <v>4</v>
      </c>
      <c r="H116" s="129">
        <v>2</v>
      </c>
      <c r="I116" s="129">
        <v>1.081</v>
      </c>
      <c r="J116" s="129">
        <v>1.081</v>
      </c>
      <c r="K116" s="129">
        <v>1.0680000000000001</v>
      </c>
      <c r="L116" s="129">
        <v>1.075</v>
      </c>
      <c r="M116" s="129">
        <v>1.075</v>
      </c>
      <c r="N116" s="129">
        <v>1.06</v>
      </c>
      <c r="O116" s="129">
        <v>1.1000000000000001</v>
      </c>
      <c r="P116" s="129">
        <v>1.1080000000000001</v>
      </c>
      <c r="Q116" s="129">
        <v>1.016</v>
      </c>
      <c r="R116" s="129">
        <v>1.05</v>
      </c>
      <c r="S116" s="129">
        <v>1.05</v>
      </c>
      <c r="T116" s="129">
        <v>1</v>
      </c>
      <c r="U116" s="129">
        <f>17/16</f>
        <v>1.0625</v>
      </c>
      <c r="V116" s="129">
        <f>23/22</f>
        <v>1.0454545454545454</v>
      </c>
      <c r="W116" s="129">
        <v>1</v>
      </c>
      <c r="X116" s="129">
        <f>28/26</f>
        <v>1.0769230769230769</v>
      </c>
      <c r="Y116" s="129"/>
      <c r="Z116" s="129"/>
      <c r="AA116" s="129"/>
      <c r="AB116" s="122"/>
      <c r="AC116" s="122"/>
      <c r="AD116" s="122"/>
      <c r="AE116" s="122"/>
      <c r="AF116" s="122"/>
      <c r="AG116" s="122"/>
      <c r="AH116" s="122"/>
      <c r="AI116" s="122"/>
      <c r="AJ116" s="1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</row>
    <row r="117" spans="1:85" s="12" customFormat="1" x14ac:dyDescent="0.25">
      <c r="A117" s="130"/>
      <c r="B117" s="131" t="s">
        <v>41</v>
      </c>
      <c r="C117" s="131">
        <v>13.355999946594199</v>
      </c>
      <c r="D117" s="131">
        <v>56.080501556396399</v>
      </c>
      <c r="E117" s="131">
        <v>820.61187744140602</v>
      </c>
      <c r="F117" s="131" t="s">
        <v>40</v>
      </c>
      <c r="G117" s="131">
        <v>4</v>
      </c>
      <c r="H117" s="131">
        <v>3</v>
      </c>
      <c r="I117" s="131">
        <v>1.163</v>
      </c>
      <c r="J117" s="131">
        <v>1.163</v>
      </c>
      <c r="K117" s="131">
        <v>1.1359999999999999</v>
      </c>
      <c r="L117" s="131">
        <v>1.1499999999999999</v>
      </c>
      <c r="M117" s="131">
        <v>1.1499999999999999</v>
      </c>
      <c r="N117" s="131">
        <v>1.1200000000000001</v>
      </c>
      <c r="O117" s="131">
        <v>1.208</v>
      </c>
      <c r="P117" s="131">
        <v>1.216</v>
      </c>
      <c r="Q117" s="131">
        <v>1.0329999999999999</v>
      </c>
      <c r="R117" s="131">
        <v>1.1000000000000001</v>
      </c>
      <c r="S117" s="131">
        <v>1.1000000000000001</v>
      </c>
      <c r="T117" s="131">
        <v>1</v>
      </c>
      <c r="U117" s="131">
        <f>18/16</f>
        <v>1.125</v>
      </c>
      <c r="V117" s="131">
        <f>24/22</f>
        <v>1.0909090909090908</v>
      </c>
      <c r="W117" s="131">
        <v>1</v>
      </c>
      <c r="X117" s="131">
        <f>30/26</f>
        <v>1.1538461538461537</v>
      </c>
      <c r="Y117" s="131"/>
      <c r="Z117" s="131"/>
      <c r="AA117" s="131"/>
      <c r="AB117" s="24"/>
      <c r="AC117" s="24"/>
      <c r="AD117" s="24"/>
      <c r="AE117" s="24"/>
      <c r="AF117" s="24"/>
      <c r="AG117" s="24"/>
      <c r="AH117" s="24"/>
      <c r="AI117" s="24"/>
      <c r="AJ117" s="1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</row>
    <row r="118" spans="1:85" s="12" customFormat="1" x14ac:dyDescent="0.25">
      <c r="A118" s="128"/>
      <c r="B118" s="129" t="s">
        <v>39</v>
      </c>
      <c r="C118" s="129">
        <v>18.876480102538999</v>
      </c>
      <c r="D118" s="129">
        <v>54.363750457763601</v>
      </c>
      <c r="E118" s="129">
        <v>1094.14916992187</v>
      </c>
      <c r="F118" s="129" t="s">
        <v>5</v>
      </c>
      <c r="G118" s="129">
        <v>4</v>
      </c>
      <c r="H118" s="129">
        <v>4</v>
      </c>
      <c r="I118" s="129">
        <v>1.2789999999999999</v>
      </c>
      <c r="J118" s="129">
        <v>1.2789999999999999</v>
      </c>
      <c r="K118" s="129">
        <v>1.2270000000000001</v>
      </c>
      <c r="L118" s="129">
        <v>1.25</v>
      </c>
      <c r="M118" s="129">
        <v>1.25</v>
      </c>
      <c r="N118" s="129">
        <v>1.198</v>
      </c>
      <c r="O118" s="129">
        <v>1.325</v>
      </c>
      <c r="P118" s="129">
        <v>1.351</v>
      </c>
      <c r="Q118" s="129">
        <v>1.054</v>
      </c>
      <c r="R118" s="129">
        <v>1.2</v>
      </c>
      <c r="S118" s="129">
        <v>1.2</v>
      </c>
      <c r="T118" s="129">
        <v>1</v>
      </c>
      <c r="U118" s="129">
        <f>19/16</f>
        <v>1.1875</v>
      </c>
      <c r="V118" s="129">
        <f>25/22</f>
        <v>1.1363636363636365</v>
      </c>
      <c r="W118" s="129">
        <f>3.5/3</f>
        <v>1.1666666666666667</v>
      </c>
      <c r="X118" s="129">
        <f>32/26</f>
        <v>1.2307692307692308</v>
      </c>
      <c r="Y118" s="129"/>
      <c r="Z118" s="129"/>
      <c r="AA118" s="129"/>
      <c r="AB118" s="122"/>
      <c r="AC118" s="122"/>
      <c r="AD118" s="122"/>
      <c r="AE118" s="122"/>
      <c r="AF118" s="122"/>
      <c r="AG118" s="122"/>
      <c r="AH118" s="122"/>
      <c r="AI118" s="122"/>
      <c r="AJ118" s="1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</row>
    <row r="119" spans="1:85" s="12" customFormat="1" x14ac:dyDescent="0.25">
      <c r="A119" s="130"/>
      <c r="B119" s="131" t="s">
        <v>38</v>
      </c>
      <c r="C119" s="131">
        <v>16.0272006988525</v>
      </c>
      <c r="D119" s="131">
        <v>64.664253234863196</v>
      </c>
      <c r="E119" s="131">
        <v>1039.44177246093</v>
      </c>
      <c r="F119" s="131" t="s">
        <v>11</v>
      </c>
      <c r="G119" s="131">
        <v>4</v>
      </c>
      <c r="H119" s="131">
        <v>5</v>
      </c>
      <c r="I119" s="131">
        <v>1.36</v>
      </c>
      <c r="J119" s="131">
        <v>1.36</v>
      </c>
      <c r="K119" s="131">
        <v>1.2949999999999999</v>
      </c>
      <c r="L119" s="131">
        <v>1.325</v>
      </c>
      <c r="M119" s="131">
        <v>1.325</v>
      </c>
      <c r="N119" s="131">
        <v>1.2569999999999999</v>
      </c>
      <c r="O119" s="131">
        <v>1.45</v>
      </c>
      <c r="P119" s="131">
        <v>1.4730000000000001</v>
      </c>
      <c r="Q119" s="131">
        <v>1.071</v>
      </c>
      <c r="R119" s="131">
        <v>1.25</v>
      </c>
      <c r="S119" s="131">
        <v>1.25</v>
      </c>
      <c r="T119" s="131">
        <v>1</v>
      </c>
      <c r="U119" s="131">
        <f>20/16</f>
        <v>1.25</v>
      </c>
      <c r="V119" s="131">
        <f>26/22</f>
        <v>1.1818181818181819</v>
      </c>
      <c r="W119" s="131">
        <f>3.5/3</f>
        <v>1.1666666666666667</v>
      </c>
      <c r="X119" s="131">
        <f>34/26</f>
        <v>1.3076923076923077</v>
      </c>
      <c r="Y119" s="131"/>
      <c r="Z119" s="131"/>
      <c r="AA119" s="131"/>
      <c r="AB119" s="24"/>
      <c r="AC119" s="24"/>
      <c r="AD119" s="24"/>
      <c r="AE119" s="24"/>
      <c r="AF119" s="24"/>
      <c r="AG119" s="24"/>
      <c r="AH119" s="24"/>
      <c r="AI119" s="24"/>
      <c r="AJ119" s="1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</row>
    <row r="120" spans="1:85" s="12" customFormat="1" x14ac:dyDescent="0.25">
      <c r="A120" s="128"/>
      <c r="B120" s="129" t="s">
        <v>37</v>
      </c>
      <c r="C120" s="129">
        <v>18.698400497436499</v>
      </c>
      <c r="D120" s="129">
        <v>54.363750457763601</v>
      </c>
      <c r="E120" s="129">
        <v>920.908935546875</v>
      </c>
      <c r="F120" s="129" t="s">
        <v>4</v>
      </c>
      <c r="G120" s="129">
        <v>4</v>
      </c>
      <c r="H120" s="129">
        <v>6</v>
      </c>
      <c r="I120" s="129">
        <v>1.4530000000000001</v>
      </c>
      <c r="J120" s="129">
        <v>1.4530000000000001</v>
      </c>
      <c r="K120" s="129">
        <v>1.375</v>
      </c>
      <c r="L120" s="129">
        <v>1.4</v>
      </c>
      <c r="M120" s="129">
        <v>1.4</v>
      </c>
      <c r="N120" s="129">
        <v>1.3169999999999999</v>
      </c>
      <c r="O120" s="129">
        <v>1.583</v>
      </c>
      <c r="P120" s="129">
        <v>1.595</v>
      </c>
      <c r="Q120" s="129">
        <v>1.087</v>
      </c>
      <c r="R120" s="129">
        <v>1.3</v>
      </c>
      <c r="S120" s="129">
        <v>1.3</v>
      </c>
      <c r="T120" s="129">
        <v>1</v>
      </c>
      <c r="U120" s="129">
        <f t="shared" ref="U120" si="37">17/16</f>
        <v>1.0625</v>
      </c>
      <c r="V120" s="129">
        <f>27/22</f>
        <v>1.2272727272727273</v>
      </c>
      <c r="W120" s="129">
        <f>3.5/3</f>
        <v>1.1666666666666667</v>
      </c>
      <c r="X120" s="129">
        <f>36/26</f>
        <v>1.3846153846153846</v>
      </c>
      <c r="Y120" s="129"/>
      <c r="Z120" s="129"/>
      <c r="AA120" s="129"/>
      <c r="AB120" s="122"/>
      <c r="AC120" s="122"/>
      <c r="AD120" s="122"/>
      <c r="AE120" s="122"/>
      <c r="AF120" s="122"/>
      <c r="AG120" s="122"/>
      <c r="AH120" s="122"/>
      <c r="AI120" s="122"/>
      <c r="AJ120" s="1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</row>
    <row r="121" spans="1:85" s="12" customFormat="1" x14ac:dyDescent="0.25">
      <c r="A121" s="130"/>
      <c r="B121" s="131" t="s">
        <v>36</v>
      </c>
      <c r="C121" s="131">
        <v>26.068000793456999</v>
      </c>
      <c r="D121" s="131">
        <v>61.026599884033203</v>
      </c>
      <c r="E121" s="131">
        <v>1010.51922607421</v>
      </c>
      <c r="F121" s="131" t="s">
        <v>3</v>
      </c>
      <c r="G121" s="131">
        <v>5</v>
      </c>
      <c r="H121" s="131">
        <v>7</v>
      </c>
      <c r="I121" s="131">
        <v>1.581</v>
      </c>
      <c r="J121" s="131">
        <v>1.581</v>
      </c>
      <c r="K121" s="131">
        <v>1.4770000000000001</v>
      </c>
      <c r="L121" s="131">
        <v>1.5</v>
      </c>
      <c r="M121" s="131">
        <v>1.5</v>
      </c>
      <c r="N121" s="131">
        <v>1.395</v>
      </c>
      <c r="O121" s="131">
        <v>1.7250000000000001</v>
      </c>
      <c r="P121" s="131">
        <v>1.7569999999999999</v>
      </c>
      <c r="Q121" s="131">
        <v>1.109</v>
      </c>
      <c r="R121" s="131">
        <v>1.4</v>
      </c>
      <c r="S121" s="131">
        <v>1.4</v>
      </c>
      <c r="T121" s="131">
        <v>1</v>
      </c>
      <c r="U121" s="131">
        <f t="shared" ref="U121" si="38">18/16</f>
        <v>1.125</v>
      </c>
      <c r="V121" s="131">
        <f>28/22</f>
        <v>1.2727272727272727</v>
      </c>
      <c r="W121" s="131">
        <f>4/3</f>
        <v>1.3333333333333333</v>
      </c>
      <c r="X121" s="131">
        <f>37/26</f>
        <v>1.4230769230769231</v>
      </c>
      <c r="Y121" s="131"/>
      <c r="Z121" s="131"/>
      <c r="AA121" s="131"/>
      <c r="AB121" s="24"/>
      <c r="AC121" s="24"/>
      <c r="AD121" s="24"/>
      <c r="AE121" s="24"/>
      <c r="AF121" s="24"/>
      <c r="AG121" s="24"/>
      <c r="AH121" s="24"/>
      <c r="AI121" s="24"/>
      <c r="AJ121" s="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</row>
    <row r="122" spans="1:85" s="12" customFormat="1" x14ac:dyDescent="0.25">
      <c r="A122" s="128"/>
      <c r="B122" s="129" t="s">
        <v>35</v>
      </c>
      <c r="C122" s="129">
        <v>17.808000564575099</v>
      </c>
      <c r="D122" s="129">
        <v>50.358001708984297</v>
      </c>
      <c r="E122" s="129">
        <v>802.37609863281205</v>
      </c>
      <c r="F122" s="129" t="s">
        <v>5</v>
      </c>
      <c r="G122" s="129">
        <v>4</v>
      </c>
      <c r="H122" s="129">
        <v>8</v>
      </c>
      <c r="I122" s="129">
        <v>1.7090000000000001</v>
      </c>
      <c r="J122" s="129">
        <v>1.7090000000000001</v>
      </c>
      <c r="K122" s="129">
        <v>1.58</v>
      </c>
      <c r="L122" s="129">
        <v>1.6</v>
      </c>
      <c r="M122" s="129">
        <v>1.6</v>
      </c>
      <c r="N122" s="129">
        <v>1.4730000000000001</v>
      </c>
      <c r="O122" s="129">
        <v>1.875</v>
      </c>
      <c r="P122" s="129">
        <v>1.919</v>
      </c>
      <c r="Q122" s="129">
        <v>1.1299999999999999</v>
      </c>
      <c r="R122" s="129">
        <v>1.5</v>
      </c>
      <c r="S122" s="129">
        <v>1.5</v>
      </c>
      <c r="T122" s="129">
        <v>1</v>
      </c>
      <c r="U122" s="129">
        <f t="shared" ref="U122" si="39">19/16</f>
        <v>1.1875</v>
      </c>
      <c r="V122" s="129">
        <f>29/22</f>
        <v>1.3181818181818181</v>
      </c>
      <c r="W122" s="129">
        <f>4/3</f>
        <v>1.3333333333333333</v>
      </c>
      <c r="X122" s="129">
        <f>38/26</f>
        <v>1.4615384615384615</v>
      </c>
      <c r="Y122" s="129"/>
      <c r="Z122" s="129"/>
      <c r="AA122" s="129"/>
      <c r="AB122" s="122"/>
      <c r="AC122" s="122"/>
      <c r="AD122" s="122"/>
      <c r="AE122" s="122"/>
      <c r="AF122" s="122"/>
      <c r="AG122" s="122"/>
      <c r="AH122" s="122"/>
      <c r="AI122" s="122"/>
      <c r="AJ122" s="1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</row>
    <row r="123" spans="1:85" s="12" customFormat="1" x14ac:dyDescent="0.25">
      <c r="A123" s="130"/>
      <c r="B123" s="131" t="s">
        <v>34</v>
      </c>
      <c r="C123" s="131">
        <v>26.626600265502901</v>
      </c>
      <c r="D123" s="131">
        <v>58.453910827636697</v>
      </c>
      <c r="E123" s="131">
        <v>1029.58557128906</v>
      </c>
      <c r="F123" s="131" t="s">
        <v>2</v>
      </c>
      <c r="G123" s="131">
        <v>5</v>
      </c>
      <c r="H123" s="131">
        <v>9</v>
      </c>
      <c r="I123" s="131">
        <v>1.837</v>
      </c>
      <c r="J123" s="131">
        <v>1.837</v>
      </c>
      <c r="K123" s="131">
        <v>1.6819999999999999</v>
      </c>
      <c r="L123" s="131">
        <v>1.7</v>
      </c>
      <c r="M123" s="131">
        <v>1.7</v>
      </c>
      <c r="N123" s="131">
        <v>1.5509999999999999</v>
      </c>
      <c r="O123" s="131">
        <v>2.0329999999999999</v>
      </c>
      <c r="P123" s="131">
        <v>2.081</v>
      </c>
      <c r="Q123" s="131">
        <v>1.151</v>
      </c>
      <c r="R123" s="131">
        <v>1.6</v>
      </c>
      <c r="S123" s="131">
        <v>1.6</v>
      </c>
      <c r="T123" s="131">
        <v>1</v>
      </c>
      <c r="U123" s="131">
        <f t="shared" ref="U123" si="40">20/16</f>
        <v>1.25</v>
      </c>
      <c r="V123" s="131">
        <f>30/22</f>
        <v>1.3636363636363635</v>
      </c>
      <c r="W123" s="131">
        <f t="shared" ref="W123:W129" si="41">4/3</f>
        <v>1.3333333333333333</v>
      </c>
      <c r="X123" s="131">
        <f>39/26</f>
        <v>1.5</v>
      </c>
      <c r="Y123" s="131"/>
      <c r="Z123" s="131"/>
      <c r="AA123" s="131"/>
      <c r="AB123" s="24"/>
      <c r="AC123" s="24"/>
      <c r="AD123" s="24"/>
      <c r="AE123" s="24"/>
      <c r="AF123" s="24"/>
      <c r="AG123" s="24"/>
      <c r="AH123" s="24"/>
      <c r="AI123" s="24"/>
      <c r="AJ123" s="1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</row>
    <row r="124" spans="1:85" s="12" customFormat="1" x14ac:dyDescent="0.25">
      <c r="A124" s="128"/>
      <c r="B124" s="129" t="s">
        <v>33</v>
      </c>
      <c r="C124" s="129">
        <v>20.479200363159102</v>
      </c>
      <c r="D124" s="129">
        <v>49.785751342773402</v>
      </c>
      <c r="E124" s="129">
        <v>770.46337890625</v>
      </c>
      <c r="F124" s="129" t="s">
        <v>4</v>
      </c>
      <c r="G124" s="129">
        <v>4</v>
      </c>
      <c r="H124" s="129">
        <v>10</v>
      </c>
      <c r="I124" s="129">
        <v>1.9770000000000001</v>
      </c>
      <c r="J124" s="129">
        <v>1.9770000000000001</v>
      </c>
      <c r="K124" s="129">
        <v>1.784</v>
      </c>
      <c r="L124" s="129">
        <v>1.8</v>
      </c>
      <c r="M124" s="129">
        <v>1.8</v>
      </c>
      <c r="N124" s="129">
        <v>1.629</v>
      </c>
      <c r="O124" s="129">
        <v>2.2000000000000002</v>
      </c>
      <c r="P124" s="129">
        <v>2.2429999999999999</v>
      </c>
      <c r="Q124" s="129">
        <v>1.173</v>
      </c>
      <c r="R124" s="129">
        <v>1.7</v>
      </c>
      <c r="S124" s="129">
        <v>1.7</v>
      </c>
      <c r="T124" s="129">
        <v>1</v>
      </c>
      <c r="U124" s="129">
        <f t="shared" ref="U124:U129" si="42">21/16</f>
        <v>1.3125</v>
      </c>
      <c r="V124" s="129">
        <f>30/22</f>
        <v>1.3636363636363635</v>
      </c>
      <c r="W124" s="129">
        <f t="shared" si="41"/>
        <v>1.3333333333333333</v>
      </c>
      <c r="X124" s="129">
        <f>40/26</f>
        <v>1.5384615384615385</v>
      </c>
      <c r="Y124" s="129"/>
      <c r="Z124" s="129"/>
      <c r="AA124" s="129"/>
      <c r="AB124" s="122"/>
      <c r="AC124" s="122"/>
      <c r="AD124" s="122"/>
      <c r="AE124" s="122"/>
      <c r="AF124" s="122"/>
      <c r="AG124" s="122"/>
      <c r="AH124" s="122"/>
      <c r="AI124" s="122"/>
      <c r="AJ124" s="1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</row>
    <row r="125" spans="1:85" s="12" customFormat="1" x14ac:dyDescent="0.25">
      <c r="A125" s="130"/>
      <c r="B125" s="131" t="s">
        <v>32</v>
      </c>
      <c r="C125" s="131">
        <v>26.068000793456999</v>
      </c>
      <c r="D125" s="131">
        <v>49.060600280761697</v>
      </c>
      <c r="E125" s="131">
        <v>762.656005859375</v>
      </c>
      <c r="F125" s="131" t="s">
        <v>2</v>
      </c>
      <c r="G125" s="131">
        <v>5</v>
      </c>
      <c r="H125" s="131">
        <v>11</v>
      </c>
      <c r="I125" s="131">
        <v>2.1160000000000001</v>
      </c>
      <c r="J125" s="131">
        <v>2.137</v>
      </c>
      <c r="K125" s="131">
        <v>1.8859999999999999</v>
      </c>
      <c r="L125" s="131">
        <v>1.9</v>
      </c>
      <c r="M125" s="131">
        <v>1.9039999999999999</v>
      </c>
      <c r="N125" s="131">
        <v>1.7070000000000001</v>
      </c>
      <c r="O125" s="131">
        <v>2.375</v>
      </c>
      <c r="P125" s="131">
        <v>2.4049999999999998</v>
      </c>
      <c r="Q125" s="131">
        <v>1.194</v>
      </c>
      <c r="R125" s="131">
        <v>1.75</v>
      </c>
      <c r="S125" s="131">
        <v>1.7</v>
      </c>
      <c r="T125" s="131">
        <v>1</v>
      </c>
      <c r="U125" s="131">
        <f t="shared" si="42"/>
        <v>1.3125</v>
      </c>
      <c r="V125" s="131">
        <f t="shared" ref="V125:V129" si="43">30/22</f>
        <v>1.3636363636363635</v>
      </c>
      <c r="W125" s="131">
        <f t="shared" si="41"/>
        <v>1.3333333333333333</v>
      </c>
      <c r="X125" s="131">
        <f t="shared" ref="X125:X129" si="44">40/26</f>
        <v>1.5384615384615385</v>
      </c>
      <c r="Y125" s="131"/>
      <c r="Z125" s="131"/>
      <c r="AA125" s="131"/>
      <c r="AB125" s="24"/>
      <c r="AC125" s="24"/>
      <c r="AD125" s="24"/>
      <c r="AE125" s="24"/>
      <c r="AF125" s="24"/>
      <c r="AG125" s="24"/>
      <c r="AH125" s="24"/>
      <c r="AI125" s="24"/>
      <c r="AJ125" s="1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</row>
    <row r="126" spans="1:85" s="12" customFormat="1" x14ac:dyDescent="0.25">
      <c r="A126" s="128"/>
      <c r="B126" s="129" t="s">
        <v>31</v>
      </c>
      <c r="C126" s="129">
        <v>8.2859001159667898</v>
      </c>
      <c r="D126" s="129">
        <v>68.206199645996094</v>
      </c>
      <c r="E126" s="129">
        <v>1210.71643066406</v>
      </c>
      <c r="F126" s="129" t="s">
        <v>2</v>
      </c>
      <c r="G126" s="129">
        <v>5</v>
      </c>
      <c r="H126" s="129">
        <v>12</v>
      </c>
      <c r="I126" s="129">
        <v>2.2559999999999998</v>
      </c>
      <c r="J126" s="129">
        <v>2.3250000000000002</v>
      </c>
      <c r="K126" s="129">
        <v>1.9890000000000001</v>
      </c>
      <c r="L126" s="129">
        <v>2</v>
      </c>
      <c r="M126" s="129">
        <v>2.04</v>
      </c>
      <c r="N126" s="129">
        <v>1.784</v>
      </c>
      <c r="O126" s="129">
        <v>2.5590000000000002</v>
      </c>
      <c r="P126" s="129">
        <v>2.5680000000000001</v>
      </c>
      <c r="Q126" s="129">
        <v>1.216</v>
      </c>
      <c r="R126" s="129">
        <v>1.8</v>
      </c>
      <c r="S126" s="129">
        <v>1.7</v>
      </c>
      <c r="T126" s="129">
        <v>1</v>
      </c>
      <c r="U126" s="129">
        <f t="shared" si="42"/>
        <v>1.3125</v>
      </c>
      <c r="V126" s="129">
        <f t="shared" si="43"/>
        <v>1.3636363636363635</v>
      </c>
      <c r="W126" s="129">
        <f t="shared" si="41"/>
        <v>1.3333333333333333</v>
      </c>
      <c r="X126" s="129">
        <f t="shared" si="44"/>
        <v>1.5384615384615385</v>
      </c>
      <c r="Y126" s="129"/>
      <c r="Z126" s="129"/>
      <c r="AA126" s="129"/>
      <c r="AB126" s="122"/>
      <c r="AC126" s="122"/>
      <c r="AD126" s="122"/>
      <c r="AE126" s="122"/>
      <c r="AF126" s="122"/>
      <c r="AG126" s="122"/>
      <c r="AH126" s="122"/>
      <c r="AI126" s="122"/>
      <c r="AJ126" s="1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</row>
    <row r="127" spans="1:85" s="12" customFormat="1" x14ac:dyDescent="0.25">
      <c r="A127" s="130"/>
      <c r="B127" s="131" t="s">
        <v>30</v>
      </c>
      <c r="C127" s="131">
        <v>18.620000839233398</v>
      </c>
      <c r="D127" s="131">
        <v>59.830001831054602</v>
      </c>
      <c r="E127" s="131">
        <v>1143.98400878906</v>
      </c>
      <c r="F127" s="131" t="s">
        <v>20</v>
      </c>
      <c r="G127" s="131">
        <v>5</v>
      </c>
      <c r="H127" s="131">
        <v>13</v>
      </c>
      <c r="I127" s="131">
        <v>2.395</v>
      </c>
      <c r="J127" s="131">
        <v>2.5129999999999999</v>
      </c>
      <c r="K127" s="131">
        <v>2.0910000000000002</v>
      </c>
      <c r="L127" s="131">
        <v>2.125</v>
      </c>
      <c r="M127" s="131">
        <v>2.1760000000000002</v>
      </c>
      <c r="N127" s="131">
        <v>1.8620000000000001</v>
      </c>
      <c r="O127" s="131">
        <v>2.75</v>
      </c>
      <c r="P127" s="131">
        <v>2.7029999999999998</v>
      </c>
      <c r="Q127" s="131">
        <v>1.2370000000000001</v>
      </c>
      <c r="R127" s="131">
        <v>1.85</v>
      </c>
      <c r="S127" s="131">
        <v>1.7</v>
      </c>
      <c r="T127" s="131">
        <v>1</v>
      </c>
      <c r="U127" s="131">
        <f t="shared" si="42"/>
        <v>1.3125</v>
      </c>
      <c r="V127" s="131">
        <f t="shared" si="43"/>
        <v>1.3636363636363635</v>
      </c>
      <c r="W127" s="131">
        <f t="shared" si="41"/>
        <v>1.3333333333333333</v>
      </c>
      <c r="X127" s="131">
        <f t="shared" si="44"/>
        <v>1.5384615384615385</v>
      </c>
      <c r="Y127" s="131"/>
      <c r="Z127" s="131"/>
      <c r="AA127" s="131"/>
      <c r="AB127" s="24"/>
      <c r="AC127" s="24"/>
      <c r="AD127" s="24"/>
      <c r="AE127" s="24"/>
      <c r="AF127" s="24"/>
      <c r="AG127" s="24"/>
      <c r="AH127" s="24"/>
      <c r="AI127" s="24"/>
      <c r="AJ127" s="1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</row>
    <row r="128" spans="1:85" s="12" customFormat="1" x14ac:dyDescent="0.25">
      <c r="A128" s="128"/>
      <c r="B128" s="129" t="s">
        <v>29</v>
      </c>
      <c r="C128" s="129">
        <v>18.698400497436499</v>
      </c>
      <c r="D128" s="129">
        <v>66.380996704101506</v>
      </c>
      <c r="E128" s="129">
        <v>975.61639404296795</v>
      </c>
      <c r="F128" s="129" t="s">
        <v>11</v>
      </c>
      <c r="G128" s="129">
        <v>4</v>
      </c>
      <c r="H128" s="129">
        <v>14</v>
      </c>
      <c r="I128" s="129">
        <v>2.5350000000000001</v>
      </c>
      <c r="J128" s="129">
        <v>2.7010000000000001</v>
      </c>
      <c r="K128" s="129">
        <v>2.1930000000000001</v>
      </c>
      <c r="L128" s="129">
        <v>2.25</v>
      </c>
      <c r="M128" s="129">
        <v>2.3119999999999998</v>
      </c>
      <c r="N128" s="129">
        <v>1.94</v>
      </c>
      <c r="O128" s="129">
        <v>2.95</v>
      </c>
      <c r="P128" s="129">
        <v>2.8380000000000001</v>
      </c>
      <c r="Q128" s="129">
        <v>1.258</v>
      </c>
      <c r="R128" s="129">
        <v>1.9</v>
      </c>
      <c r="S128" s="129">
        <v>1.7</v>
      </c>
      <c r="T128" s="129">
        <v>1</v>
      </c>
      <c r="U128" s="129">
        <f t="shared" si="42"/>
        <v>1.3125</v>
      </c>
      <c r="V128" s="129">
        <f t="shared" si="43"/>
        <v>1.3636363636363635</v>
      </c>
      <c r="W128" s="129">
        <f t="shared" si="41"/>
        <v>1.3333333333333333</v>
      </c>
      <c r="X128" s="129">
        <f t="shared" si="44"/>
        <v>1.5384615384615385</v>
      </c>
      <c r="Y128" s="129"/>
      <c r="Z128" s="129"/>
      <c r="AA128" s="129"/>
      <c r="AB128" s="122"/>
      <c r="AC128" s="122"/>
      <c r="AD128" s="122"/>
      <c r="AE128" s="122"/>
      <c r="AF128" s="122"/>
      <c r="AG128" s="122"/>
      <c r="AH128" s="122"/>
      <c r="AI128" s="122"/>
      <c r="AJ128" s="1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</row>
    <row r="129" spans="1:85" s="12" customFormat="1" x14ac:dyDescent="0.25">
      <c r="A129" s="130"/>
      <c r="B129" s="131" t="s">
        <v>28</v>
      </c>
      <c r="C129" s="131">
        <v>25.136999130248999</v>
      </c>
      <c r="D129" s="131">
        <v>62.223201751708899</v>
      </c>
      <c r="E129" s="131">
        <v>1020.05242919921</v>
      </c>
      <c r="F129" s="131" t="s">
        <v>2</v>
      </c>
      <c r="G129" s="131">
        <v>5</v>
      </c>
      <c r="H129" s="131">
        <v>15</v>
      </c>
      <c r="I129" s="131">
        <v>2.6739999999999999</v>
      </c>
      <c r="J129" s="131">
        <v>2.9060000000000001</v>
      </c>
      <c r="K129" s="131">
        <v>2.2949999999999999</v>
      </c>
      <c r="L129" s="131">
        <v>2.375</v>
      </c>
      <c r="M129" s="131">
        <v>2.448</v>
      </c>
      <c r="N129" s="131">
        <v>2.0179999999999998</v>
      </c>
      <c r="O129" s="131">
        <v>3.1589999999999998</v>
      </c>
      <c r="P129" s="131">
        <v>2.9729999999999999</v>
      </c>
      <c r="Q129" s="131">
        <v>1.28</v>
      </c>
      <c r="R129" s="131">
        <v>1.95</v>
      </c>
      <c r="S129" s="131">
        <v>1.7</v>
      </c>
      <c r="T129" s="131">
        <v>1</v>
      </c>
      <c r="U129" s="131">
        <f t="shared" si="42"/>
        <v>1.3125</v>
      </c>
      <c r="V129" s="131">
        <f t="shared" si="43"/>
        <v>1.3636363636363635</v>
      </c>
      <c r="W129" s="131">
        <f t="shared" si="41"/>
        <v>1.3333333333333333</v>
      </c>
      <c r="X129" s="131">
        <f t="shared" si="44"/>
        <v>1.5384615384615385</v>
      </c>
      <c r="Y129" s="131"/>
      <c r="Z129" s="131"/>
      <c r="AA129" s="131"/>
      <c r="AB129" s="24"/>
      <c r="AC129" s="24"/>
      <c r="AD129" s="24"/>
      <c r="AE129" s="24"/>
      <c r="AF129" s="24"/>
      <c r="AG129" s="24"/>
      <c r="AH129" s="24"/>
      <c r="AI129" s="24"/>
      <c r="AJ129" s="1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</row>
    <row r="130" spans="1:85" s="12" customFormat="1" x14ac:dyDescent="0.25">
      <c r="A130" s="128"/>
      <c r="B130" s="129" t="s">
        <v>27</v>
      </c>
      <c r="C130" s="129">
        <v>24.205999374389599</v>
      </c>
      <c r="D130" s="129">
        <v>47.863998413085902</v>
      </c>
      <c r="E130" s="129">
        <v>800.788818359375</v>
      </c>
      <c r="F130" s="129" t="s">
        <v>5</v>
      </c>
      <c r="G130" s="129">
        <v>5</v>
      </c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2"/>
      <c r="AC130" s="122"/>
      <c r="AD130" s="122"/>
      <c r="AE130" s="122"/>
      <c r="AF130" s="122"/>
      <c r="AG130" s="122"/>
      <c r="AH130" s="122"/>
      <c r="AI130" s="122"/>
      <c r="AJ130" s="1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</row>
    <row r="131" spans="1:85" s="12" customFormat="1" x14ac:dyDescent="0.25">
      <c r="A131" s="130"/>
      <c r="B131" s="131" t="s">
        <v>26</v>
      </c>
      <c r="C131" s="131">
        <v>19.410720825195298</v>
      </c>
      <c r="D131" s="131">
        <v>48.069000244140597</v>
      </c>
      <c r="E131" s="131">
        <v>802.37609863281205</v>
      </c>
      <c r="F131" s="131" t="s">
        <v>1</v>
      </c>
      <c r="G131" s="131">
        <v>4</v>
      </c>
      <c r="H131" s="131"/>
      <c r="I131" s="131"/>
      <c r="J131" s="131"/>
      <c r="K131" s="131"/>
      <c r="L131" s="131"/>
      <c r="M131" s="131"/>
      <c r="N131" s="131"/>
      <c r="O131" s="131"/>
      <c r="P131" s="131"/>
      <c r="Q131" s="131"/>
      <c r="R131" s="131"/>
      <c r="S131" s="131"/>
      <c r="T131" s="131"/>
      <c r="U131" s="131"/>
      <c r="V131" s="131"/>
      <c r="W131" s="131"/>
      <c r="X131" s="131"/>
      <c r="Y131" s="131"/>
      <c r="Z131" s="131"/>
      <c r="AA131" s="131"/>
      <c r="AB131" s="24"/>
      <c r="AC131" s="24"/>
      <c r="AD131" s="24"/>
      <c r="AE131" s="24"/>
      <c r="AF131" s="24"/>
      <c r="AG131" s="24"/>
      <c r="AH131" s="24"/>
      <c r="AI131" s="24"/>
      <c r="AJ131" s="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</row>
    <row r="132" spans="1:85" s="12" customFormat="1" x14ac:dyDescent="0.25">
      <c r="A132" s="128"/>
      <c r="B132" s="129" t="s">
        <v>25</v>
      </c>
      <c r="C132" s="129">
        <v>22.343999862670898</v>
      </c>
      <c r="D132" s="129">
        <v>50.855499267578097</v>
      </c>
      <c r="E132" s="129">
        <v>810.322021484375</v>
      </c>
      <c r="F132" s="129" t="s">
        <v>11</v>
      </c>
      <c r="G132" s="129">
        <v>5</v>
      </c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2"/>
      <c r="AC132" s="122"/>
      <c r="AD132" s="122"/>
      <c r="AE132" s="122"/>
      <c r="AF132" s="122"/>
      <c r="AG132" s="122"/>
      <c r="AH132" s="122"/>
      <c r="AI132" s="122"/>
      <c r="AJ132" s="1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</row>
    <row r="133" spans="1:85" s="12" customFormat="1" x14ac:dyDescent="0.25">
      <c r="A133" s="130"/>
      <c r="B133" s="131" t="s">
        <v>24</v>
      </c>
      <c r="C133" s="131">
        <v>17.808000564575099</v>
      </c>
      <c r="D133" s="131">
        <v>48.069000244140597</v>
      </c>
      <c r="E133" s="131">
        <v>820.61187744140602</v>
      </c>
      <c r="F133" s="131" t="s">
        <v>5</v>
      </c>
      <c r="G133" s="131">
        <v>4</v>
      </c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1"/>
      <c r="U133" s="131"/>
      <c r="V133" s="131"/>
      <c r="W133" s="131"/>
      <c r="X133" s="131"/>
      <c r="Y133" s="131"/>
      <c r="Z133" s="131"/>
      <c r="AA133" s="131"/>
      <c r="AB133" s="24"/>
      <c r="AC133" s="24"/>
      <c r="AD133" s="24"/>
      <c r="AE133" s="24"/>
      <c r="AF133" s="24"/>
      <c r="AG133" s="24"/>
      <c r="AH133" s="24"/>
      <c r="AI133" s="24"/>
      <c r="AJ133" s="1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</row>
    <row r="134" spans="1:85" s="12" customFormat="1" x14ac:dyDescent="0.25">
      <c r="A134" s="128"/>
      <c r="B134" s="129" t="s">
        <v>23</v>
      </c>
      <c r="C134" s="129">
        <v>16.0272006988525</v>
      </c>
      <c r="D134" s="129">
        <v>66.9532470703125</v>
      </c>
      <c r="E134" s="129">
        <v>1012.08801269531</v>
      </c>
      <c r="F134" s="129" t="s">
        <v>22</v>
      </c>
      <c r="G134" s="129">
        <v>4</v>
      </c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2"/>
      <c r="AC134" s="122"/>
      <c r="AD134" s="122"/>
      <c r="AE134" s="122"/>
      <c r="AF134" s="122"/>
      <c r="AG134" s="122"/>
      <c r="AH134" s="122"/>
      <c r="AI134" s="122"/>
      <c r="AJ134" s="1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</row>
    <row r="135" spans="1:85" s="12" customFormat="1" x14ac:dyDescent="0.25">
      <c r="A135" s="130"/>
      <c r="B135" s="131" t="s">
        <v>21</v>
      </c>
      <c r="C135" s="131">
        <v>22.343999862670898</v>
      </c>
      <c r="D135" s="131">
        <v>71.795997619628906</v>
      </c>
      <c r="E135" s="131">
        <v>962.85321044921795</v>
      </c>
      <c r="F135" s="131" t="s">
        <v>20</v>
      </c>
      <c r="G135" s="131">
        <v>5</v>
      </c>
      <c r="H135" s="131"/>
      <c r="I135" s="131"/>
      <c r="J135" s="131"/>
      <c r="K135" s="131"/>
      <c r="L135" s="131"/>
      <c r="M135" s="131"/>
      <c r="N135" s="131"/>
      <c r="O135" s="131"/>
      <c r="P135" s="131"/>
      <c r="Q135" s="131"/>
      <c r="R135" s="131"/>
      <c r="S135" s="131"/>
      <c r="T135" s="131"/>
      <c r="U135" s="131"/>
      <c r="V135" s="131"/>
      <c r="W135" s="131"/>
      <c r="X135" s="131"/>
      <c r="Y135" s="131"/>
      <c r="Z135" s="131"/>
      <c r="AA135" s="131"/>
      <c r="AB135" s="24"/>
      <c r="AC135" s="24"/>
      <c r="AD135" s="24"/>
      <c r="AE135" s="24"/>
      <c r="AF135" s="24"/>
      <c r="AG135" s="24"/>
      <c r="AH135" s="24"/>
      <c r="AI135" s="24"/>
      <c r="AJ135" s="1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</row>
    <row r="136" spans="1:85" s="12" customFormat="1" x14ac:dyDescent="0.25">
      <c r="A136" s="128"/>
      <c r="B136" s="129" t="s">
        <v>19</v>
      </c>
      <c r="C136" s="129">
        <v>19.588800430297798</v>
      </c>
      <c r="D136" s="129">
        <v>62.947498321533203</v>
      </c>
      <c r="E136" s="129">
        <v>1002.97009277343</v>
      </c>
      <c r="F136" s="129" t="s">
        <v>18</v>
      </c>
      <c r="G136" s="129">
        <v>4</v>
      </c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2"/>
      <c r="AC136" s="122"/>
      <c r="AD136" s="122"/>
      <c r="AE136" s="122"/>
      <c r="AF136" s="122"/>
      <c r="AG136" s="122"/>
      <c r="AH136" s="122"/>
      <c r="AI136" s="122"/>
      <c r="AJ136" s="1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</row>
    <row r="137" spans="1:85" s="12" customFormat="1" x14ac:dyDescent="0.25">
      <c r="A137" s="130"/>
      <c r="B137" s="131" t="s">
        <v>17</v>
      </c>
      <c r="C137" s="131">
        <v>20.123039245605401</v>
      </c>
      <c r="D137" s="131">
        <v>59.513999938964801</v>
      </c>
      <c r="E137" s="131">
        <v>1030.32385253906</v>
      </c>
      <c r="F137" s="131" t="s">
        <v>4</v>
      </c>
      <c r="G137" s="131">
        <v>4</v>
      </c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  <c r="W137" s="131"/>
      <c r="X137" s="131"/>
      <c r="Y137" s="131"/>
      <c r="Z137" s="131"/>
      <c r="AA137" s="131"/>
      <c r="AB137" s="24"/>
      <c r="AC137" s="24"/>
      <c r="AD137" s="24"/>
      <c r="AE137" s="24"/>
      <c r="AF137" s="24"/>
      <c r="AG137" s="24"/>
      <c r="AH137" s="24"/>
      <c r="AI137" s="24"/>
      <c r="AJ137" s="1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</row>
    <row r="138" spans="1:85" s="12" customFormat="1" x14ac:dyDescent="0.25">
      <c r="A138" s="128"/>
      <c r="B138" s="129" t="s">
        <v>16</v>
      </c>
      <c r="C138" s="129">
        <v>14.246399879455501</v>
      </c>
      <c r="D138" s="129">
        <v>58.941749572753899</v>
      </c>
      <c r="E138" s="129">
        <v>775.02233886718705</v>
      </c>
      <c r="F138" s="129" t="s">
        <v>5</v>
      </c>
      <c r="G138" s="129">
        <v>4</v>
      </c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2"/>
      <c r="AC138" s="122"/>
      <c r="AD138" s="122"/>
      <c r="AE138" s="122"/>
      <c r="AF138" s="122"/>
      <c r="AG138" s="122"/>
      <c r="AH138" s="122"/>
      <c r="AI138" s="122"/>
      <c r="AJ138" s="1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</row>
    <row r="139" spans="1:85" s="12" customFormat="1" x14ac:dyDescent="0.25">
      <c r="A139" s="130"/>
      <c r="B139" s="131" t="s">
        <v>15</v>
      </c>
      <c r="C139" s="131">
        <v>23.4612007141113</v>
      </c>
      <c r="D139" s="131">
        <v>63.4197998046875</v>
      </c>
      <c r="E139" s="131">
        <v>1020.05242919921</v>
      </c>
      <c r="F139" s="131" t="s">
        <v>5</v>
      </c>
      <c r="G139" s="131">
        <v>5</v>
      </c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131"/>
      <c r="AB139" s="24"/>
      <c r="AC139" s="24"/>
      <c r="AD139" s="24"/>
      <c r="AE139" s="24"/>
      <c r="AF139" s="24"/>
      <c r="AG139" s="24"/>
      <c r="AH139" s="24"/>
      <c r="AI139" s="24"/>
      <c r="AJ139" s="1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</row>
    <row r="140" spans="1:85" s="12" customFormat="1" x14ac:dyDescent="0.25">
      <c r="A140" s="128"/>
      <c r="B140" s="129" t="s">
        <v>14</v>
      </c>
      <c r="C140" s="129">
        <v>17.808000564575099</v>
      </c>
      <c r="D140" s="129">
        <v>57.224998474121001</v>
      </c>
      <c r="E140" s="129">
        <v>911.791015625</v>
      </c>
      <c r="F140" s="129" t="s">
        <v>4</v>
      </c>
      <c r="G140" s="129">
        <v>4</v>
      </c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2"/>
      <c r="AC140" s="122"/>
      <c r="AD140" s="122"/>
      <c r="AE140" s="122"/>
      <c r="AF140" s="122"/>
      <c r="AG140" s="122"/>
      <c r="AH140" s="122"/>
      <c r="AI140" s="122"/>
      <c r="AJ140" s="1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</row>
    <row r="141" spans="1:85" s="12" customFormat="1" x14ac:dyDescent="0.25">
      <c r="A141" s="130"/>
      <c r="B141" s="131" t="s">
        <v>13</v>
      </c>
      <c r="C141" s="131">
        <v>17.808000564575099</v>
      </c>
      <c r="D141" s="131">
        <v>57.224998474121001</v>
      </c>
      <c r="E141" s="131">
        <v>911.791015625</v>
      </c>
      <c r="F141" s="131" t="s">
        <v>4</v>
      </c>
      <c r="G141" s="131">
        <v>4</v>
      </c>
      <c r="H141" s="131"/>
      <c r="I141" s="131"/>
      <c r="J141" s="131"/>
      <c r="K141" s="131"/>
      <c r="L141" s="131"/>
      <c r="M141" s="131"/>
      <c r="N141" s="131"/>
      <c r="O141" s="131"/>
      <c r="P141" s="131"/>
      <c r="Q141" s="131"/>
      <c r="R141" s="131"/>
      <c r="S141" s="131"/>
      <c r="T141" s="131"/>
      <c r="U141" s="131"/>
      <c r="V141" s="131"/>
      <c r="W141" s="131"/>
      <c r="X141" s="131"/>
      <c r="Y141" s="131"/>
      <c r="Z141" s="131"/>
      <c r="AA141" s="131"/>
      <c r="AB141" s="24"/>
      <c r="AC141" s="24"/>
      <c r="AD141" s="24"/>
      <c r="AE141" s="24"/>
      <c r="AF141" s="24"/>
      <c r="AG141" s="24"/>
      <c r="AH141" s="24"/>
      <c r="AI141" s="24"/>
      <c r="AJ141" s="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</row>
    <row r="142" spans="1:85" s="12" customFormat="1" x14ac:dyDescent="0.25">
      <c r="A142" s="128"/>
      <c r="B142" s="129" t="s">
        <v>12</v>
      </c>
      <c r="C142" s="129">
        <v>20.482000350952099</v>
      </c>
      <c r="D142" s="129">
        <v>52.052101135253899</v>
      </c>
      <c r="E142" s="129">
        <v>819.855224609375</v>
      </c>
      <c r="F142" s="129" t="s">
        <v>11</v>
      </c>
      <c r="G142" s="129">
        <v>5</v>
      </c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2"/>
      <c r="AC142" s="122"/>
      <c r="AD142" s="122"/>
      <c r="AE142" s="122"/>
      <c r="AF142" s="122"/>
      <c r="AG142" s="122"/>
      <c r="AH142" s="122"/>
      <c r="AI142" s="122"/>
      <c r="AJ142" s="1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</row>
    <row r="143" spans="1:85" s="12" customFormat="1" x14ac:dyDescent="0.25">
      <c r="A143" s="130"/>
      <c r="B143" s="131" t="s">
        <v>10</v>
      </c>
      <c r="C143" s="131">
        <v>18.876480102538999</v>
      </c>
      <c r="D143" s="131">
        <v>56.080501556396399</v>
      </c>
      <c r="E143" s="131">
        <v>911.791015625</v>
      </c>
      <c r="F143" s="131" t="s">
        <v>1</v>
      </c>
      <c r="G143" s="131">
        <v>4</v>
      </c>
      <c r="H143" s="131"/>
      <c r="I143" s="131"/>
      <c r="J143" s="131"/>
      <c r="K143" s="131"/>
      <c r="L143" s="131"/>
      <c r="M143" s="131"/>
      <c r="N143" s="131"/>
      <c r="O143" s="131"/>
      <c r="P143" s="131"/>
      <c r="Q143" s="131"/>
      <c r="R143" s="131"/>
      <c r="S143" s="131"/>
      <c r="T143" s="131"/>
      <c r="U143" s="131"/>
      <c r="V143" s="131"/>
      <c r="W143" s="131"/>
      <c r="X143" s="131"/>
      <c r="Y143" s="131"/>
      <c r="Z143" s="131"/>
      <c r="AA143" s="131"/>
      <c r="AB143" s="24"/>
      <c r="AC143" s="24"/>
      <c r="AD143" s="24"/>
      <c r="AE143" s="24"/>
      <c r="AF143" s="24"/>
      <c r="AG143" s="24"/>
      <c r="AH143" s="24"/>
      <c r="AI143" s="24"/>
      <c r="AJ143" s="1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</row>
    <row r="144" spans="1:85" s="12" customFormat="1" x14ac:dyDescent="0.25">
      <c r="A144" s="128"/>
      <c r="B144" s="129" t="s">
        <v>9</v>
      </c>
      <c r="C144" s="129">
        <v>27.1851997375488</v>
      </c>
      <c r="D144" s="129">
        <v>62.223201751708899</v>
      </c>
      <c r="E144" s="129">
        <v>991.45281982421795</v>
      </c>
      <c r="F144" s="129" t="s">
        <v>3</v>
      </c>
      <c r="G144" s="129">
        <v>5</v>
      </c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2"/>
      <c r="AC144" s="122"/>
      <c r="AD144" s="122"/>
      <c r="AE144" s="122"/>
      <c r="AF144" s="122"/>
      <c r="AG144" s="122"/>
      <c r="AH144" s="122"/>
      <c r="AI144" s="122"/>
      <c r="AJ144" s="1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</row>
    <row r="145" spans="1:85" s="12" customFormat="1" x14ac:dyDescent="0.25">
      <c r="A145" s="130"/>
      <c r="B145" s="131" t="s">
        <v>8</v>
      </c>
      <c r="C145" s="131">
        <v>16.9176006317138</v>
      </c>
      <c r="D145" s="131">
        <v>63.519748687744098</v>
      </c>
      <c r="E145" s="131">
        <v>857.08355712890602</v>
      </c>
      <c r="F145" s="131" t="s">
        <v>4</v>
      </c>
      <c r="G145" s="131">
        <v>4</v>
      </c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  <c r="W145" s="131"/>
      <c r="X145" s="131"/>
      <c r="Y145" s="131"/>
      <c r="Z145" s="131"/>
      <c r="AA145" s="131"/>
      <c r="AB145" s="24"/>
      <c r="AC145" s="24"/>
      <c r="AD145" s="24"/>
      <c r="AE145" s="24"/>
      <c r="AF145" s="24"/>
      <c r="AG145" s="24"/>
      <c r="AH145" s="24"/>
      <c r="AI145" s="24"/>
      <c r="AJ145" s="1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</row>
    <row r="146" spans="1:85" s="12" customFormat="1" x14ac:dyDescent="0.25">
      <c r="A146" s="128"/>
      <c r="B146" s="129" t="s">
        <v>7</v>
      </c>
      <c r="C146" s="129">
        <v>20.123039245605401</v>
      </c>
      <c r="D146" s="129">
        <v>49.2135009765625</v>
      </c>
      <c r="E146" s="129">
        <v>784.14025878906205</v>
      </c>
      <c r="F146" s="129" t="s">
        <v>5</v>
      </c>
      <c r="G146" s="129">
        <v>4</v>
      </c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2"/>
      <c r="AC146" s="122"/>
      <c r="AD146" s="122"/>
      <c r="AE146" s="122"/>
      <c r="AF146" s="122"/>
      <c r="AG146" s="122"/>
      <c r="AH146" s="122"/>
      <c r="AI146" s="122"/>
      <c r="AJ146" s="1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</row>
    <row r="147" spans="1:85" s="12" customFormat="1" x14ac:dyDescent="0.25">
      <c r="A147" s="130"/>
      <c r="B147" s="131" t="s">
        <v>6</v>
      </c>
      <c r="C147" s="131">
        <v>19.551000595092699</v>
      </c>
      <c r="D147" s="131">
        <v>57.436798095703097</v>
      </c>
      <c r="E147" s="131">
        <v>1143.98400878906</v>
      </c>
      <c r="F147" s="131" t="s">
        <v>5</v>
      </c>
      <c r="G147" s="131">
        <v>5</v>
      </c>
      <c r="H147" s="131"/>
      <c r="I147" s="131"/>
      <c r="J147" s="131"/>
      <c r="K147" s="131"/>
      <c r="L147" s="131"/>
      <c r="M147" s="131"/>
      <c r="N147" s="131"/>
      <c r="O147" s="131"/>
      <c r="P147" s="131"/>
      <c r="Q147" s="131"/>
      <c r="R147" s="131"/>
      <c r="S147" s="131"/>
      <c r="T147" s="131"/>
      <c r="U147" s="131"/>
      <c r="V147" s="131"/>
      <c r="W147" s="131"/>
      <c r="X147" s="131"/>
      <c r="Y147" s="131"/>
      <c r="Z147" s="131"/>
      <c r="AA147" s="131"/>
      <c r="AB147" s="24"/>
      <c r="AC147" s="24"/>
      <c r="AD147" s="24"/>
      <c r="AE147" s="24"/>
      <c r="AF147" s="24"/>
      <c r="AG147" s="24"/>
      <c r="AH147" s="24"/>
      <c r="AI147" s="24"/>
      <c r="AJ147" s="1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</row>
    <row r="148" spans="1:85" s="12" customFormat="1" x14ac:dyDescent="0.25">
      <c r="A148" s="128"/>
      <c r="B148" s="129" t="s">
        <v>65</v>
      </c>
      <c r="C148" s="129">
        <v>23.088800430297798</v>
      </c>
      <c r="D148" s="129">
        <v>62.821498870849602</v>
      </c>
      <c r="E148" s="129">
        <v>1039.11877441406</v>
      </c>
      <c r="F148" s="129" t="s">
        <v>1</v>
      </c>
      <c r="G148" s="129">
        <v>5</v>
      </c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2"/>
      <c r="AC148" s="122"/>
      <c r="AD148" s="122"/>
      <c r="AE148" s="122"/>
      <c r="AF148" s="122"/>
      <c r="AG148" s="122"/>
      <c r="AH148" s="122"/>
      <c r="AI148" s="122"/>
      <c r="AJ148" s="1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</row>
    <row r="149" spans="1:85" s="12" customFormat="1" x14ac:dyDescent="0.25">
      <c r="A149" s="130"/>
      <c r="B149" s="131" t="s">
        <v>66</v>
      </c>
      <c r="C149" s="131">
        <v>20.479200363159102</v>
      </c>
      <c r="D149" s="131">
        <v>62.432476043701101</v>
      </c>
      <c r="E149" s="131">
        <v>993.85217285156205</v>
      </c>
      <c r="F149" s="131" t="s">
        <v>1</v>
      </c>
      <c r="G149" s="131">
        <v>4</v>
      </c>
      <c r="H149" s="131"/>
      <c r="I149" s="131"/>
      <c r="J149" s="131"/>
      <c r="K149" s="131"/>
      <c r="L149" s="131"/>
      <c r="M149" s="131"/>
      <c r="N149" s="131"/>
      <c r="O149" s="131"/>
      <c r="P149" s="131"/>
      <c r="Q149" s="131"/>
      <c r="R149" s="131"/>
      <c r="S149" s="131"/>
      <c r="T149" s="131"/>
      <c r="U149" s="131"/>
      <c r="V149" s="131"/>
      <c r="W149" s="131"/>
      <c r="X149" s="131"/>
      <c r="Y149" s="131"/>
      <c r="Z149" s="131"/>
      <c r="AA149" s="131"/>
      <c r="AB149" s="24"/>
      <c r="AC149" s="24"/>
      <c r="AD149" s="24"/>
      <c r="AE149" s="24"/>
      <c r="AF149" s="24"/>
      <c r="AG149" s="24"/>
      <c r="AH149" s="24"/>
      <c r="AI149" s="24"/>
      <c r="AJ149" s="1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</row>
    <row r="150" spans="1:85" s="12" customFormat="1" x14ac:dyDescent="0.25">
      <c r="A150" s="128"/>
      <c r="B150" s="129" t="s">
        <v>67</v>
      </c>
      <c r="C150" s="129">
        <v>25.136999130248999</v>
      </c>
      <c r="D150" s="129">
        <v>47.863998413085902</v>
      </c>
      <c r="E150" s="129">
        <v>791.255615234375</v>
      </c>
      <c r="F150" s="129" t="s">
        <v>3</v>
      </c>
      <c r="G150" s="129">
        <v>5</v>
      </c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2"/>
      <c r="AC150" s="122"/>
      <c r="AD150" s="122"/>
      <c r="AE150" s="122"/>
      <c r="AF150" s="122"/>
      <c r="AG150" s="122"/>
      <c r="AH150" s="122"/>
      <c r="AI150" s="122"/>
      <c r="AJ150" s="1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</row>
    <row r="151" spans="1:85" s="12" customFormat="1" x14ac:dyDescent="0.25">
      <c r="A151" s="130"/>
      <c r="B151" s="131" t="s">
        <v>123</v>
      </c>
      <c r="C151" s="131">
        <v>26.626600270000001</v>
      </c>
      <c r="D151" s="131">
        <v>61.026599879999999</v>
      </c>
      <c r="E151" s="131">
        <v>1000.986023</v>
      </c>
      <c r="F151" s="131" t="s">
        <v>2</v>
      </c>
      <c r="G151" s="131">
        <v>5</v>
      </c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1"/>
      <c r="U151" s="131"/>
      <c r="V151" s="131"/>
      <c r="W151" s="131"/>
      <c r="X151" s="131"/>
      <c r="Y151" s="131"/>
      <c r="Z151" s="131"/>
      <c r="AA151" s="131"/>
      <c r="AB151" s="24"/>
      <c r="AC151" s="24"/>
      <c r="AD151" s="24"/>
      <c r="AE151" s="24"/>
      <c r="AF151" s="24"/>
      <c r="AG151" s="24"/>
      <c r="AH151" s="24"/>
      <c r="AI151" s="24"/>
      <c r="AJ151" s="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s="12" customFormat="1" x14ac:dyDescent="0.25">
      <c r="A152" s="128"/>
      <c r="B152" s="129" t="s">
        <v>69</v>
      </c>
      <c r="C152" s="129">
        <v>26.2541999816894</v>
      </c>
      <c r="D152" s="129">
        <v>61.445411682128899</v>
      </c>
      <c r="E152" s="129">
        <v>1004.79925537109</v>
      </c>
      <c r="F152" s="129" t="s">
        <v>11</v>
      </c>
      <c r="G152" s="129">
        <v>5</v>
      </c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2"/>
      <c r="AC152" s="122"/>
      <c r="AD152" s="122"/>
      <c r="AE152" s="122"/>
      <c r="AF152" s="122"/>
      <c r="AG152" s="122"/>
      <c r="AH152" s="122"/>
      <c r="AI152" s="122"/>
      <c r="AJ152" s="1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</row>
    <row r="153" spans="1:85" s="12" customFormat="1" x14ac:dyDescent="0.25">
      <c r="A153" s="130"/>
      <c r="B153" s="131" t="s">
        <v>70</v>
      </c>
      <c r="C153" s="131">
        <v>18.247600555419901</v>
      </c>
      <c r="D153" s="131">
        <v>51.154651641845703</v>
      </c>
      <c r="E153" s="131">
        <v>1048.65197753906</v>
      </c>
      <c r="F153" s="131" t="s">
        <v>5</v>
      </c>
      <c r="G153" s="131">
        <v>5</v>
      </c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  <c r="W153" s="131"/>
      <c r="X153" s="131"/>
      <c r="Y153" s="131"/>
      <c r="Z153" s="131"/>
      <c r="AA153" s="131"/>
      <c r="AB153" s="24"/>
      <c r="AC153" s="24"/>
      <c r="AD153" s="24"/>
      <c r="AE153" s="24"/>
      <c r="AF153" s="24"/>
      <c r="AG153" s="24"/>
      <c r="AH153" s="24"/>
      <c r="AI153" s="24"/>
      <c r="AJ153" s="1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</row>
    <row r="154" spans="1:85" s="12" customFormat="1" x14ac:dyDescent="0.25">
      <c r="A154" s="128"/>
      <c r="B154" s="129" t="s">
        <v>121</v>
      </c>
      <c r="C154" s="129">
        <v>20.835359573364201</v>
      </c>
      <c r="D154" s="129">
        <v>66.9532470703125</v>
      </c>
      <c r="E154" s="129">
        <v>939.14471435546795</v>
      </c>
      <c r="F154" s="129" t="s">
        <v>4</v>
      </c>
      <c r="G154" s="129">
        <v>4</v>
      </c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2"/>
      <c r="AC154" s="122"/>
      <c r="AD154" s="122"/>
      <c r="AE154" s="122"/>
      <c r="AF154" s="122"/>
      <c r="AG154" s="122"/>
      <c r="AH154" s="122"/>
      <c r="AI154" s="122"/>
      <c r="AJ154" s="1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</row>
    <row r="155" spans="1:85" s="12" customFormat="1" x14ac:dyDescent="0.25">
      <c r="A155" s="130"/>
      <c r="B155" s="131" t="s">
        <v>122</v>
      </c>
      <c r="C155" s="131">
        <v>16.383359909057599</v>
      </c>
      <c r="D155" s="131">
        <v>52.646999359130803</v>
      </c>
      <c r="E155" s="131">
        <v>802.37609863281205</v>
      </c>
      <c r="F155" s="131" t="s">
        <v>4</v>
      </c>
      <c r="G155" s="131">
        <v>4</v>
      </c>
      <c r="H155" s="131"/>
      <c r="I155" s="131"/>
      <c r="J155" s="131"/>
      <c r="K155" s="131"/>
      <c r="L155" s="131"/>
      <c r="M155" s="131"/>
      <c r="N155" s="131"/>
      <c r="O155" s="131"/>
      <c r="P155" s="131"/>
      <c r="Q155" s="131"/>
      <c r="R155" s="131"/>
      <c r="S155" s="131"/>
      <c r="T155" s="131"/>
      <c r="U155" s="131"/>
      <c r="V155" s="131"/>
      <c r="W155" s="131"/>
      <c r="X155" s="131"/>
      <c r="Y155" s="131"/>
      <c r="Z155" s="131"/>
      <c r="AA155" s="131"/>
      <c r="AB155" s="24"/>
      <c r="AC155" s="24"/>
      <c r="AD155" s="24"/>
      <c r="AE155" s="24"/>
      <c r="AF155" s="24"/>
      <c r="AG155" s="24"/>
      <c r="AH155" s="24"/>
      <c r="AI155" s="24"/>
      <c r="AJ155" s="1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</row>
    <row r="156" spans="1:85" s="12" customFormat="1" x14ac:dyDescent="0.25">
      <c r="A156" s="128"/>
      <c r="B156" s="129" t="s">
        <v>183</v>
      </c>
      <c r="C156" s="129">
        <v>16.9176006317138</v>
      </c>
      <c r="D156" s="129">
        <v>62.947498321533203</v>
      </c>
      <c r="E156" s="129">
        <v>866.20147705078102</v>
      </c>
      <c r="F156" s="129" t="s">
        <v>4</v>
      </c>
      <c r="G156" s="129">
        <v>4</v>
      </c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2"/>
      <c r="AC156" s="122"/>
      <c r="AD156" s="122"/>
      <c r="AE156" s="122"/>
      <c r="AF156" s="122"/>
      <c r="AG156" s="122"/>
      <c r="AH156" s="122"/>
      <c r="AI156" s="122"/>
      <c r="AJ156" s="1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</row>
    <row r="157" spans="1:85" s="12" customFormat="1" x14ac:dyDescent="0.25">
      <c r="A157" s="130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131"/>
      <c r="AB157" s="24"/>
      <c r="AC157" s="24"/>
      <c r="AD157" s="24"/>
      <c r="AE157" s="24"/>
      <c r="AF157" s="24"/>
      <c r="AG157" s="24"/>
      <c r="AH157" s="24"/>
      <c r="AI157" s="24"/>
      <c r="AJ157" s="1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</row>
    <row r="158" spans="1:85" s="12" customFormat="1" x14ac:dyDescent="0.25">
      <c r="A158" s="128"/>
      <c r="B158" s="129"/>
      <c r="C158" s="129"/>
      <c r="D158" s="129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2"/>
      <c r="AC158" s="122"/>
      <c r="AD158" s="122"/>
      <c r="AE158" s="122"/>
      <c r="AF158" s="122"/>
      <c r="AG158" s="122"/>
      <c r="AH158" s="122"/>
      <c r="AI158" s="122"/>
      <c r="AJ158" s="1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</row>
    <row r="159" spans="1:85" s="12" customFormat="1" x14ac:dyDescent="0.25">
      <c r="A159" s="130"/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  <c r="L159" s="131"/>
      <c r="M159" s="131"/>
      <c r="N159" s="131"/>
      <c r="O159" s="131"/>
      <c r="P159" s="131"/>
      <c r="Q159" s="131"/>
      <c r="R159" s="131"/>
      <c r="S159" s="131"/>
      <c r="T159" s="131"/>
      <c r="U159" s="131"/>
      <c r="V159" s="131"/>
      <c r="W159" s="131"/>
      <c r="X159" s="131"/>
      <c r="Y159" s="131"/>
      <c r="Z159" s="131"/>
      <c r="AA159" s="131"/>
      <c r="AB159" s="24"/>
      <c r="AC159" s="24"/>
      <c r="AD159" s="24"/>
      <c r="AE159" s="24"/>
      <c r="AF159" s="24"/>
      <c r="AG159" s="24"/>
      <c r="AH159" s="24"/>
      <c r="AI159" s="24"/>
      <c r="AJ159" s="1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</row>
    <row r="160" spans="1:85" s="12" customFormat="1" x14ac:dyDescent="0.25">
      <c r="A160" s="128"/>
      <c r="B160" s="129"/>
      <c r="C160" s="129"/>
      <c r="D160" s="129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2"/>
      <c r="AC160" s="122"/>
      <c r="AD160" s="122"/>
      <c r="AE160" s="122"/>
      <c r="AF160" s="122"/>
      <c r="AG160" s="122"/>
      <c r="AH160" s="122"/>
      <c r="AI160" s="122"/>
      <c r="AJ160" s="1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</row>
    <row r="161" spans="1:85" s="12" customFormat="1" x14ac:dyDescent="0.25">
      <c r="A161" s="130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  <c r="X161" s="131"/>
      <c r="Y161" s="131"/>
      <c r="Z161" s="131"/>
      <c r="AA161" s="131"/>
      <c r="AB161" s="24"/>
      <c r="AC161" s="24"/>
      <c r="AD161" s="24"/>
      <c r="AE161" s="24"/>
      <c r="AF161" s="24"/>
      <c r="AG161" s="24"/>
      <c r="AH161" s="24"/>
      <c r="AI161" s="24"/>
      <c r="AJ161" s="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</row>
    <row r="162" spans="1:85" s="12" customFormat="1" x14ac:dyDescent="0.25">
      <c r="A162" s="128"/>
      <c r="B162" s="129"/>
      <c r="C162" s="129"/>
      <c r="D162" s="129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2"/>
      <c r="AC162" s="122"/>
      <c r="AD162" s="122"/>
      <c r="AE162" s="122"/>
      <c r="AF162" s="122"/>
      <c r="AG162" s="122"/>
      <c r="AH162" s="122"/>
      <c r="AI162" s="122"/>
      <c r="AJ162" s="1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</row>
    <row r="163" spans="1:85" s="12" customFormat="1" x14ac:dyDescent="0.25">
      <c r="A163" s="130"/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1"/>
      <c r="U163" s="131"/>
      <c r="V163" s="131"/>
      <c r="W163" s="131"/>
      <c r="X163" s="131"/>
      <c r="Y163" s="131"/>
      <c r="Z163" s="131"/>
      <c r="AA163" s="131"/>
      <c r="AB163" s="24"/>
      <c r="AC163" s="24"/>
      <c r="AD163" s="24"/>
      <c r="AE163" s="24"/>
      <c r="AF163" s="24"/>
      <c r="AG163" s="24"/>
      <c r="AH163" s="24"/>
      <c r="AI163" s="24"/>
      <c r="AJ163" s="1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</row>
    <row r="164" spans="1:85" s="12" customFormat="1" x14ac:dyDescent="0.25">
      <c r="A164" s="128"/>
      <c r="B164" s="129"/>
      <c r="C164" s="129"/>
      <c r="D164" s="129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2"/>
      <c r="AC164" s="122"/>
      <c r="AD164" s="122"/>
      <c r="AE164" s="122"/>
      <c r="AF164" s="122"/>
      <c r="AG164" s="122"/>
      <c r="AH164" s="122"/>
      <c r="AI164" s="122"/>
      <c r="AJ164" s="1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</row>
    <row r="165" spans="1:85" s="12" customFormat="1" x14ac:dyDescent="0.25">
      <c r="A165" s="130"/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  <c r="L165" s="131"/>
      <c r="M165" s="131"/>
      <c r="N165" s="131"/>
      <c r="O165" s="131"/>
      <c r="P165" s="131"/>
      <c r="Q165" s="131"/>
      <c r="R165" s="131"/>
      <c r="S165" s="131"/>
      <c r="T165" s="131"/>
      <c r="U165" s="131"/>
      <c r="V165" s="131"/>
      <c r="W165" s="131"/>
      <c r="X165" s="131"/>
      <c r="Y165" s="131"/>
      <c r="Z165" s="131"/>
      <c r="AA165" s="131"/>
      <c r="AB165" s="24"/>
      <c r="AC165" s="24"/>
      <c r="AD165" s="24"/>
      <c r="AE165" s="24"/>
      <c r="AF165" s="24"/>
      <c r="AG165" s="24"/>
      <c r="AH165" s="24"/>
      <c r="AI165" s="24"/>
      <c r="AJ165" s="1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</row>
    <row r="166" spans="1:85" s="12" customFormat="1" x14ac:dyDescent="0.25">
      <c r="A166" s="123"/>
      <c r="B166" s="123" t="s">
        <v>182</v>
      </c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 t="s">
        <v>105</v>
      </c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 t="s">
        <v>72</v>
      </c>
      <c r="AH166" s="123"/>
      <c r="AI166" s="123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 t="s">
        <v>413</v>
      </c>
      <c r="AW166" s="76"/>
      <c r="AX166" s="76"/>
      <c r="AY166" s="76"/>
      <c r="AZ166" s="76"/>
      <c r="BA166" s="7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</row>
    <row r="167" spans="1:85" s="12" customFormat="1" x14ac:dyDescent="0.25">
      <c r="A167" s="131" t="s">
        <v>43</v>
      </c>
      <c r="B167" s="132" t="s">
        <v>204</v>
      </c>
      <c r="C167" s="132" t="s">
        <v>205</v>
      </c>
      <c r="D167" s="132" t="s">
        <v>206</v>
      </c>
      <c r="E167" s="132" t="s">
        <v>207</v>
      </c>
      <c r="F167" s="132" t="s">
        <v>208</v>
      </c>
      <c r="G167" s="119" t="s">
        <v>381</v>
      </c>
      <c r="H167" s="119" t="s">
        <v>276</v>
      </c>
      <c r="I167" s="119" t="s">
        <v>211</v>
      </c>
      <c r="J167" s="118" t="s">
        <v>215</v>
      </c>
      <c r="K167" s="119" t="s">
        <v>216</v>
      </c>
      <c r="L167" s="119"/>
      <c r="M167" s="119"/>
      <c r="N167" s="119"/>
      <c r="O167" s="119"/>
      <c r="P167" s="119"/>
      <c r="Q167" s="132" t="s">
        <v>243</v>
      </c>
      <c r="R167" s="132" t="s">
        <v>291</v>
      </c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25" t="s">
        <v>328</v>
      </c>
      <c r="AH167" s="125" t="s">
        <v>358</v>
      </c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 t="s">
        <v>417</v>
      </c>
      <c r="AX167" s="119" t="s">
        <v>416</v>
      </c>
      <c r="AY167" s="119"/>
      <c r="AZ167" s="119"/>
      <c r="BA167" s="119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</row>
    <row r="168" spans="1:85" s="12" customFormat="1" x14ac:dyDescent="0.25">
      <c r="A168" s="131"/>
      <c r="B168" s="120" t="s">
        <v>191</v>
      </c>
      <c r="C168" s="120" t="s">
        <v>191</v>
      </c>
      <c r="D168" s="120" t="s">
        <v>191</v>
      </c>
      <c r="E168" s="120" t="s">
        <v>191</v>
      </c>
      <c r="F168" s="120" t="s">
        <v>191</v>
      </c>
      <c r="G168" s="120" t="s">
        <v>191</v>
      </c>
      <c r="H168" s="120" t="s">
        <v>191</v>
      </c>
      <c r="I168" s="120" t="s">
        <v>103</v>
      </c>
      <c r="J168" s="120" t="s">
        <v>103</v>
      </c>
      <c r="K168" s="120" t="s">
        <v>103</v>
      </c>
      <c r="L168" s="120"/>
      <c r="M168" s="120"/>
      <c r="N168" s="120"/>
      <c r="O168" s="120"/>
      <c r="P168" s="120"/>
      <c r="Q168" s="120" t="s">
        <v>200</v>
      </c>
      <c r="R168" s="120" t="s">
        <v>200</v>
      </c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 t="s">
        <v>200</v>
      </c>
      <c r="AH168" s="120" t="s">
        <v>200</v>
      </c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 t="s">
        <v>296</v>
      </c>
      <c r="AX168" s="120" t="s">
        <v>296</v>
      </c>
      <c r="AY168" s="120"/>
      <c r="AZ168" s="120"/>
      <c r="BA168" s="120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</row>
    <row r="169" spans="1:85" s="12" customFormat="1" ht="14.65" customHeight="1" x14ac:dyDescent="0.25">
      <c r="A169" s="114"/>
      <c r="B169" s="121">
        <v>0.3674</v>
      </c>
      <c r="C169" s="121">
        <v>0.3674</v>
      </c>
      <c r="D169" s="121">
        <v>0.47449999999999998</v>
      </c>
      <c r="E169" s="121">
        <v>0.4975</v>
      </c>
      <c r="F169" s="121">
        <v>0.62070000000000003</v>
      </c>
      <c r="G169" s="121">
        <f>0.473</f>
        <v>0.47299999999999998</v>
      </c>
      <c r="H169" s="121">
        <v>0.60199999999999998</v>
      </c>
      <c r="I169" s="121">
        <v>0.63929999999999998</v>
      </c>
      <c r="J169" s="121">
        <v>1.2784</v>
      </c>
      <c r="K169" s="121">
        <v>1.5968</v>
      </c>
      <c r="L169" s="121"/>
      <c r="M169" s="121"/>
      <c r="N169" s="121"/>
      <c r="O169" s="121"/>
      <c r="P169" s="121"/>
      <c r="Q169" s="121">
        <v>1.304</v>
      </c>
      <c r="R169" s="121">
        <v>1.3360000000000001</v>
      </c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>
        <v>3.6720000000000002</v>
      </c>
      <c r="AH169" s="121">
        <v>0.72</v>
      </c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>
        <v>0.25</v>
      </c>
      <c r="AX169" s="121">
        <v>125</v>
      </c>
      <c r="AY169" s="121"/>
      <c r="AZ169" s="121"/>
      <c r="BA169" s="121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s="12" customFormat="1" x14ac:dyDescent="0.25">
      <c r="A170" s="131" t="s">
        <v>42</v>
      </c>
      <c r="B170" s="118" t="s">
        <v>204</v>
      </c>
      <c r="C170" s="118" t="s">
        <v>205</v>
      </c>
      <c r="D170" s="119" t="s">
        <v>206</v>
      </c>
      <c r="E170" s="119" t="s">
        <v>207</v>
      </c>
      <c r="F170" s="119" t="s">
        <v>208</v>
      </c>
      <c r="G170" s="119" t="s">
        <v>209</v>
      </c>
      <c r="H170" s="119" t="s">
        <v>210</v>
      </c>
      <c r="I170" s="119" t="s">
        <v>211</v>
      </c>
      <c r="J170" s="118" t="s">
        <v>215</v>
      </c>
      <c r="K170" s="118" t="s">
        <v>216</v>
      </c>
      <c r="L170" s="119"/>
      <c r="M170" s="119"/>
      <c r="N170" s="119"/>
      <c r="O170" s="119"/>
      <c r="P170" s="119"/>
      <c r="Q170" s="119" t="s">
        <v>228</v>
      </c>
      <c r="R170" s="119" t="s">
        <v>229</v>
      </c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 t="s">
        <v>321</v>
      </c>
      <c r="AH170" s="119" t="s">
        <v>322</v>
      </c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 t="s">
        <v>423</v>
      </c>
      <c r="AX170" s="119" t="s">
        <v>422</v>
      </c>
      <c r="AY170" s="119"/>
      <c r="AZ170" s="119"/>
      <c r="BA170" s="119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</row>
    <row r="171" spans="1:85" s="12" customFormat="1" x14ac:dyDescent="0.25">
      <c r="A171" s="131"/>
      <c r="B171" s="120" t="s">
        <v>103</v>
      </c>
      <c r="C171" s="120" t="s">
        <v>103</v>
      </c>
      <c r="D171" s="120" t="s">
        <v>103</v>
      </c>
      <c r="E171" s="120" t="s">
        <v>103</v>
      </c>
      <c r="F171" s="120" t="s">
        <v>103</v>
      </c>
      <c r="G171" s="120" t="s">
        <v>200</v>
      </c>
      <c r="H171" s="120" t="s">
        <v>200</v>
      </c>
      <c r="I171" s="120" t="s">
        <v>103</v>
      </c>
      <c r="J171" s="120" t="s">
        <v>103</v>
      </c>
      <c r="K171" s="120" t="s">
        <v>103</v>
      </c>
      <c r="L171" s="120"/>
      <c r="M171" s="120"/>
      <c r="N171" s="120"/>
      <c r="O171" s="120"/>
      <c r="P171" s="120"/>
      <c r="Q171" s="120" t="s">
        <v>202</v>
      </c>
      <c r="R171" s="120" t="s">
        <v>200</v>
      </c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 t="s">
        <v>200</v>
      </c>
      <c r="AH171" s="120" t="s">
        <v>200</v>
      </c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 t="s">
        <v>296</v>
      </c>
      <c r="AX171" s="120" t="s">
        <v>296</v>
      </c>
      <c r="AY171" s="120"/>
      <c r="AZ171" s="120"/>
      <c r="BA171" s="120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s="12" customFormat="1" x14ac:dyDescent="0.25">
      <c r="A172" s="114"/>
      <c r="B172" s="121">
        <v>0.36120000000000002</v>
      </c>
      <c r="C172" s="121">
        <v>0.36120000000000002</v>
      </c>
      <c r="D172" s="121">
        <v>0.46439999999999998</v>
      </c>
      <c r="E172" s="121">
        <v>0.47299999999999998</v>
      </c>
      <c r="F172" s="121">
        <v>0.59340000000000004</v>
      </c>
      <c r="G172" s="121">
        <v>0.43859999999999999</v>
      </c>
      <c r="H172" s="121">
        <v>1.24</v>
      </c>
      <c r="I172" s="121">
        <v>0.56830000000000003</v>
      </c>
      <c r="J172" s="121">
        <f>I172*2</f>
        <v>1.1366000000000001</v>
      </c>
      <c r="K172" s="121">
        <f>I172*2.5</f>
        <v>1.42075</v>
      </c>
      <c r="L172" s="121"/>
      <c r="M172" s="121"/>
      <c r="N172" s="121"/>
      <c r="O172" s="121"/>
      <c r="P172" s="121"/>
      <c r="Q172" s="121">
        <v>0.41360000000000002</v>
      </c>
      <c r="R172" s="121">
        <v>1.232</v>
      </c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>
        <v>0.28079999999999999</v>
      </c>
      <c r="AH172" s="121">
        <v>5.0544000000000002</v>
      </c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>
        <v>0.1</v>
      </c>
      <c r="AX172" s="121">
        <v>0.15</v>
      </c>
      <c r="AY172" s="121"/>
      <c r="AZ172" s="121"/>
      <c r="BA172" s="121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</row>
    <row r="173" spans="1:85" s="12" customFormat="1" x14ac:dyDescent="0.25">
      <c r="A173" s="131" t="s">
        <v>41</v>
      </c>
      <c r="B173" s="118" t="s">
        <v>204</v>
      </c>
      <c r="C173" s="118" t="s">
        <v>205</v>
      </c>
      <c r="D173" s="119" t="s">
        <v>206</v>
      </c>
      <c r="E173" s="119" t="s">
        <v>207</v>
      </c>
      <c r="F173" s="119" t="s">
        <v>212</v>
      </c>
      <c r="G173" s="119" t="s">
        <v>211</v>
      </c>
      <c r="H173" s="119" t="s">
        <v>215</v>
      </c>
      <c r="I173" s="119" t="s">
        <v>216</v>
      </c>
      <c r="J173" s="118"/>
      <c r="K173" s="118"/>
      <c r="L173" s="119"/>
      <c r="M173" s="119"/>
      <c r="N173" s="118"/>
      <c r="O173" s="118"/>
      <c r="P173" s="119"/>
      <c r="Q173" s="119" t="s">
        <v>230</v>
      </c>
      <c r="R173" s="119" t="s">
        <v>236</v>
      </c>
      <c r="S173" s="119" t="s">
        <v>231</v>
      </c>
      <c r="T173" s="119" t="s">
        <v>237</v>
      </c>
      <c r="U173" s="119" t="s">
        <v>232</v>
      </c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 t="s">
        <v>316</v>
      </c>
      <c r="AH173" s="119" t="s">
        <v>317</v>
      </c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 t="s">
        <v>424</v>
      </c>
      <c r="AX173" s="119"/>
      <c r="AY173" s="119"/>
      <c r="AZ173" s="119"/>
      <c r="BA173" s="119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</row>
    <row r="174" spans="1:85" s="12" customFormat="1" x14ac:dyDescent="0.25">
      <c r="A174" s="131"/>
      <c r="B174" s="120" t="s">
        <v>200</v>
      </c>
      <c r="C174" s="120" t="s">
        <v>200</v>
      </c>
      <c r="D174" s="120" t="s">
        <v>200</v>
      </c>
      <c r="E174" s="120" t="s">
        <v>200</v>
      </c>
      <c r="F174" s="120" t="s">
        <v>200</v>
      </c>
      <c r="G174" s="120" t="s">
        <v>103</v>
      </c>
      <c r="H174" s="120" t="s">
        <v>103</v>
      </c>
      <c r="I174" s="120" t="s">
        <v>103</v>
      </c>
      <c r="J174" s="120"/>
      <c r="K174" s="120"/>
      <c r="L174" s="120"/>
      <c r="M174" s="120"/>
      <c r="N174" s="120"/>
      <c r="O174" s="120"/>
      <c r="P174" s="120"/>
      <c r="Q174" s="120" t="s">
        <v>200</v>
      </c>
      <c r="R174" s="120" t="s">
        <v>86</v>
      </c>
      <c r="S174" s="120" t="s">
        <v>200</v>
      </c>
      <c r="T174" s="120" t="s">
        <v>86</v>
      </c>
      <c r="U174" s="120" t="s">
        <v>200</v>
      </c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 t="s">
        <v>200</v>
      </c>
      <c r="AH174" s="120" t="s">
        <v>86</v>
      </c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 t="s">
        <v>296</v>
      </c>
      <c r="AX174" s="120"/>
      <c r="AY174" s="120"/>
      <c r="AZ174" s="120"/>
      <c r="BA174" s="120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</row>
    <row r="175" spans="1:85" s="12" customFormat="1" x14ac:dyDescent="0.25">
      <c r="A175" s="114"/>
      <c r="B175" s="121">
        <v>0.37840000000000001</v>
      </c>
      <c r="C175" s="121">
        <v>0.35520000000000002</v>
      </c>
      <c r="D175" s="121">
        <v>0.41039999999999999</v>
      </c>
      <c r="E175" s="121">
        <v>0.55200000000000005</v>
      </c>
      <c r="F175" s="121">
        <v>1.6624000000000001</v>
      </c>
      <c r="G175" s="121">
        <v>0.56830000000000003</v>
      </c>
      <c r="H175" s="121">
        <f>G175*2</f>
        <v>1.1366000000000001</v>
      </c>
      <c r="I175" s="121">
        <f>G175*2.5</f>
        <v>1.42075</v>
      </c>
      <c r="J175" s="121"/>
      <c r="K175" s="121"/>
      <c r="L175" s="121"/>
      <c r="M175" s="121"/>
      <c r="N175" s="121"/>
      <c r="O175" s="121"/>
      <c r="P175" s="121"/>
      <c r="Q175" s="121">
        <v>7.4999999999999997E-3</v>
      </c>
      <c r="R175" s="126">
        <v>720</v>
      </c>
      <c r="S175" s="121">
        <v>0.04</v>
      </c>
      <c r="T175" s="126">
        <v>385</v>
      </c>
      <c r="U175" s="121">
        <v>0.58399999999999996</v>
      </c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>
        <v>0.17599999999999999</v>
      </c>
      <c r="AH175" s="121">
        <v>1694</v>
      </c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>
        <v>0.12</v>
      </c>
      <c r="AX175" s="121"/>
      <c r="AY175" s="121"/>
      <c r="AZ175" s="121"/>
      <c r="BA175" s="121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</row>
    <row r="176" spans="1:85" s="12" customFormat="1" x14ac:dyDescent="0.25">
      <c r="A176" s="131" t="s">
        <v>39</v>
      </c>
      <c r="B176" s="118" t="s">
        <v>204</v>
      </c>
      <c r="C176" s="118" t="s">
        <v>205</v>
      </c>
      <c r="D176" s="119" t="s">
        <v>206</v>
      </c>
      <c r="E176" s="119" t="s">
        <v>207</v>
      </c>
      <c r="F176" s="119" t="s">
        <v>208</v>
      </c>
      <c r="G176" s="119" t="s">
        <v>213</v>
      </c>
      <c r="H176" s="119" t="s">
        <v>214</v>
      </c>
      <c r="I176" s="119" t="s">
        <v>211</v>
      </c>
      <c r="J176" s="118" t="s">
        <v>215</v>
      </c>
      <c r="K176" s="118" t="s">
        <v>216</v>
      </c>
      <c r="L176" s="119"/>
      <c r="M176" s="119"/>
      <c r="N176" s="119"/>
      <c r="O176" s="119"/>
      <c r="P176" s="119"/>
      <c r="Q176" s="119" t="s">
        <v>233</v>
      </c>
      <c r="R176" s="119" t="s">
        <v>267</v>
      </c>
      <c r="S176" s="119" t="s">
        <v>234</v>
      </c>
      <c r="T176" s="119" t="s">
        <v>235</v>
      </c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 t="s">
        <v>243</v>
      </c>
      <c r="AH176" s="119" t="s">
        <v>323</v>
      </c>
      <c r="AI176" s="119" t="s">
        <v>324</v>
      </c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 t="s">
        <v>212</v>
      </c>
      <c r="AX176" s="119" t="s">
        <v>414</v>
      </c>
      <c r="AY176" s="119"/>
      <c r="AZ176" s="119"/>
      <c r="BA176" s="119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</row>
    <row r="177" spans="1:85" s="12" customFormat="1" x14ac:dyDescent="0.25">
      <c r="A177" s="131"/>
      <c r="B177" s="120" t="s">
        <v>191</v>
      </c>
      <c r="C177" s="120" t="s">
        <v>191</v>
      </c>
      <c r="D177" s="120" t="s">
        <v>191</v>
      </c>
      <c r="E177" s="120" t="s">
        <v>191</v>
      </c>
      <c r="F177" s="120" t="s">
        <v>191</v>
      </c>
      <c r="G177" s="120" t="s">
        <v>191</v>
      </c>
      <c r="H177" s="120" t="s">
        <v>191</v>
      </c>
      <c r="I177" s="120" t="s">
        <v>103</v>
      </c>
      <c r="J177" s="120" t="s">
        <v>103</v>
      </c>
      <c r="K177" s="120" t="s">
        <v>103</v>
      </c>
      <c r="L177" s="120"/>
      <c r="M177" s="120"/>
      <c r="N177" s="120"/>
      <c r="O177" s="120"/>
      <c r="P177" s="120"/>
      <c r="Q177" s="120" t="s">
        <v>200</v>
      </c>
      <c r="R177" s="120" t="s">
        <v>86</v>
      </c>
      <c r="S177" s="120" t="s">
        <v>200</v>
      </c>
      <c r="T177" s="120" t="s">
        <v>200</v>
      </c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 t="s">
        <v>200</v>
      </c>
      <c r="AH177" s="120" t="s">
        <v>200</v>
      </c>
      <c r="AI177" s="120" t="s">
        <v>39</v>
      </c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 t="s">
        <v>296</v>
      </c>
      <c r="AX177" s="120" t="s">
        <v>296</v>
      </c>
      <c r="AY177" s="120"/>
      <c r="AZ177" s="120"/>
      <c r="BA177" s="120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</row>
    <row r="178" spans="1:85" s="12" customFormat="1" x14ac:dyDescent="0.25">
      <c r="A178" s="114"/>
      <c r="B178" s="121">
        <v>0.71120000000000005</v>
      </c>
      <c r="C178" s="121">
        <v>0.70860000000000001</v>
      </c>
      <c r="D178" s="121">
        <v>0.88319999999999999</v>
      </c>
      <c r="E178" s="121">
        <v>0.86519999999999997</v>
      </c>
      <c r="F178" s="121">
        <v>1.1214</v>
      </c>
      <c r="G178" s="121">
        <v>0.56240000000000001</v>
      </c>
      <c r="H178" s="121">
        <v>1.0182</v>
      </c>
      <c r="I178" s="121">
        <v>0.74590000000000001</v>
      </c>
      <c r="J178" s="121">
        <f t="shared" ref="J178" si="45">I178*2</f>
        <v>1.4918</v>
      </c>
      <c r="K178" s="121">
        <f t="shared" ref="K178" si="46">I178*2.5</f>
        <v>1.8647499999999999</v>
      </c>
      <c r="L178" s="121"/>
      <c r="M178" s="121"/>
      <c r="N178" s="121"/>
      <c r="O178" s="121"/>
      <c r="P178" s="121"/>
      <c r="Q178" s="121">
        <v>0.14399999999999999</v>
      </c>
      <c r="R178" s="126">
        <v>1386</v>
      </c>
      <c r="S178" s="121">
        <v>1.216</v>
      </c>
      <c r="T178" s="121">
        <v>1.6</v>
      </c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>
        <v>1.216</v>
      </c>
      <c r="AH178" s="121">
        <v>0.96</v>
      </c>
      <c r="AI178" s="121">
        <v>0.2</v>
      </c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>
        <v>0.15</v>
      </c>
      <c r="AX178" s="121">
        <v>0.15</v>
      </c>
      <c r="AY178" s="121"/>
      <c r="AZ178" s="121"/>
      <c r="BA178" s="121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</row>
    <row r="179" spans="1:85" s="12" customFormat="1" x14ac:dyDescent="0.25">
      <c r="A179" s="131" t="s">
        <v>38</v>
      </c>
      <c r="B179" s="118" t="s">
        <v>204</v>
      </c>
      <c r="C179" s="118" t="s">
        <v>205</v>
      </c>
      <c r="D179" s="119" t="s">
        <v>206</v>
      </c>
      <c r="E179" s="119" t="s">
        <v>207</v>
      </c>
      <c r="F179" s="119" t="s">
        <v>208</v>
      </c>
      <c r="G179" s="119" t="s">
        <v>381</v>
      </c>
      <c r="H179" s="119" t="s">
        <v>276</v>
      </c>
      <c r="I179" s="119" t="s">
        <v>211</v>
      </c>
      <c r="J179" s="118" t="s">
        <v>215</v>
      </c>
      <c r="K179" s="118" t="s">
        <v>216</v>
      </c>
      <c r="L179" s="119"/>
      <c r="M179" s="119"/>
      <c r="N179" s="119"/>
      <c r="O179" s="119"/>
      <c r="P179" s="119"/>
      <c r="Q179" s="119" t="s">
        <v>238</v>
      </c>
      <c r="R179" s="119" t="s">
        <v>239</v>
      </c>
      <c r="S179" s="119" t="s">
        <v>240</v>
      </c>
      <c r="T179" s="119" t="s">
        <v>241</v>
      </c>
      <c r="U179" s="119" t="s">
        <v>242</v>
      </c>
      <c r="V179" s="119" t="s">
        <v>229</v>
      </c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 t="s">
        <v>243</v>
      </c>
      <c r="AH179" s="119" t="s">
        <v>325</v>
      </c>
      <c r="AI179" s="119" t="s">
        <v>326</v>
      </c>
      <c r="AJ179" s="119" t="s">
        <v>309</v>
      </c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</row>
    <row r="180" spans="1:85" s="12" customFormat="1" x14ac:dyDescent="0.25">
      <c r="A180" s="131"/>
      <c r="B180" s="120" t="s">
        <v>103</v>
      </c>
      <c r="C180" s="120" t="s">
        <v>103</v>
      </c>
      <c r="D180" s="120" t="s">
        <v>103</v>
      </c>
      <c r="E180" s="120" t="s">
        <v>103</v>
      </c>
      <c r="F180" s="120" t="s">
        <v>103</v>
      </c>
      <c r="G180" s="120" t="s">
        <v>103</v>
      </c>
      <c r="H180" s="120" t="s">
        <v>103</v>
      </c>
      <c r="I180" s="120" t="s">
        <v>103</v>
      </c>
      <c r="J180" s="120" t="s">
        <v>103</v>
      </c>
      <c r="K180" s="120" t="s">
        <v>103</v>
      </c>
      <c r="L180" s="120"/>
      <c r="M180" s="120"/>
      <c r="N180" s="120"/>
      <c r="O180" s="120"/>
      <c r="P180" s="120"/>
      <c r="Q180" s="120" t="s">
        <v>200</v>
      </c>
      <c r="R180" s="120" t="s">
        <v>200</v>
      </c>
      <c r="S180" s="120" t="s">
        <v>200</v>
      </c>
      <c r="T180" s="120" t="s">
        <v>200</v>
      </c>
      <c r="U180" s="120" t="s">
        <v>200</v>
      </c>
      <c r="V180" s="120" t="s">
        <v>200</v>
      </c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 t="s">
        <v>200</v>
      </c>
      <c r="AH180" s="120" t="s">
        <v>200</v>
      </c>
      <c r="AI180" s="120" t="s">
        <v>86</v>
      </c>
      <c r="AJ180" s="120" t="s">
        <v>200</v>
      </c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</row>
    <row r="181" spans="1:85" s="12" customFormat="1" x14ac:dyDescent="0.25">
      <c r="A181" s="131"/>
      <c r="B181" s="121">
        <v>0.44550000000000001</v>
      </c>
      <c r="C181" s="121">
        <v>0.4274</v>
      </c>
      <c r="D181" s="121">
        <v>0.54610000000000003</v>
      </c>
      <c r="E181" s="121">
        <v>0.5968</v>
      </c>
      <c r="F181" s="121">
        <v>0.71899999999999997</v>
      </c>
      <c r="G181" s="121">
        <v>0.55900000000000005</v>
      </c>
      <c r="H181" s="121">
        <v>0.60719999999999996</v>
      </c>
      <c r="I181" s="121">
        <v>0.63929999999999998</v>
      </c>
      <c r="J181" s="121">
        <f t="shared" ref="J181" si="47">I181*2</f>
        <v>1.2786</v>
      </c>
      <c r="K181" s="121">
        <f t="shared" ref="K181" si="48">I181*2.5</f>
        <v>1.5982499999999999</v>
      </c>
      <c r="L181" s="121"/>
      <c r="M181" s="121"/>
      <c r="N181" s="121"/>
      <c r="O181" s="121"/>
      <c r="P181" s="121"/>
      <c r="Q181" s="121">
        <v>1.3759999999999999</v>
      </c>
      <c r="R181" s="126">
        <v>0.84</v>
      </c>
      <c r="S181" s="121">
        <v>0.92</v>
      </c>
      <c r="T181" s="126">
        <v>0.88</v>
      </c>
      <c r="U181" s="121">
        <v>0.96</v>
      </c>
      <c r="V181" s="121">
        <v>1.32</v>
      </c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>
        <v>2.3279999999999998</v>
      </c>
      <c r="AH181" s="121">
        <v>0.06</v>
      </c>
      <c r="AI181" s="121">
        <v>577</v>
      </c>
      <c r="AJ181" s="121">
        <v>0.56000000000000005</v>
      </c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</row>
    <row r="182" spans="1:85" s="12" customFormat="1" x14ac:dyDescent="0.25">
      <c r="A182" s="131" t="s">
        <v>37</v>
      </c>
      <c r="B182" s="118" t="s">
        <v>204</v>
      </c>
      <c r="C182" s="118" t="s">
        <v>205</v>
      </c>
      <c r="D182" s="119" t="s">
        <v>206</v>
      </c>
      <c r="E182" s="119" t="s">
        <v>207</v>
      </c>
      <c r="F182" s="119" t="s">
        <v>213</v>
      </c>
      <c r="G182" s="119" t="s">
        <v>214</v>
      </c>
      <c r="H182" s="119" t="s">
        <v>211</v>
      </c>
      <c r="I182" s="119" t="s">
        <v>215</v>
      </c>
      <c r="J182" s="118" t="s">
        <v>216</v>
      </c>
      <c r="K182" s="118"/>
      <c r="L182" s="119"/>
      <c r="M182" s="119"/>
      <c r="N182" s="119"/>
      <c r="O182" s="119"/>
      <c r="P182" s="119"/>
      <c r="Q182" s="119" t="s">
        <v>243</v>
      </c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 t="s">
        <v>243</v>
      </c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 t="s">
        <v>414</v>
      </c>
      <c r="AX182" s="119" t="s">
        <v>415</v>
      </c>
      <c r="AY182" s="119"/>
      <c r="AZ182" s="119"/>
      <c r="BA182" s="119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</row>
    <row r="183" spans="1:85" s="12" customFormat="1" x14ac:dyDescent="0.25">
      <c r="A183" s="131"/>
      <c r="B183" s="120" t="s">
        <v>103</v>
      </c>
      <c r="C183" s="120" t="s">
        <v>103</v>
      </c>
      <c r="D183" s="120" t="s">
        <v>103</v>
      </c>
      <c r="E183" s="120" t="s">
        <v>103</v>
      </c>
      <c r="F183" s="120" t="s">
        <v>103</v>
      </c>
      <c r="G183" s="120" t="s">
        <v>103</v>
      </c>
      <c r="H183" s="120" t="s">
        <v>103</v>
      </c>
      <c r="I183" s="120" t="s">
        <v>103</v>
      </c>
      <c r="J183" s="120" t="s">
        <v>103</v>
      </c>
      <c r="K183" s="120"/>
      <c r="L183" s="120"/>
      <c r="M183" s="120"/>
      <c r="N183" s="120"/>
      <c r="O183" s="120"/>
      <c r="P183" s="120"/>
      <c r="Q183" s="120" t="s">
        <v>200</v>
      </c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 t="s">
        <v>200</v>
      </c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 t="s">
        <v>296</v>
      </c>
      <c r="AX183" s="120" t="s">
        <v>200</v>
      </c>
      <c r="AY183" s="120"/>
      <c r="AZ183" s="120"/>
      <c r="BA183" s="120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</row>
    <row r="184" spans="1:85" s="12" customFormat="1" x14ac:dyDescent="0.25">
      <c r="A184" s="131"/>
      <c r="B184" s="121">
        <v>0.7</v>
      </c>
      <c r="C184" s="121">
        <v>0.63119999999999998</v>
      </c>
      <c r="D184" s="121">
        <v>0.80320000000000003</v>
      </c>
      <c r="E184" s="121">
        <v>1.0122</v>
      </c>
      <c r="F184" s="121">
        <v>0.56289999999999996</v>
      </c>
      <c r="G184" s="121">
        <v>1.0178</v>
      </c>
      <c r="H184" s="121">
        <v>0.74590000000000001</v>
      </c>
      <c r="I184" s="121">
        <f t="shared" ref="I184" si="49">H184*2</f>
        <v>1.4918</v>
      </c>
      <c r="J184" s="121">
        <f t="shared" ref="J184" si="50">H184*2.5</f>
        <v>1.8647499999999999</v>
      </c>
      <c r="K184" s="121"/>
      <c r="L184" s="121"/>
      <c r="M184" s="121"/>
      <c r="N184" s="121"/>
      <c r="O184" s="121"/>
      <c r="P184" s="121"/>
      <c r="Q184" s="121">
        <v>1.7203999999999999</v>
      </c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>
        <v>1.4239999999999999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>
        <v>0.08</v>
      </c>
      <c r="AX184" s="121">
        <v>1.7203999999999999</v>
      </c>
      <c r="AY184" s="121"/>
      <c r="AZ184" s="121"/>
      <c r="BA184" s="121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</row>
    <row r="185" spans="1:85" s="12" customFormat="1" x14ac:dyDescent="0.25">
      <c r="A185" s="131" t="s">
        <v>36</v>
      </c>
      <c r="B185" s="118" t="s">
        <v>204</v>
      </c>
      <c r="C185" s="118" t="s">
        <v>205</v>
      </c>
      <c r="D185" s="119" t="s">
        <v>206</v>
      </c>
      <c r="E185" s="119" t="s">
        <v>207</v>
      </c>
      <c r="F185" s="119" t="s">
        <v>213</v>
      </c>
      <c r="G185" s="119" t="s">
        <v>214</v>
      </c>
      <c r="H185" s="119" t="s">
        <v>211</v>
      </c>
      <c r="I185" s="119" t="s">
        <v>215</v>
      </c>
      <c r="J185" s="118" t="s">
        <v>216</v>
      </c>
      <c r="K185" s="118"/>
      <c r="L185" s="119"/>
      <c r="M185" s="119"/>
      <c r="N185" s="119"/>
      <c r="O185" s="119"/>
      <c r="P185" s="119"/>
      <c r="Q185" s="119" t="s">
        <v>204</v>
      </c>
      <c r="R185" s="119" t="s">
        <v>205</v>
      </c>
      <c r="S185" s="119" t="s">
        <v>206</v>
      </c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 t="s">
        <v>247</v>
      </c>
      <c r="AH185" s="119" t="s">
        <v>255</v>
      </c>
      <c r="AI185" s="119" t="s">
        <v>229</v>
      </c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 t="s">
        <v>420</v>
      </c>
      <c r="AX185" s="119" t="s">
        <v>421</v>
      </c>
      <c r="AY185" s="119"/>
      <c r="AZ185" s="119"/>
      <c r="BA185" s="119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</row>
    <row r="186" spans="1:85" s="12" customFormat="1" x14ac:dyDescent="0.25">
      <c r="A186" s="131"/>
      <c r="B186" s="120" t="s">
        <v>191</v>
      </c>
      <c r="C186" s="120" t="s">
        <v>191</v>
      </c>
      <c r="D186" s="120" t="s">
        <v>191</v>
      </c>
      <c r="E186" s="120" t="s">
        <v>191</v>
      </c>
      <c r="F186" s="120" t="s">
        <v>191</v>
      </c>
      <c r="G186" s="120" t="s">
        <v>191</v>
      </c>
      <c r="H186" s="120" t="s">
        <v>103</v>
      </c>
      <c r="I186" s="120" t="s">
        <v>103</v>
      </c>
      <c r="J186" s="120" t="s">
        <v>103</v>
      </c>
      <c r="K186" s="120"/>
      <c r="L186" s="120"/>
      <c r="M186" s="120"/>
      <c r="N186" s="120"/>
      <c r="O186" s="120"/>
      <c r="P186" s="120"/>
      <c r="Q186" s="120" t="s">
        <v>200</v>
      </c>
      <c r="R186" s="120" t="s">
        <v>200</v>
      </c>
      <c r="S186" s="120" t="s">
        <v>200</v>
      </c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 t="s">
        <v>200</v>
      </c>
      <c r="AH186" s="120" t="s">
        <v>200</v>
      </c>
      <c r="AI186" s="120" t="s">
        <v>200</v>
      </c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 t="s">
        <v>296</v>
      </c>
      <c r="AX186" s="120" t="s">
        <v>296</v>
      </c>
      <c r="AY186" s="120"/>
      <c r="AZ186" s="120"/>
      <c r="BA186" s="120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</row>
    <row r="187" spans="1:85" s="12" customFormat="1" x14ac:dyDescent="0.25">
      <c r="A187" s="131"/>
      <c r="B187" s="121">
        <v>0.89700000000000002</v>
      </c>
      <c r="C187" s="121">
        <v>0.87629999999999997</v>
      </c>
      <c r="D187" s="121">
        <v>0.98809999999999998</v>
      </c>
      <c r="E187" s="121">
        <v>1.3399000000000001</v>
      </c>
      <c r="F187" s="121">
        <v>0.68799999999999994</v>
      </c>
      <c r="G187" s="121">
        <v>1.2470000000000001</v>
      </c>
      <c r="H187" s="121">
        <v>0.89510000000000001</v>
      </c>
      <c r="I187" s="121">
        <f t="shared" ref="I187" si="51">H187*2</f>
        <v>1.7902</v>
      </c>
      <c r="J187" s="121">
        <f t="shared" ref="J187" si="52">H187*2.5</f>
        <v>2.2377500000000001</v>
      </c>
      <c r="K187" s="121"/>
      <c r="L187" s="121"/>
      <c r="M187" s="121"/>
      <c r="N187" s="121"/>
      <c r="O187" s="121"/>
      <c r="P187" s="121"/>
      <c r="Q187" s="121">
        <v>0.94399999999999995</v>
      </c>
      <c r="R187" s="126">
        <v>0.97599999999999998</v>
      </c>
      <c r="S187" s="121">
        <v>1.288</v>
      </c>
      <c r="T187" s="126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>
        <v>2.04</v>
      </c>
      <c r="AH187" s="121">
        <v>0.6</v>
      </c>
      <c r="AI187" s="121">
        <v>2.04</v>
      </c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>
        <v>0.5</v>
      </c>
      <c r="AX187" s="121">
        <v>0.2</v>
      </c>
      <c r="AY187" s="121"/>
      <c r="AZ187" s="121"/>
      <c r="BA187" s="121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</row>
    <row r="188" spans="1:85" s="12" customFormat="1" x14ac:dyDescent="0.25">
      <c r="A188" s="131" t="s">
        <v>35</v>
      </c>
      <c r="B188" s="118" t="s">
        <v>204</v>
      </c>
      <c r="C188" s="118" t="s">
        <v>205</v>
      </c>
      <c r="D188" s="119" t="s">
        <v>206</v>
      </c>
      <c r="E188" s="119" t="s">
        <v>207</v>
      </c>
      <c r="F188" s="119" t="s">
        <v>208</v>
      </c>
      <c r="G188" s="119" t="s">
        <v>209</v>
      </c>
      <c r="H188" s="119" t="s">
        <v>210</v>
      </c>
      <c r="I188" s="119" t="s">
        <v>211</v>
      </c>
      <c r="J188" s="119" t="s">
        <v>215</v>
      </c>
      <c r="K188" s="118" t="s">
        <v>216</v>
      </c>
      <c r="L188" s="119"/>
      <c r="M188" s="119"/>
      <c r="N188" s="119"/>
      <c r="O188" s="119"/>
      <c r="P188" s="119"/>
      <c r="Q188" s="132" t="s">
        <v>281</v>
      </c>
      <c r="R188" s="132" t="s">
        <v>282</v>
      </c>
      <c r="S188" s="132" t="s">
        <v>283</v>
      </c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 t="s">
        <v>243</v>
      </c>
      <c r="AH188" s="119" t="s">
        <v>354</v>
      </c>
      <c r="AI188" s="119" t="s">
        <v>355</v>
      </c>
      <c r="AJ188" s="119" t="s">
        <v>356</v>
      </c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 t="s">
        <v>418</v>
      </c>
      <c r="AX188" s="119" t="s">
        <v>424</v>
      </c>
      <c r="AY188" s="119" t="s">
        <v>419</v>
      </c>
      <c r="AZ188" s="119"/>
      <c r="BA188" s="119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</row>
    <row r="189" spans="1:85" s="12" customFormat="1" x14ac:dyDescent="0.25">
      <c r="A189" s="131"/>
      <c r="B189" s="120" t="s">
        <v>191</v>
      </c>
      <c r="C189" s="120" t="s">
        <v>191</v>
      </c>
      <c r="D189" s="120" t="s">
        <v>191</v>
      </c>
      <c r="E189" s="120" t="s">
        <v>191</v>
      </c>
      <c r="F189" s="120" t="s">
        <v>191</v>
      </c>
      <c r="G189" s="120" t="s">
        <v>201</v>
      </c>
      <c r="H189" s="120" t="s">
        <v>201</v>
      </c>
      <c r="I189" s="120" t="s">
        <v>103</v>
      </c>
      <c r="J189" s="120" t="s">
        <v>103</v>
      </c>
      <c r="K189" s="120" t="s">
        <v>103</v>
      </c>
      <c r="L189" s="120"/>
      <c r="M189" s="120"/>
      <c r="N189" s="120"/>
      <c r="O189" s="120"/>
      <c r="P189" s="120"/>
      <c r="Q189" s="120" t="s">
        <v>200</v>
      </c>
      <c r="R189" s="120" t="s">
        <v>200</v>
      </c>
      <c r="S189" s="120" t="s">
        <v>86</v>
      </c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 t="s">
        <v>200</v>
      </c>
      <c r="AH189" s="120" t="s">
        <v>200</v>
      </c>
      <c r="AI189" s="120" t="s">
        <v>200</v>
      </c>
      <c r="AJ189" s="120" t="s">
        <v>200</v>
      </c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 t="s">
        <v>296</v>
      </c>
      <c r="AX189" s="120" t="s">
        <v>296</v>
      </c>
      <c r="AY189" s="120" t="s">
        <v>296</v>
      </c>
      <c r="AZ189" s="120"/>
      <c r="BA189" s="120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</row>
    <row r="190" spans="1:85" s="12" customFormat="1" x14ac:dyDescent="0.25">
      <c r="A190" s="131"/>
      <c r="B190" s="121">
        <v>0.36120000000000002</v>
      </c>
      <c r="C190" s="121">
        <v>0.33539999999999998</v>
      </c>
      <c r="D190" s="121">
        <v>0.45579999999999998</v>
      </c>
      <c r="E190" s="121">
        <v>0.43</v>
      </c>
      <c r="F190" s="121">
        <v>0.53749999999999998</v>
      </c>
      <c r="G190" s="121">
        <v>0.43859999999999999</v>
      </c>
      <c r="H190" s="121">
        <v>1.24</v>
      </c>
      <c r="I190" s="121">
        <v>0.56830000000000003</v>
      </c>
      <c r="J190" s="121">
        <f>I190*2</f>
        <v>1.1366000000000001</v>
      </c>
      <c r="K190" s="121">
        <f>I190*2.5</f>
        <v>1.42075</v>
      </c>
      <c r="L190" s="121"/>
      <c r="M190" s="121"/>
      <c r="N190" s="121"/>
      <c r="O190" s="121"/>
      <c r="P190" s="121"/>
      <c r="Q190" s="121">
        <v>0.41920000000000002</v>
      </c>
      <c r="R190" s="121">
        <v>7.1999999999999995E-2</v>
      </c>
      <c r="S190" s="126">
        <v>693</v>
      </c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>
        <v>0.8</v>
      </c>
      <c r="AH190" s="121">
        <v>0.52639999999999998</v>
      </c>
      <c r="AI190" s="121">
        <v>5.3400000000000003E-2</v>
      </c>
      <c r="AJ190" s="121">
        <v>513</v>
      </c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>
        <v>0.1</v>
      </c>
      <c r="AX190" s="121">
        <v>0.1</v>
      </c>
      <c r="AY190" s="121">
        <v>0.1</v>
      </c>
      <c r="AZ190" s="121"/>
      <c r="BA190" s="121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</row>
    <row r="191" spans="1:85" s="12" customFormat="1" x14ac:dyDescent="0.25">
      <c r="A191" s="131" t="s">
        <v>34</v>
      </c>
      <c r="B191" s="119" t="s">
        <v>204</v>
      </c>
      <c r="C191" s="119" t="s">
        <v>205</v>
      </c>
      <c r="D191" s="119" t="s">
        <v>392</v>
      </c>
      <c r="E191" s="119" t="s">
        <v>207</v>
      </c>
      <c r="F191" s="119" t="s">
        <v>398</v>
      </c>
      <c r="G191" s="119" t="s">
        <v>213</v>
      </c>
      <c r="H191" s="119" t="s">
        <v>214</v>
      </c>
      <c r="I191" s="119" t="s">
        <v>211</v>
      </c>
      <c r="J191" s="119" t="s">
        <v>215</v>
      </c>
      <c r="K191" s="118" t="s">
        <v>216</v>
      </c>
      <c r="L191" s="119"/>
      <c r="M191" s="119"/>
      <c r="N191" s="119"/>
      <c r="O191" s="119"/>
      <c r="P191" s="119"/>
      <c r="Q191" s="119" t="s">
        <v>238</v>
      </c>
      <c r="R191" s="119" t="s">
        <v>265</v>
      </c>
      <c r="S191" s="119" t="s">
        <v>294</v>
      </c>
      <c r="T191" s="119" t="s">
        <v>295</v>
      </c>
      <c r="U191" s="119" t="s">
        <v>297</v>
      </c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 t="s">
        <v>243</v>
      </c>
      <c r="AH191" s="119" t="s">
        <v>366</v>
      </c>
      <c r="AI191" s="119" t="s">
        <v>367</v>
      </c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 t="s">
        <v>425</v>
      </c>
      <c r="AX191" s="119"/>
      <c r="AY191" s="119"/>
      <c r="AZ191" s="119"/>
      <c r="BA191" s="119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</row>
    <row r="192" spans="1:85" s="12" customFormat="1" x14ac:dyDescent="0.25">
      <c r="A192" s="131"/>
      <c r="B192" s="120" t="s">
        <v>191</v>
      </c>
      <c r="C192" s="120" t="s">
        <v>191</v>
      </c>
      <c r="D192" s="120" t="s">
        <v>191</v>
      </c>
      <c r="E192" s="120" t="s">
        <v>191</v>
      </c>
      <c r="F192" s="120" t="s">
        <v>191</v>
      </c>
      <c r="G192" s="120" t="s">
        <v>191</v>
      </c>
      <c r="H192" s="120" t="s">
        <v>191</v>
      </c>
      <c r="I192" s="120" t="s">
        <v>191</v>
      </c>
      <c r="J192" s="120" t="s">
        <v>191</v>
      </c>
      <c r="K192" s="120" t="s">
        <v>191</v>
      </c>
      <c r="L192" s="120"/>
      <c r="M192" s="120"/>
      <c r="N192" s="120"/>
      <c r="O192" s="120"/>
      <c r="P192" s="120"/>
      <c r="Q192" s="120" t="s">
        <v>200</v>
      </c>
      <c r="R192" s="120" t="s">
        <v>200</v>
      </c>
      <c r="S192" s="120" t="s">
        <v>200</v>
      </c>
      <c r="T192" s="120" t="s">
        <v>34</v>
      </c>
      <c r="U192" s="120" t="s">
        <v>296</v>
      </c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 t="s">
        <v>191</v>
      </c>
      <c r="AH192" s="120" t="s">
        <v>191</v>
      </c>
      <c r="AI192" s="120" t="s">
        <v>191</v>
      </c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 t="s">
        <v>191</v>
      </c>
      <c r="AX192" s="120"/>
      <c r="AY192" s="120"/>
      <c r="AZ192" s="120"/>
      <c r="BA192" s="120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</row>
    <row r="193" spans="1:85" s="12" customFormat="1" x14ac:dyDescent="0.25">
      <c r="A193" s="131"/>
      <c r="B193" s="121">
        <v>0.89729999999999999</v>
      </c>
      <c r="C193" s="121">
        <v>0.9355</v>
      </c>
      <c r="D193" s="121">
        <v>0.56799999999999995</v>
      </c>
      <c r="E193" s="121">
        <v>1.1264000000000001</v>
      </c>
      <c r="F193" s="121">
        <v>0.71830000000000005</v>
      </c>
      <c r="G193" s="121">
        <v>0.68799999999999994</v>
      </c>
      <c r="H193" s="121">
        <v>1.244</v>
      </c>
      <c r="I193" s="121">
        <v>0.74590000000000001</v>
      </c>
      <c r="J193" s="121">
        <f>I193*2</f>
        <v>1.4918</v>
      </c>
      <c r="K193" s="121">
        <f>I193*2.5</f>
        <v>1.8647499999999999</v>
      </c>
      <c r="L193" s="121"/>
      <c r="M193" s="121"/>
      <c r="N193" s="121"/>
      <c r="O193" s="121"/>
      <c r="P193" s="121"/>
      <c r="Q193" s="121">
        <v>1.464</v>
      </c>
      <c r="R193" s="121">
        <v>2.456</v>
      </c>
      <c r="S193" s="121">
        <v>0.96</v>
      </c>
      <c r="T193" s="121">
        <v>0.16</v>
      </c>
      <c r="U193" s="121">
        <v>0.3</v>
      </c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>
        <v>2.456</v>
      </c>
      <c r="AH193" s="121">
        <v>3.6705000000000001</v>
      </c>
      <c r="AI193" s="121">
        <v>0.74990000000000001</v>
      </c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>
        <f>367.05*0.5%</f>
        <v>1.83525</v>
      </c>
      <c r="AX193" s="121"/>
      <c r="AY193" s="121"/>
      <c r="AZ193" s="121"/>
      <c r="BA193" s="121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</row>
    <row r="194" spans="1:85" s="12" customFormat="1" x14ac:dyDescent="0.25">
      <c r="A194" s="131" t="s">
        <v>33</v>
      </c>
      <c r="B194" s="118" t="s">
        <v>204</v>
      </c>
      <c r="C194" s="118" t="s">
        <v>205</v>
      </c>
      <c r="D194" s="119" t="s">
        <v>206</v>
      </c>
      <c r="E194" s="119" t="s">
        <v>207</v>
      </c>
      <c r="F194" s="119" t="s">
        <v>208</v>
      </c>
      <c r="G194" s="119" t="s">
        <v>209</v>
      </c>
      <c r="H194" s="119" t="s">
        <v>210</v>
      </c>
      <c r="I194" s="119" t="s">
        <v>211</v>
      </c>
      <c r="J194" s="119" t="s">
        <v>215</v>
      </c>
      <c r="K194" s="118" t="s">
        <v>216</v>
      </c>
      <c r="L194" s="119"/>
      <c r="M194" s="119"/>
      <c r="N194" s="119"/>
      <c r="O194" s="119"/>
      <c r="P194" s="119"/>
      <c r="Q194" s="119" t="s">
        <v>244</v>
      </c>
      <c r="R194" s="119" t="s">
        <v>245</v>
      </c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 t="s">
        <v>327</v>
      </c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 t="s">
        <v>426</v>
      </c>
      <c r="AX194" s="119" t="s">
        <v>427</v>
      </c>
      <c r="AY194" s="119"/>
      <c r="AZ194" s="119"/>
      <c r="BA194" s="119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</row>
    <row r="195" spans="1:85" s="12" customFormat="1" x14ac:dyDescent="0.25">
      <c r="A195" s="131"/>
      <c r="B195" s="120" t="s">
        <v>103</v>
      </c>
      <c r="C195" s="120" t="s">
        <v>103</v>
      </c>
      <c r="D195" s="120" t="s">
        <v>103</v>
      </c>
      <c r="E195" s="120" t="s">
        <v>103</v>
      </c>
      <c r="F195" s="120" t="s">
        <v>103</v>
      </c>
      <c r="G195" s="120" t="s">
        <v>200</v>
      </c>
      <c r="H195" s="120" t="s">
        <v>200</v>
      </c>
      <c r="I195" s="120" t="s">
        <v>103</v>
      </c>
      <c r="J195" s="120" t="s">
        <v>103</v>
      </c>
      <c r="K195" s="120" t="s">
        <v>103</v>
      </c>
      <c r="L195" s="120"/>
      <c r="M195" s="120"/>
      <c r="N195" s="120"/>
      <c r="O195" s="120"/>
      <c r="P195" s="120"/>
      <c r="Q195" s="120" t="s">
        <v>200</v>
      </c>
      <c r="R195" s="120" t="s">
        <v>200</v>
      </c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 t="s">
        <v>200</v>
      </c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 t="s">
        <v>296</v>
      </c>
      <c r="AX195" s="120" t="s">
        <v>296</v>
      </c>
      <c r="AY195" s="120"/>
      <c r="AZ195" s="120"/>
      <c r="BA195" s="120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</row>
    <row r="196" spans="1:85" s="12" customFormat="1" x14ac:dyDescent="0.25">
      <c r="A196" s="131"/>
      <c r="B196" s="121">
        <v>0.44119999999999998</v>
      </c>
      <c r="C196" s="121">
        <v>0.46779999999999999</v>
      </c>
      <c r="D196" s="121">
        <v>0.58140000000000003</v>
      </c>
      <c r="E196" s="121">
        <v>0.57709999999999995</v>
      </c>
      <c r="F196" s="121">
        <v>0.72070000000000001</v>
      </c>
      <c r="G196" s="121">
        <v>0.43859999999999999</v>
      </c>
      <c r="H196" s="121">
        <v>1.24</v>
      </c>
      <c r="I196" s="121">
        <v>0.56830000000000003</v>
      </c>
      <c r="J196" s="121">
        <f t="shared" ref="J196" si="53">I196*2</f>
        <v>1.1366000000000001</v>
      </c>
      <c r="K196" s="121">
        <f t="shared" ref="K196" si="54">I196*2.5</f>
        <v>1.42075</v>
      </c>
      <c r="L196" s="121"/>
      <c r="M196" s="121"/>
      <c r="N196" s="121"/>
      <c r="O196" s="121"/>
      <c r="P196" s="121"/>
      <c r="Q196" s="121">
        <v>0.88800000000000001</v>
      </c>
      <c r="R196" s="121">
        <v>1.1544000000000001</v>
      </c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>
        <v>2.08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>
        <v>1.5269999999999999</v>
      </c>
      <c r="AX196" s="121">
        <v>0.8</v>
      </c>
      <c r="AY196" s="121"/>
      <c r="AZ196" s="121"/>
      <c r="BA196" s="121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</row>
    <row r="197" spans="1:85" s="12" customFormat="1" x14ac:dyDescent="0.25">
      <c r="A197" s="131" t="s">
        <v>32</v>
      </c>
      <c r="B197" s="118" t="s">
        <v>204</v>
      </c>
      <c r="C197" s="118" t="s">
        <v>205</v>
      </c>
      <c r="D197" s="119" t="s">
        <v>206</v>
      </c>
      <c r="E197" s="119" t="s">
        <v>207</v>
      </c>
      <c r="F197" s="119" t="s">
        <v>208</v>
      </c>
      <c r="G197" s="119" t="s">
        <v>219</v>
      </c>
      <c r="H197" s="119" t="s">
        <v>209</v>
      </c>
      <c r="I197" s="119" t="s">
        <v>222</v>
      </c>
      <c r="J197" s="118" t="s">
        <v>223</v>
      </c>
      <c r="K197" s="118" t="s">
        <v>224</v>
      </c>
      <c r="L197" s="119" t="s">
        <v>211</v>
      </c>
      <c r="M197" s="119" t="s">
        <v>215</v>
      </c>
      <c r="N197" s="118" t="s">
        <v>216</v>
      </c>
      <c r="O197" s="119"/>
      <c r="P197" s="119"/>
      <c r="Q197" s="119" t="s">
        <v>228</v>
      </c>
      <c r="R197" s="119" t="s">
        <v>243</v>
      </c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 t="s">
        <v>357</v>
      </c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 t="s">
        <v>428</v>
      </c>
      <c r="AX197" s="119" t="s">
        <v>429</v>
      </c>
      <c r="AY197" s="119"/>
      <c r="AZ197" s="119"/>
      <c r="BA197" s="119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</row>
    <row r="198" spans="1:85" s="12" customFormat="1" x14ac:dyDescent="0.25">
      <c r="A198" s="131"/>
      <c r="B198" s="120" t="s">
        <v>191</v>
      </c>
      <c r="C198" s="120" t="s">
        <v>191</v>
      </c>
      <c r="D198" s="120" t="s">
        <v>191</v>
      </c>
      <c r="E198" s="120" t="s">
        <v>191</v>
      </c>
      <c r="F198" s="120" t="s">
        <v>191</v>
      </c>
      <c r="G198" s="120" t="s">
        <v>191</v>
      </c>
      <c r="H198" s="120" t="s">
        <v>200</v>
      </c>
      <c r="I198" s="120" t="s">
        <v>200</v>
      </c>
      <c r="J198" s="120" t="s">
        <v>200</v>
      </c>
      <c r="K198" s="120" t="s">
        <v>200</v>
      </c>
      <c r="L198" s="120" t="s">
        <v>103</v>
      </c>
      <c r="M198" s="120" t="s">
        <v>103</v>
      </c>
      <c r="N198" s="120" t="s">
        <v>103</v>
      </c>
      <c r="O198" s="120"/>
      <c r="P198" s="120"/>
      <c r="Q198" s="120" t="s">
        <v>200</v>
      </c>
      <c r="R198" s="120" t="s">
        <v>200</v>
      </c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 t="s">
        <v>200</v>
      </c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 t="s">
        <v>296</v>
      </c>
      <c r="AX198" s="120" t="s">
        <v>296</v>
      </c>
      <c r="AY198" s="120"/>
      <c r="AZ198" s="120"/>
      <c r="BA198" s="120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</row>
    <row r="199" spans="1:85" s="12" customFormat="1" x14ac:dyDescent="0.25">
      <c r="A199" s="131"/>
      <c r="B199" s="121">
        <v>0.31730000000000003</v>
      </c>
      <c r="C199" s="121">
        <v>0.35599999999999998</v>
      </c>
      <c r="D199" s="121">
        <v>0.45490000000000003</v>
      </c>
      <c r="E199" s="121">
        <v>0.45490000000000003</v>
      </c>
      <c r="F199" s="121">
        <v>0.48249999999999998</v>
      </c>
      <c r="G199" s="121">
        <v>0.57620000000000005</v>
      </c>
      <c r="H199" s="121">
        <v>0.43859999999999999</v>
      </c>
      <c r="I199" s="121">
        <v>1.24</v>
      </c>
      <c r="J199" s="121">
        <v>1.28</v>
      </c>
      <c r="K199" s="121">
        <v>2.1760000000000002</v>
      </c>
      <c r="L199" s="121">
        <v>0.56830000000000003</v>
      </c>
      <c r="M199" s="121">
        <f>L199*2</f>
        <v>1.1366000000000001</v>
      </c>
      <c r="N199" s="121">
        <f>L199*2.5</f>
        <v>1.42075</v>
      </c>
      <c r="O199" s="121"/>
      <c r="P199" s="121"/>
      <c r="Q199" s="121">
        <v>1.2</v>
      </c>
      <c r="R199" s="121">
        <v>1.32</v>
      </c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>
        <v>0.70269999999999999</v>
      </c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>
        <v>0.2</v>
      </c>
      <c r="AX199" s="121">
        <v>0.2</v>
      </c>
      <c r="AY199" s="121"/>
      <c r="AZ199" s="121"/>
      <c r="BA199" s="121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</row>
    <row r="200" spans="1:85" s="12" customFormat="1" x14ac:dyDescent="0.25">
      <c r="A200" s="131" t="s">
        <v>31</v>
      </c>
      <c r="B200" s="118" t="s">
        <v>204</v>
      </c>
      <c r="C200" s="118" t="s">
        <v>205</v>
      </c>
      <c r="D200" s="119" t="s">
        <v>206</v>
      </c>
      <c r="E200" s="119" t="s">
        <v>207</v>
      </c>
      <c r="F200" s="119" t="s">
        <v>398</v>
      </c>
      <c r="G200" s="119" t="s">
        <v>399</v>
      </c>
      <c r="H200" s="119" t="s">
        <v>226</v>
      </c>
      <c r="I200" s="119" t="s">
        <v>212</v>
      </c>
      <c r="J200" s="119" t="s">
        <v>211</v>
      </c>
      <c r="K200" s="119" t="s">
        <v>215</v>
      </c>
      <c r="L200" s="119" t="s">
        <v>216</v>
      </c>
      <c r="M200" s="119"/>
      <c r="N200" s="119"/>
      <c r="O200" s="119"/>
      <c r="P200" s="119"/>
      <c r="Q200" s="119" t="s">
        <v>292</v>
      </c>
      <c r="R200" s="119" t="s">
        <v>293</v>
      </c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 t="s">
        <v>243</v>
      </c>
      <c r="AH200" s="119" t="s">
        <v>362</v>
      </c>
      <c r="AI200" s="119" t="s">
        <v>363</v>
      </c>
      <c r="AJ200" s="119" t="s">
        <v>364</v>
      </c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 t="s">
        <v>428</v>
      </c>
      <c r="AX200" s="119"/>
      <c r="AY200" s="119"/>
      <c r="AZ200" s="119"/>
      <c r="BA200" s="119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</row>
    <row r="201" spans="1:85" s="12" customFormat="1" x14ac:dyDescent="0.25">
      <c r="A201" s="131"/>
      <c r="B201" s="120" t="s">
        <v>199</v>
      </c>
      <c r="C201" s="120" t="s">
        <v>199</v>
      </c>
      <c r="D201" s="120" t="s">
        <v>199</v>
      </c>
      <c r="E201" s="120" t="s">
        <v>199</v>
      </c>
      <c r="F201" s="120" t="s">
        <v>199</v>
      </c>
      <c r="G201" s="120" t="s">
        <v>199</v>
      </c>
      <c r="H201" s="120" t="s">
        <v>199</v>
      </c>
      <c r="I201" s="120" t="s">
        <v>199</v>
      </c>
      <c r="J201" s="120" t="s">
        <v>199</v>
      </c>
      <c r="K201" s="120" t="s">
        <v>199</v>
      </c>
      <c r="L201" s="120" t="s">
        <v>199</v>
      </c>
      <c r="M201" s="120"/>
      <c r="N201" s="120"/>
      <c r="O201" s="120"/>
      <c r="P201" s="120"/>
      <c r="Q201" s="120" t="s">
        <v>202</v>
      </c>
      <c r="R201" s="120" t="s">
        <v>202</v>
      </c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 t="s">
        <v>202</v>
      </c>
      <c r="AH201" s="120" t="s">
        <v>202</v>
      </c>
      <c r="AI201" s="120" t="s">
        <v>202</v>
      </c>
      <c r="AJ201" s="120" t="s">
        <v>202</v>
      </c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 t="s">
        <v>296</v>
      </c>
      <c r="AX201" s="120"/>
      <c r="AY201" s="120"/>
      <c r="AZ201" s="120"/>
      <c r="BA201" s="120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</row>
    <row r="202" spans="1:85" s="12" customFormat="1" x14ac:dyDescent="0.25">
      <c r="A202" s="131"/>
      <c r="B202" s="121">
        <v>0.46889999999999998</v>
      </c>
      <c r="C202" s="121">
        <v>0.48249999999999998</v>
      </c>
      <c r="D202" s="121">
        <v>0.61050000000000004</v>
      </c>
      <c r="E202" s="121">
        <v>0.65639999999999998</v>
      </c>
      <c r="F202" s="121">
        <v>0.3327</v>
      </c>
      <c r="G202" s="121">
        <v>0.35199999999999998</v>
      </c>
      <c r="H202" s="121">
        <v>0.85960000000000003</v>
      </c>
      <c r="I202" s="121">
        <v>1.3595999999999999</v>
      </c>
      <c r="J202" s="121">
        <v>0.6542</v>
      </c>
      <c r="K202" s="121">
        <f>J202*2</f>
        <v>1.3084</v>
      </c>
      <c r="L202" s="121">
        <f>J202*2.5</f>
        <v>1.6355</v>
      </c>
      <c r="M202" s="121"/>
      <c r="N202" s="121"/>
      <c r="O202" s="121"/>
      <c r="P202" s="121"/>
      <c r="Q202" s="121">
        <v>3.8399999999999997E-2</v>
      </c>
      <c r="R202" s="121">
        <v>0.64</v>
      </c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>
        <v>3.0327000000000002</v>
      </c>
      <c r="AH202" s="121">
        <v>3.7909000000000002</v>
      </c>
      <c r="AI202" s="121">
        <v>6.2600000000000003E-2</v>
      </c>
      <c r="AJ202" s="121">
        <v>8.3500000000000005E-2</v>
      </c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>
        <v>0.12</v>
      </c>
      <c r="AX202" s="121"/>
      <c r="AY202" s="121"/>
      <c r="AZ202" s="121"/>
      <c r="BA202" s="121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</row>
    <row r="203" spans="1:85" s="12" customFormat="1" x14ac:dyDescent="0.25">
      <c r="A203" s="131" t="s">
        <v>30</v>
      </c>
      <c r="B203" s="118" t="s">
        <v>204</v>
      </c>
      <c r="C203" s="118" t="s">
        <v>205</v>
      </c>
      <c r="D203" s="119" t="s">
        <v>206</v>
      </c>
      <c r="E203" s="119" t="s">
        <v>207</v>
      </c>
      <c r="F203" s="119" t="s">
        <v>208</v>
      </c>
      <c r="G203" s="119" t="s">
        <v>212</v>
      </c>
      <c r="H203" s="119" t="s">
        <v>211</v>
      </c>
      <c r="I203" s="119" t="s">
        <v>215</v>
      </c>
      <c r="J203" s="118" t="s">
        <v>216</v>
      </c>
      <c r="K203" s="118"/>
      <c r="L203" s="119"/>
      <c r="M203" s="119"/>
      <c r="N203" s="119"/>
      <c r="O203" s="119"/>
      <c r="P203" s="119"/>
      <c r="Q203" s="119" t="s">
        <v>243</v>
      </c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 t="s">
        <v>328</v>
      </c>
      <c r="AH203" s="119" t="s">
        <v>329</v>
      </c>
      <c r="AI203" s="119" t="s">
        <v>330</v>
      </c>
      <c r="AJ203" s="119" t="s">
        <v>331</v>
      </c>
      <c r="AK203" s="119" t="s">
        <v>231</v>
      </c>
      <c r="AL203" s="119" t="s">
        <v>237</v>
      </c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</row>
    <row r="204" spans="1:85" s="12" customFormat="1" x14ac:dyDescent="0.25">
      <c r="A204" s="131"/>
      <c r="B204" s="120" t="s">
        <v>191</v>
      </c>
      <c r="C204" s="120" t="s">
        <v>191</v>
      </c>
      <c r="D204" s="120" t="s">
        <v>191</v>
      </c>
      <c r="E204" s="120" t="s">
        <v>191</v>
      </c>
      <c r="F204" s="120" t="s">
        <v>191</v>
      </c>
      <c r="G204" s="120" t="s">
        <v>191</v>
      </c>
      <c r="H204" s="120" t="s">
        <v>191</v>
      </c>
      <c r="I204" s="120" t="s">
        <v>103</v>
      </c>
      <c r="J204" s="120" t="s">
        <v>103</v>
      </c>
      <c r="K204" s="120"/>
      <c r="L204" s="120"/>
      <c r="M204" s="120"/>
      <c r="N204" s="120"/>
      <c r="O204" s="120"/>
      <c r="P204" s="120"/>
      <c r="Q204" s="120" t="s">
        <v>200</v>
      </c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 t="s">
        <v>200</v>
      </c>
      <c r="AH204" s="120" t="s">
        <v>200</v>
      </c>
      <c r="AI204" s="120" t="s">
        <v>200</v>
      </c>
      <c r="AJ204" s="120" t="s">
        <v>86</v>
      </c>
      <c r="AK204" s="120" t="s">
        <v>200</v>
      </c>
      <c r="AL204" s="120" t="s">
        <v>86</v>
      </c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</row>
    <row r="205" spans="1:85" s="12" customFormat="1" x14ac:dyDescent="0.25">
      <c r="A205" s="131"/>
      <c r="B205" s="121">
        <v>0.48330000000000001</v>
      </c>
      <c r="C205" s="121">
        <v>0.45579999999999998</v>
      </c>
      <c r="D205" s="121">
        <v>0.60289999999999999</v>
      </c>
      <c r="E205" s="121">
        <v>0.65880000000000005</v>
      </c>
      <c r="F205" s="121">
        <v>0.79210000000000003</v>
      </c>
      <c r="G205" s="121">
        <v>1.6202000000000001</v>
      </c>
      <c r="H205" s="121">
        <v>0.63929999999999998</v>
      </c>
      <c r="I205" s="121">
        <f>H205*2</f>
        <v>1.2786</v>
      </c>
      <c r="J205" s="121">
        <f>H205*2.5</f>
        <v>1.5982499999999999</v>
      </c>
      <c r="K205" s="121"/>
      <c r="L205" s="121"/>
      <c r="M205" s="121"/>
      <c r="N205" s="121"/>
      <c r="O205" s="121"/>
      <c r="P205" s="121"/>
      <c r="Q205" s="121">
        <v>2.92</v>
      </c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>
        <v>4.2480000000000002</v>
      </c>
      <c r="AH205" s="121">
        <v>0.78400000000000003</v>
      </c>
      <c r="AI205" s="121">
        <v>2.512</v>
      </c>
      <c r="AJ205" s="121">
        <v>154000</v>
      </c>
      <c r="AK205" s="121">
        <v>0.25119999999999998</v>
      </c>
      <c r="AL205" s="121">
        <v>154</v>
      </c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</row>
    <row r="206" spans="1:85" s="12" customFormat="1" x14ac:dyDescent="0.25">
      <c r="A206" s="131" t="s">
        <v>29</v>
      </c>
      <c r="B206" s="118" t="s">
        <v>204</v>
      </c>
      <c r="C206" s="118" t="s">
        <v>205</v>
      </c>
      <c r="D206" s="119" t="s">
        <v>206</v>
      </c>
      <c r="E206" s="119" t="s">
        <v>207</v>
      </c>
      <c r="F206" s="119" t="s">
        <v>208</v>
      </c>
      <c r="G206" s="119" t="s">
        <v>381</v>
      </c>
      <c r="H206" s="119" t="s">
        <v>276</v>
      </c>
      <c r="I206" s="119" t="s">
        <v>211</v>
      </c>
      <c r="J206" s="118" t="s">
        <v>215</v>
      </c>
      <c r="K206" s="118" t="s">
        <v>216</v>
      </c>
      <c r="L206" s="119"/>
      <c r="M206" s="119"/>
      <c r="N206" s="119"/>
      <c r="O206" s="119"/>
      <c r="P206" s="119"/>
      <c r="Q206" s="119" t="s">
        <v>243</v>
      </c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 t="s">
        <v>243</v>
      </c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</row>
    <row r="207" spans="1:85" s="12" customFormat="1" x14ac:dyDescent="0.25">
      <c r="A207" s="131"/>
      <c r="B207" s="120" t="s">
        <v>191</v>
      </c>
      <c r="C207" s="120" t="s">
        <v>191</v>
      </c>
      <c r="D207" s="120" t="s">
        <v>191</v>
      </c>
      <c r="E207" s="120" t="s">
        <v>191</v>
      </c>
      <c r="F207" s="120" t="s">
        <v>191</v>
      </c>
      <c r="G207" s="120" t="s">
        <v>191</v>
      </c>
      <c r="H207" s="120" t="s">
        <v>191</v>
      </c>
      <c r="I207" s="120" t="s">
        <v>103</v>
      </c>
      <c r="J207" s="120" t="s">
        <v>103</v>
      </c>
      <c r="K207" s="120" t="s">
        <v>103</v>
      </c>
      <c r="L207" s="120"/>
      <c r="M207" s="120"/>
      <c r="N207" s="120"/>
      <c r="O207" s="120"/>
      <c r="P207" s="120"/>
      <c r="Q207" s="120" t="s">
        <v>200</v>
      </c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 t="s">
        <v>200</v>
      </c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s="12" customFormat="1" x14ac:dyDescent="0.25">
      <c r="A208" s="131"/>
      <c r="B208" s="121">
        <v>0.53749999999999998</v>
      </c>
      <c r="C208" s="121">
        <v>0.51690000000000003</v>
      </c>
      <c r="D208" s="121">
        <v>0.65269999999999995</v>
      </c>
      <c r="E208" s="121">
        <v>0.70860000000000001</v>
      </c>
      <c r="F208" s="121">
        <v>0.88239999999999996</v>
      </c>
      <c r="G208" s="121">
        <v>0.5504</v>
      </c>
      <c r="H208" s="121">
        <v>0.73099999999999998</v>
      </c>
      <c r="I208" s="121">
        <v>0.63929999999999998</v>
      </c>
      <c r="J208" s="121">
        <f t="shared" ref="J208" si="55">I208*2</f>
        <v>1.2786</v>
      </c>
      <c r="K208" s="121">
        <f t="shared" ref="K208" si="56">I208*2.5</f>
        <v>1.5982499999999999</v>
      </c>
      <c r="L208" s="121"/>
      <c r="M208" s="121"/>
      <c r="N208" s="121"/>
      <c r="O208" s="121"/>
      <c r="P208" s="121"/>
      <c r="Q208" s="121">
        <v>1.9119999999999999</v>
      </c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>
        <v>0.77600000000000002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</row>
    <row r="209" spans="1:85" s="12" customFormat="1" x14ac:dyDescent="0.25">
      <c r="A209" s="131" t="s">
        <v>28</v>
      </c>
      <c r="B209" s="118" t="s">
        <v>204</v>
      </c>
      <c r="C209" s="118" t="s">
        <v>205</v>
      </c>
      <c r="D209" s="119" t="s">
        <v>206</v>
      </c>
      <c r="E209" s="119" t="s">
        <v>379</v>
      </c>
      <c r="F209" s="119" t="s">
        <v>400</v>
      </c>
      <c r="G209" s="119" t="s">
        <v>208</v>
      </c>
      <c r="H209" s="119" t="s">
        <v>381</v>
      </c>
      <c r="I209" s="119" t="s">
        <v>276</v>
      </c>
      <c r="J209" s="119" t="s">
        <v>211</v>
      </c>
      <c r="K209" s="119" t="s">
        <v>215</v>
      </c>
      <c r="L209" s="119" t="s">
        <v>216</v>
      </c>
      <c r="M209" s="119"/>
      <c r="N209" s="119"/>
      <c r="O209" s="119"/>
      <c r="P209" s="119"/>
      <c r="Q209" s="119" t="s">
        <v>246</v>
      </c>
      <c r="R209" s="119" t="s">
        <v>247</v>
      </c>
      <c r="S209" s="119" t="s">
        <v>248</v>
      </c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 t="s">
        <v>243</v>
      </c>
      <c r="AH209" s="119" t="s">
        <v>333</v>
      </c>
      <c r="AI209" s="119" t="s">
        <v>332</v>
      </c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</row>
    <row r="210" spans="1:85" s="12" customFormat="1" x14ac:dyDescent="0.25">
      <c r="A210" s="131"/>
      <c r="B210" s="120" t="s">
        <v>103</v>
      </c>
      <c r="C210" s="120" t="s">
        <v>103</v>
      </c>
      <c r="D210" s="120" t="s">
        <v>103</v>
      </c>
      <c r="E210" s="120" t="s">
        <v>103</v>
      </c>
      <c r="F210" s="120" t="s">
        <v>103</v>
      </c>
      <c r="G210" s="120" t="s">
        <v>103</v>
      </c>
      <c r="H210" s="120" t="s">
        <v>103</v>
      </c>
      <c r="I210" s="120" t="s">
        <v>103</v>
      </c>
      <c r="J210" s="120" t="s">
        <v>103</v>
      </c>
      <c r="K210" s="120" t="s">
        <v>103</v>
      </c>
      <c r="L210" s="120" t="s">
        <v>103</v>
      </c>
      <c r="M210" s="120"/>
      <c r="N210" s="120"/>
      <c r="O210" s="120"/>
      <c r="P210" s="120"/>
      <c r="Q210" s="120" t="s">
        <v>200</v>
      </c>
      <c r="R210" s="120" t="s">
        <v>200</v>
      </c>
      <c r="S210" s="120" t="s">
        <v>200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 t="s">
        <v>200</v>
      </c>
      <c r="AH210" s="120" t="s">
        <v>200</v>
      </c>
      <c r="AI210" s="120" t="s">
        <v>200</v>
      </c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</row>
    <row r="211" spans="1:85" s="12" customFormat="1" x14ac:dyDescent="0.25">
      <c r="A211" s="131"/>
      <c r="B211" s="121">
        <v>0.41020000000000001</v>
      </c>
      <c r="C211" s="121">
        <v>0.41020000000000001</v>
      </c>
      <c r="D211" s="121">
        <v>0.5444</v>
      </c>
      <c r="E211" s="121">
        <v>0.31480000000000002</v>
      </c>
      <c r="F211" s="121">
        <v>0.34399999999999997</v>
      </c>
      <c r="G211" s="121">
        <v>0.66990000000000005</v>
      </c>
      <c r="H211" s="121">
        <v>0.76800000000000002</v>
      </c>
      <c r="I211" s="121">
        <v>0.86</v>
      </c>
      <c r="J211" s="121">
        <v>0.63929999999999998</v>
      </c>
      <c r="K211" s="121">
        <f>J211*2</f>
        <v>1.2786</v>
      </c>
      <c r="L211" s="121">
        <f>J211*2.5</f>
        <v>1.5982499999999999</v>
      </c>
      <c r="M211" s="121"/>
      <c r="N211" s="121"/>
      <c r="O211" s="121"/>
      <c r="P211" s="121"/>
      <c r="Q211" s="121">
        <v>0.504</v>
      </c>
      <c r="R211" s="121">
        <v>1.68</v>
      </c>
      <c r="S211" s="121">
        <v>0.84</v>
      </c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>
        <v>0.88</v>
      </c>
      <c r="AH211" s="121">
        <v>0.24</v>
      </c>
      <c r="AI211" s="121">
        <v>1.8879999999999999</v>
      </c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</row>
    <row r="212" spans="1:85" s="12" customFormat="1" x14ac:dyDescent="0.25">
      <c r="A212" s="131" t="s">
        <v>27</v>
      </c>
      <c r="B212" s="118" t="s">
        <v>204</v>
      </c>
      <c r="C212" s="118" t="s">
        <v>205</v>
      </c>
      <c r="D212" s="119" t="s">
        <v>206</v>
      </c>
      <c r="E212" s="119" t="s">
        <v>212</v>
      </c>
      <c r="F212" s="119" t="s">
        <v>211</v>
      </c>
      <c r="G212" s="119" t="s">
        <v>215</v>
      </c>
      <c r="H212" s="119" t="s">
        <v>216</v>
      </c>
      <c r="I212" s="119"/>
      <c r="J212" s="118"/>
      <c r="K212" s="118"/>
      <c r="L212" s="119"/>
      <c r="M212" s="119"/>
      <c r="N212" s="119"/>
      <c r="O212" s="119"/>
      <c r="P212" s="119"/>
      <c r="Q212" s="119" t="s">
        <v>249</v>
      </c>
      <c r="R212" s="119" t="s">
        <v>250</v>
      </c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27"/>
      <c r="AG212" s="125" t="s">
        <v>334</v>
      </c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</row>
    <row r="213" spans="1:85" s="12" customFormat="1" x14ac:dyDescent="0.25">
      <c r="A213" s="131"/>
      <c r="B213" s="120" t="s">
        <v>201</v>
      </c>
      <c r="C213" s="120" t="s">
        <v>201</v>
      </c>
      <c r="D213" s="120" t="s">
        <v>201</v>
      </c>
      <c r="E213" s="120" t="s">
        <v>201</v>
      </c>
      <c r="F213" s="120" t="s">
        <v>103</v>
      </c>
      <c r="G213" s="120" t="s">
        <v>103</v>
      </c>
      <c r="H213" s="120" t="s">
        <v>103</v>
      </c>
      <c r="I213" s="120"/>
      <c r="J213" s="120"/>
      <c r="K213" s="120"/>
      <c r="L213" s="120"/>
      <c r="M213" s="120"/>
      <c r="N213" s="120"/>
      <c r="O213" s="120"/>
      <c r="P213" s="120"/>
      <c r="Q213" s="120" t="s">
        <v>200</v>
      </c>
      <c r="R213" s="120" t="s">
        <v>200</v>
      </c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 t="s">
        <v>200</v>
      </c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</row>
    <row r="214" spans="1:85" s="12" customFormat="1" x14ac:dyDescent="0.25">
      <c r="A214" s="131"/>
      <c r="B214" s="121">
        <v>0.72160000000000002</v>
      </c>
      <c r="C214" s="121">
        <v>0.624</v>
      </c>
      <c r="D214" s="121">
        <v>0.8992</v>
      </c>
      <c r="E214" s="121">
        <v>1.5736000000000001</v>
      </c>
      <c r="F214" s="121">
        <v>0.56830000000000003</v>
      </c>
      <c r="G214" s="121">
        <f>F214*2</f>
        <v>1.1366000000000001</v>
      </c>
      <c r="H214" s="121">
        <f>F214*2.5</f>
        <v>1.42075</v>
      </c>
      <c r="I214" s="121"/>
      <c r="J214" s="121"/>
      <c r="K214" s="121"/>
      <c r="L214" s="121"/>
      <c r="M214" s="121"/>
      <c r="N214" s="121"/>
      <c r="O214" s="121"/>
      <c r="P214" s="121"/>
      <c r="Q214" s="121">
        <v>0.95199999999999996</v>
      </c>
      <c r="R214" s="121">
        <v>0.32800000000000001</v>
      </c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>
        <v>0.4264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</row>
    <row r="215" spans="1:85" s="12" customFormat="1" x14ac:dyDescent="0.25">
      <c r="A215" s="131" t="s">
        <v>26</v>
      </c>
      <c r="B215" s="118" t="s">
        <v>204</v>
      </c>
      <c r="C215" s="118" t="s">
        <v>205</v>
      </c>
      <c r="D215" s="119" t="s">
        <v>206</v>
      </c>
      <c r="E215" s="119" t="s">
        <v>207</v>
      </c>
      <c r="F215" s="119" t="s">
        <v>212</v>
      </c>
      <c r="G215" s="119" t="s">
        <v>211</v>
      </c>
      <c r="H215" s="119" t="s">
        <v>215</v>
      </c>
      <c r="I215" s="119" t="s">
        <v>216</v>
      </c>
      <c r="J215" s="118"/>
      <c r="K215" s="118"/>
      <c r="L215" s="119"/>
      <c r="M215" s="119"/>
      <c r="N215" s="119"/>
      <c r="O215" s="119"/>
      <c r="P215" s="119"/>
      <c r="Q215" s="119" t="s">
        <v>238</v>
      </c>
      <c r="R215" s="119" t="s">
        <v>251</v>
      </c>
      <c r="S215" s="119" t="s">
        <v>252</v>
      </c>
      <c r="T215" s="119" t="s">
        <v>253</v>
      </c>
      <c r="U215" s="119" t="s">
        <v>254</v>
      </c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 t="s">
        <v>335</v>
      </c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</row>
    <row r="216" spans="1:85" s="12" customFormat="1" x14ac:dyDescent="0.25">
      <c r="A216" s="131"/>
      <c r="B216" s="120" t="s">
        <v>201</v>
      </c>
      <c r="C216" s="120" t="s">
        <v>201</v>
      </c>
      <c r="D216" s="120" t="s">
        <v>201</v>
      </c>
      <c r="E216" s="120" t="s">
        <v>201</v>
      </c>
      <c r="F216" s="120" t="s">
        <v>201</v>
      </c>
      <c r="G216" s="120" t="s">
        <v>103</v>
      </c>
      <c r="H216" s="120" t="s">
        <v>103</v>
      </c>
      <c r="I216" s="120" t="s">
        <v>103</v>
      </c>
      <c r="J216" s="120"/>
      <c r="K216" s="120"/>
      <c r="L216" s="120"/>
      <c r="M216" s="120"/>
      <c r="N216" s="120"/>
      <c r="O216" s="120"/>
      <c r="P216" s="120"/>
      <c r="Q216" s="120" t="s">
        <v>200</v>
      </c>
      <c r="R216" s="120" t="s">
        <v>200</v>
      </c>
      <c r="S216" s="120" t="s">
        <v>200</v>
      </c>
      <c r="T216" s="120" t="s">
        <v>200</v>
      </c>
      <c r="U216" s="120" t="s">
        <v>200</v>
      </c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 t="s">
        <v>200</v>
      </c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</row>
    <row r="217" spans="1:85" s="12" customFormat="1" x14ac:dyDescent="0.25">
      <c r="A217" s="131"/>
      <c r="B217" s="121">
        <v>0.39600000000000002</v>
      </c>
      <c r="C217" s="121">
        <v>0.35920000000000002</v>
      </c>
      <c r="D217" s="121">
        <v>0.42799999999999999</v>
      </c>
      <c r="E217" s="121">
        <v>0.54959999999999998</v>
      </c>
      <c r="F217" s="121">
        <v>1.7712000000000001</v>
      </c>
      <c r="G217" s="121">
        <v>0.56830000000000003</v>
      </c>
      <c r="H217" s="121">
        <f>G217*2</f>
        <v>1.1366000000000001</v>
      </c>
      <c r="I217" s="121">
        <f>G217*2.5</f>
        <v>1.42075</v>
      </c>
      <c r="J217" s="121"/>
      <c r="K217" s="121"/>
      <c r="L217" s="121"/>
      <c r="M217" s="121"/>
      <c r="N217" s="121"/>
      <c r="O217" s="121"/>
      <c r="P217" s="121"/>
      <c r="Q217" s="121">
        <v>0.8</v>
      </c>
      <c r="R217" s="121">
        <v>3.2</v>
      </c>
      <c r="S217" s="121">
        <v>3.68</v>
      </c>
      <c r="T217" s="121">
        <v>4.24</v>
      </c>
      <c r="U217" s="121">
        <v>4.8719999999999999</v>
      </c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>
        <v>0.36559999999999998</v>
      </c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</row>
    <row r="218" spans="1:85" s="12" customFormat="1" x14ac:dyDescent="0.25">
      <c r="A218" s="131" t="s">
        <v>25</v>
      </c>
      <c r="B218" s="118" t="s">
        <v>204</v>
      </c>
      <c r="C218" s="118" t="s">
        <v>205</v>
      </c>
      <c r="D218" s="119" t="s">
        <v>206</v>
      </c>
      <c r="E218" s="119" t="s">
        <v>207</v>
      </c>
      <c r="F218" s="119" t="s">
        <v>212</v>
      </c>
      <c r="G218" s="119" t="s">
        <v>211</v>
      </c>
      <c r="H218" s="119" t="s">
        <v>215</v>
      </c>
      <c r="I218" s="119" t="s">
        <v>216</v>
      </c>
      <c r="J218" s="118"/>
      <c r="K218" s="118"/>
      <c r="L218" s="119"/>
      <c r="M218" s="119"/>
      <c r="N218" s="119"/>
      <c r="O218" s="119"/>
      <c r="P218" s="119"/>
      <c r="Q218" s="119" t="s">
        <v>255</v>
      </c>
      <c r="R218" s="119" t="s">
        <v>229</v>
      </c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 t="s">
        <v>336</v>
      </c>
      <c r="AH218" s="119" t="s">
        <v>337</v>
      </c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</row>
    <row r="219" spans="1:85" s="117" customFormat="1" x14ac:dyDescent="0.25">
      <c r="A219" s="131"/>
      <c r="B219" s="120" t="s">
        <v>200</v>
      </c>
      <c r="C219" s="120" t="s">
        <v>200</v>
      </c>
      <c r="D219" s="120" t="s">
        <v>200</v>
      </c>
      <c r="E219" s="120" t="s">
        <v>200</v>
      </c>
      <c r="F219" s="120" t="s">
        <v>201</v>
      </c>
      <c r="G219" s="120" t="s">
        <v>103</v>
      </c>
      <c r="H219" s="120" t="s">
        <v>103</v>
      </c>
      <c r="I219" s="120" t="s">
        <v>103</v>
      </c>
      <c r="J219" s="120"/>
      <c r="K219" s="120"/>
      <c r="L219" s="120"/>
      <c r="M219" s="120"/>
      <c r="N219" s="120"/>
      <c r="O219" s="120"/>
      <c r="P219" s="120"/>
      <c r="Q219" s="120" t="s">
        <v>200</v>
      </c>
      <c r="R219" s="120" t="s">
        <v>200</v>
      </c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 t="s">
        <v>200</v>
      </c>
      <c r="AH219" s="120" t="s">
        <v>200</v>
      </c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</row>
    <row r="220" spans="1:85" s="12" customFormat="1" x14ac:dyDescent="0.25">
      <c r="A220" s="131"/>
      <c r="B220" s="121">
        <v>0.376</v>
      </c>
      <c r="C220" s="121">
        <v>0.36</v>
      </c>
      <c r="D220" s="121">
        <v>0.44800000000000001</v>
      </c>
      <c r="E220" s="121">
        <v>0.56159999999999999</v>
      </c>
      <c r="F220" s="121">
        <v>1.4972000000000001</v>
      </c>
      <c r="G220" s="121">
        <v>0.56830000000000003</v>
      </c>
      <c r="H220" s="121">
        <f>G220*2</f>
        <v>1.1366000000000001</v>
      </c>
      <c r="I220" s="121">
        <f>G220*2.5</f>
        <v>1.42075</v>
      </c>
      <c r="J220" s="121"/>
      <c r="K220" s="121"/>
      <c r="L220" s="121"/>
      <c r="M220" s="121"/>
      <c r="N220" s="121"/>
      <c r="O220" s="121"/>
      <c r="P220" s="121"/>
      <c r="Q220" s="121">
        <v>0.32</v>
      </c>
      <c r="R220" s="121">
        <v>1.3280000000000001</v>
      </c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>
        <v>4.4240000000000004</v>
      </c>
      <c r="AH220" s="121">
        <v>0.42</v>
      </c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</row>
    <row r="221" spans="1:85" s="12" customFormat="1" x14ac:dyDescent="0.25">
      <c r="A221" s="131" t="s">
        <v>24</v>
      </c>
      <c r="B221" s="118" t="s">
        <v>217</v>
      </c>
      <c r="C221" s="118" t="s">
        <v>212</v>
      </c>
      <c r="D221" s="118" t="s">
        <v>218</v>
      </c>
      <c r="E221" s="119" t="s">
        <v>211</v>
      </c>
      <c r="F221" s="119" t="s">
        <v>215</v>
      </c>
      <c r="G221" s="119" t="s">
        <v>216</v>
      </c>
      <c r="H221" s="119"/>
      <c r="I221" s="119"/>
      <c r="J221" s="118"/>
      <c r="K221" s="118"/>
      <c r="L221" s="119"/>
      <c r="M221" s="119"/>
      <c r="N221" s="119"/>
      <c r="O221" s="119"/>
      <c r="P221" s="119"/>
      <c r="Q221" s="119" t="s">
        <v>228</v>
      </c>
      <c r="R221" s="119" t="s">
        <v>243</v>
      </c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 t="s">
        <v>338</v>
      </c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</row>
    <row r="222" spans="1:85" s="117" customFormat="1" x14ac:dyDescent="0.25">
      <c r="A222" s="131"/>
      <c r="B222" s="120" t="s">
        <v>201</v>
      </c>
      <c r="C222" s="120" t="s">
        <v>201</v>
      </c>
      <c r="D222" s="120" t="s">
        <v>201</v>
      </c>
      <c r="E222" s="120" t="s">
        <v>103</v>
      </c>
      <c r="F222" s="120" t="s">
        <v>103</v>
      </c>
      <c r="G222" s="120" t="s">
        <v>103</v>
      </c>
      <c r="H222" s="120"/>
      <c r="I222" s="120"/>
      <c r="J222" s="120"/>
      <c r="K222" s="120"/>
      <c r="L222" s="120"/>
      <c r="M222" s="120"/>
      <c r="N222" s="120"/>
      <c r="O222" s="120"/>
      <c r="P222" s="120"/>
      <c r="Q222" s="120" t="s">
        <v>200</v>
      </c>
      <c r="R222" s="120" t="s">
        <v>200</v>
      </c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 t="s">
        <v>200</v>
      </c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</row>
    <row r="223" spans="1:85" s="12" customFormat="1" x14ac:dyDescent="0.25">
      <c r="A223" s="131"/>
      <c r="B223" s="121">
        <v>0.28000000000000003</v>
      </c>
      <c r="C223" s="121">
        <v>1.7407999999999999</v>
      </c>
      <c r="D223" s="121">
        <v>0.496</v>
      </c>
      <c r="E223" s="121">
        <v>0.56830000000000003</v>
      </c>
      <c r="F223" s="121">
        <f>E223*2</f>
        <v>1.1366000000000001</v>
      </c>
      <c r="G223" s="121">
        <f>E223*2.5</f>
        <v>1.42075</v>
      </c>
      <c r="H223" s="121"/>
      <c r="I223" s="121"/>
      <c r="J223" s="121"/>
      <c r="K223" s="121"/>
      <c r="L223" s="121"/>
      <c r="M223" s="121"/>
      <c r="N223" s="121"/>
      <c r="O223" s="121"/>
      <c r="P223" s="121"/>
      <c r="Q223" s="121">
        <v>0.501</v>
      </c>
      <c r="R223" s="121">
        <v>2.3039999999999998</v>
      </c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>
        <v>0.86960000000000004</v>
      </c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</row>
    <row r="224" spans="1:85" s="12" customFormat="1" x14ac:dyDescent="0.25">
      <c r="A224" s="131" t="s">
        <v>23</v>
      </c>
      <c r="B224" s="118" t="s">
        <v>204</v>
      </c>
      <c r="C224" s="118" t="s">
        <v>205</v>
      </c>
      <c r="D224" s="119" t="s">
        <v>206</v>
      </c>
      <c r="E224" s="119" t="s">
        <v>207</v>
      </c>
      <c r="F224" s="119" t="s">
        <v>213</v>
      </c>
      <c r="G224" s="119" t="s">
        <v>214</v>
      </c>
      <c r="H224" s="119" t="s">
        <v>211</v>
      </c>
      <c r="I224" s="119" t="s">
        <v>215</v>
      </c>
      <c r="J224" s="118" t="s">
        <v>216</v>
      </c>
      <c r="K224" s="118"/>
      <c r="L224" s="119"/>
      <c r="M224" s="119"/>
      <c r="N224" s="119"/>
      <c r="O224" s="119"/>
      <c r="P224" s="119"/>
      <c r="Q224" s="119" t="s">
        <v>243</v>
      </c>
      <c r="R224" s="119" t="s">
        <v>256</v>
      </c>
      <c r="S224" s="119" t="s">
        <v>258</v>
      </c>
      <c r="T224" s="119" t="s">
        <v>257</v>
      </c>
      <c r="U224" s="119" t="s">
        <v>259</v>
      </c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 t="s">
        <v>339</v>
      </c>
      <c r="AH224" s="119" t="s">
        <v>243</v>
      </c>
      <c r="AI224" s="119" t="s">
        <v>340</v>
      </c>
      <c r="AJ224" s="119"/>
      <c r="AK224" s="119"/>
      <c r="AL224" s="119"/>
      <c r="AM224" s="119"/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/>
    </row>
    <row r="225" spans="1:53" s="117" customFormat="1" x14ac:dyDescent="0.25">
      <c r="A225" s="131"/>
      <c r="B225" s="120" t="s">
        <v>103</v>
      </c>
      <c r="C225" s="120" t="s">
        <v>103</v>
      </c>
      <c r="D225" s="120" t="s">
        <v>103</v>
      </c>
      <c r="E225" s="120" t="s">
        <v>103</v>
      </c>
      <c r="F225" s="120" t="s">
        <v>103</v>
      </c>
      <c r="G225" s="120" t="s">
        <v>103</v>
      </c>
      <c r="H225" s="120" t="s">
        <v>103</v>
      </c>
      <c r="I225" s="120" t="s">
        <v>103</v>
      </c>
      <c r="J225" s="120" t="s">
        <v>103</v>
      </c>
      <c r="K225" s="120"/>
      <c r="L225" s="120"/>
      <c r="M225" s="120"/>
      <c r="N225" s="120"/>
      <c r="O225" s="120"/>
      <c r="P225" s="120"/>
      <c r="Q225" s="120" t="s">
        <v>200</v>
      </c>
      <c r="R225" s="120" t="s">
        <v>200</v>
      </c>
      <c r="S225" s="120" t="s">
        <v>86</v>
      </c>
      <c r="T225" s="120" t="s">
        <v>200</v>
      </c>
      <c r="U225" s="120" t="s">
        <v>86</v>
      </c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 t="s">
        <v>200</v>
      </c>
      <c r="AH225" s="120" t="s">
        <v>200</v>
      </c>
      <c r="AI225" s="120" t="s">
        <v>200</v>
      </c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</row>
    <row r="226" spans="1:53" s="12" customFormat="1" x14ac:dyDescent="0.25">
      <c r="A226" s="131"/>
      <c r="B226" s="121">
        <v>0.79120000000000001</v>
      </c>
      <c r="C226" s="121">
        <v>0.73360000000000003</v>
      </c>
      <c r="D226" s="121">
        <v>0.86260000000000003</v>
      </c>
      <c r="E226" s="121">
        <v>1.1343000000000001</v>
      </c>
      <c r="F226" s="121">
        <v>0.50739999999999996</v>
      </c>
      <c r="G226" s="121">
        <v>0.90469999999999995</v>
      </c>
      <c r="H226" s="121">
        <v>0.74590000000000001</v>
      </c>
      <c r="I226" s="121">
        <f>H226*2</f>
        <v>1.4918</v>
      </c>
      <c r="J226" s="121">
        <f>H226*2.5</f>
        <v>1.8647499999999999</v>
      </c>
      <c r="K226" s="121"/>
      <c r="L226" s="121"/>
      <c r="M226" s="121"/>
      <c r="N226" s="121"/>
      <c r="O226" s="121"/>
      <c r="P226" s="121"/>
      <c r="Q226" s="121">
        <v>1.2</v>
      </c>
      <c r="R226" s="121">
        <v>1.6</v>
      </c>
      <c r="S226" s="126">
        <v>770</v>
      </c>
      <c r="T226" s="121">
        <v>0.21279999999999999</v>
      </c>
      <c r="U226" s="126">
        <v>103</v>
      </c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>
        <v>0.67200000000000004</v>
      </c>
      <c r="AH226" s="121">
        <v>0.92800000000000005</v>
      </c>
      <c r="AI226" s="121">
        <v>0.4</v>
      </c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</row>
    <row r="227" spans="1:53" s="12" customFormat="1" x14ac:dyDescent="0.25">
      <c r="A227" s="131" t="s">
        <v>21</v>
      </c>
      <c r="B227" s="132" t="s">
        <v>204</v>
      </c>
      <c r="C227" s="132" t="s">
        <v>205</v>
      </c>
      <c r="D227" s="119" t="s">
        <v>392</v>
      </c>
      <c r="E227" s="119" t="s">
        <v>378</v>
      </c>
      <c r="F227" s="119" t="s">
        <v>208</v>
      </c>
      <c r="G227" s="119" t="s">
        <v>430</v>
      </c>
      <c r="H227" s="119" t="s">
        <v>211</v>
      </c>
      <c r="I227" s="119" t="s">
        <v>215</v>
      </c>
      <c r="J227" s="119" t="s">
        <v>211</v>
      </c>
      <c r="K227" s="119" t="s">
        <v>215</v>
      </c>
      <c r="L227" s="118" t="s">
        <v>216</v>
      </c>
      <c r="M227" s="119"/>
      <c r="N227" s="119"/>
      <c r="O227" s="119"/>
      <c r="P227" s="119"/>
      <c r="Q227" s="119" t="s">
        <v>243</v>
      </c>
      <c r="R227" s="119" t="s">
        <v>260</v>
      </c>
      <c r="S227" s="119" t="s">
        <v>262</v>
      </c>
      <c r="T227" s="119" t="s">
        <v>231</v>
      </c>
      <c r="U227" s="119" t="s">
        <v>237</v>
      </c>
      <c r="V227" s="119" t="s">
        <v>261</v>
      </c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 t="s">
        <v>243</v>
      </c>
      <c r="AH227" s="119" t="s">
        <v>257</v>
      </c>
      <c r="AI227" s="119" t="s">
        <v>259</v>
      </c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</row>
    <row r="228" spans="1:53" s="117" customFormat="1" x14ac:dyDescent="0.25">
      <c r="A228" s="131"/>
      <c r="B228" s="120" t="s">
        <v>103</v>
      </c>
      <c r="C228" s="120" t="s">
        <v>103</v>
      </c>
      <c r="D228" s="120" t="s">
        <v>103</v>
      </c>
      <c r="E228" s="120" t="s">
        <v>103</v>
      </c>
      <c r="F228" s="120" t="s">
        <v>103</v>
      </c>
      <c r="G228" s="120" t="s">
        <v>103</v>
      </c>
      <c r="H228" s="120" t="s">
        <v>103</v>
      </c>
      <c r="I228" s="120" t="s">
        <v>103</v>
      </c>
      <c r="J228" s="120" t="s">
        <v>103</v>
      </c>
      <c r="K228" s="120" t="s">
        <v>103</v>
      </c>
      <c r="L228" s="120" t="s">
        <v>103</v>
      </c>
      <c r="M228" s="120"/>
      <c r="N228" s="120"/>
      <c r="O228" s="120"/>
      <c r="P228" s="120"/>
      <c r="Q228" s="120" t="s">
        <v>200</v>
      </c>
      <c r="R228" s="120" t="s">
        <v>200</v>
      </c>
      <c r="S228" s="120" t="s">
        <v>86</v>
      </c>
      <c r="T228" s="120" t="s">
        <v>200</v>
      </c>
      <c r="U228" s="120" t="s">
        <v>86</v>
      </c>
      <c r="V228" s="120" t="s">
        <v>200</v>
      </c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 t="s">
        <v>200</v>
      </c>
      <c r="AH228" s="120" t="s">
        <v>200</v>
      </c>
      <c r="AI228" s="120" t="s">
        <v>86</v>
      </c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</row>
    <row r="229" spans="1:53" s="12" customFormat="1" x14ac:dyDescent="0.25">
      <c r="A229" s="131"/>
      <c r="B229" s="121">
        <v>0.3775</v>
      </c>
      <c r="C229" s="121">
        <v>0.38869999999999999</v>
      </c>
      <c r="D229" s="121">
        <v>0.2417</v>
      </c>
      <c r="E229" s="121">
        <v>0.24679999999999999</v>
      </c>
      <c r="F229" s="121">
        <v>0.63039999999999996</v>
      </c>
      <c r="G229" s="121">
        <v>0.64329999999999998</v>
      </c>
      <c r="H229" s="121">
        <v>0.63929999999999998</v>
      </c>
      <c r="I229" s="121">
        <f>H229*2</f>
        <v>1.2786</v>
      </c>
      <c r="J229" s="121">
        <f>H229*2.5</f>
        <v>1.5982499999999999</v>
      </c>
      <c r="K229" s="121"/>
      <c r="L229" s="121"/>
      <c r="M229" s="121"/>
      <c r="N229" s="121"/>
      <c r="O229" s="121"/>
      <c r="P229" s="121"/>
      <c r="Q229" s="121">
        <v>0.96</v>
      </c>
      <c r="R229" s="121">
        <v>0.1056</v>
      </c>
      <c r="S229" s="126">
        <v>67</v>
      </c>
      <c r="T229" s="121">
        <v>0.69599999999999995</v>
      </c>
      <c r="U229" s="126">
        <v>451</v>
      </c>
      <c r="V229" s="121">
        <v>0.36</v>
      </c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>
        <v>2.8479999999999999</v>
      </c>
      <c r="AH229" s="121">
        <v>0.9</v>
      </c>
      <c r="AI229" s="121">
        <v>577</v>
      </c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</row>
    <row r="230" spans="1:53" s="12" customFormat="1" x14ac:dyDescent="0.25">
      <c r="A230" s="131" t="s">
        <v>19</v>
      </c>
      <c r="B230" s="118" t="s">
        <v>204</v>
      </c>
      <c r="C230" s="118" t="s">
        <v>205</v>
      </c>
      <c r="D230" s="119" t="s">
        <v>206</v>
      </c>
      <c r="E230" s="119" t="s">
        <v>207</v>
      </c>
      <c r="F230" s="119" t="s">
        <v>213</v>
      </c>
      <c r="G230" s="119" t="s">
        <v>214</v>
      </c>
      <c r="H230" s="119" t="s">
        <v>211</v>
      </c>
      <c r="I230" s="119" t="s">
        <v>215</v>
      </c>
      <c r="J230" s="118" t="s">
        <v>216</v>
      </c>
      <c r="K230" s="118"/>
      <c r="L230" s="119"/>
      <c r="M230" s="119"/>
      <c r="N230" s="119"/>
      <c r="O230" s="119"/>
      <c r="P230" s="119"/>
      <c r="Q230" s="119" t="s">
        <v>263</v>
      </c>
      <c r="R230" s="119" t="s">
        <v>264</v>
      </c>
      <c r="S230" s="132" t="s">
        <v>298</v>
      </c>
      <c r="T230" s="132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 t="s">
        <v>328</v>
      </c>
      <c r="AH230" s="119" t="s">
        <v>341</v>
      </c>
      <c r="AI230" s="119" t="s">
        <v>342</v>
      </c>
      <c r="AJ230" s="119" t="s">
        <v>343</v>
      </c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</row>
    <row r="231" spans="1:53" s="12" customFormat="1" x14ac:dyDescent="0.25">
      <c r="A231" s="131"/>
      <c r="B231" s="120" t="s">
        <v>199</v>
      </c>
      <c r="C231" s="120" t="s">
        <v>199</v>
      </c>
      <c r="D231" s="120" t="s">
        <v>199</v>
      </c>
      <c r="E231" s="120" t="s">
        <v>199</v>
      </c>
      <c r="F231" s="120" t="s">
        <v>199</v>
      </c>
      <c r="G231" s="120" t="s">
        <v>199</v>
      </c>
      <c r="H231" s="120" t="s">
        <v>103</v>
      </c>
      <c r="I231" s="120" t="s">
        <v>103</v>
      </c>
      <c r="J231" s="120" t="s">
        <v>103</v>
      </c>
      <c r="K231" s="120"/>
      <c r="L231" s="120"/>
      <c r="M231" s="120"/>
      <c r="N231" s="120"/>
      <c r="O231" s="120"/>
      <c r="P231" s="120"/>
      <c r="Q231" s="120" t="s">
        <v>200</v>
      </c>
      <c r="R231" s="120" t="s">
        <v>200</v>
      </c>
      <c r="S231" s="120" t="s">
        <v>296</v>
      </c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 t="s">
        <v>200</v>
      </c>
      <c r="AH231" s="120" t="s">
        <v>200</v>
      </c>
      <c r="AI231" s="120" t="s">
        <v>19</v>
      </c>
      <c r="AJ231" s="120" t="s">
        <v>296</v>
      </c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</row>
    <row r="232" spans="1:53" s="12" customFormat="1" x14ac:dyDescent="0.25">
      <c r="A232" s="131"/>
      <c r="B232" s="121">
        <v>0.95920000000000005</v>
      </c>
      <c r="C232" s="121">
        <v>0.82630000000000003</v>
      </c>
      <c r="D232" s="121">
        <v>1.0330999999999999</v>
      </c>
      <c r="E232" s="121">
        <v>1.3605</v>
      </c>
      <c r="F232" s="121">
        <v>0.62539999999999996</v>
      </c>
      <c r="G232" s="121">
        <v>1.1309</v>
      </c>
      <c r="H232" s="121">
        <v>0.82050000000000001</v>
      </c>
      <c r="I232" s="121">
        <f>H232*2</f>
        <v>1.641</v>
      </c>
      <c r="J232" s="121">
        <f>H232*2.5</f>
        <v>2.05125</v>
      </c>
      <c r="K232" s="121"/>
      <c r="L232" s="121"/>
      <c r="M232" s="121"/>
      <c r="N232" s="121"/>
      <c r="O232" s="121"/>
      <c r="P232" s="121"/>
      <c r="Q232" s="121">
        <v>1.992</v>
      </c>
      <c r="R232" s="121">
        <v>2.952</v>
      </c>
      <c r="S232" s="121">
        <v>0.2</v>
      </c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>
        <v>1.6</v>
      </c>
      <c r="AH232" s="121">
        <v>0.24</v>
      </c>
      <c r="AI232" s="121">
        <v>0.26</v>
      </c>
      <c r="AJ232" s="121">
        <v>0.8</v>
      </c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</row>
    <row r="233" spans="1:53" s="12" customFormat="1" x14ac:dyDescent="0.25">
      <c r="A233" s="131" t="s">
        <v>17</v>
      </c>
      <c r="B233" s="118" t="s">
        <v>204</v>
      </c>
      <c r="C233" s="118" t="s">
        <v>205</v>
      </c>
      <c r="D233" s="119" t="s">
        <v>392</v>
      </c>
      <c r="E233" s="119" t="s">
        <v>207</v>
      </c>
      <c r="F233" s="119" t="s">
        <v>398</v>
      </c>
      <c r="G233" s="119" t="s">
        <v>399</v>
      </c>
      <c r="H233" s="119" t="s">
        <v>212</v>
      </c>
      <c r="I233" s="119" t="s">
        <v>211</v>
      </c>
      <c r="J233" s="119" t="s">
        <v>215</v>
      </c>
      <c r="K233" s="118" t="s">
        <v>216</v>
      </c>
      <c r="L233" s="119"/>
      <c r="M233" s="119"/>
      <c r="N233" s="119"/>
      <c r="O233" s="119"/>
      <c r="P233" s="119"/>
      <c r="Q233" s="119" t="s">
        <v>268</v>
      </c>
      <c r="R233" s="119" t="s">
        <v>269</v>
      </c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 t="s">
        <v>268</v>
      </c>
      <c r="AH233" s="119" t="s">
        <v>269</v>
      </c>
      <c r="AI233" s="119" t="s">
        <v>359</v>
      </c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</row>
    <row r="234" spans="1:53" s="12" customFormat="1" x14ac:dyDescent="0.25">
      <c r="A234" s="131"/>
      <c r="B234" s="120" t="s">
        <v>103</v>
      </c>
      <c r="C234" s="120" t="s">
        <v>103</v>
      </c>
      <c r="D234" s="120" t="s">
        <v>103</v>
      </c>
      <c r="E234" s="120" t="s">
        <v>103</v>
      </c>
      <c r="F234" s="120" t="s">
        <v>103</v>
      </c>
      <c r="G234" s="120" t="s">
        <v>103</v>
      </c>
      <c r="H234" s="120" t="s">
        <v>103</v>
      </c>
      <c r="I234" s="120" t="s">
        <v>103</v>
      </c>
      <c r="J234" s="120" t="s">
        <v>103</v>
      </c>
      <c r="K234" s="120" t="s">
        <v>103</v>
      </c>
      <c r="L234" s="120"/>
      <c r="M234" s="120"/>
      <c r="N234" s="120"/>
      <c r="O234" s="120"/>
      <c r="P234" s="120"/>
      <c r="Q234" s="120" t="s">
        <v>200</v>
      </c>
      <c r="R234" s="120" t="s">
        <v>200</v>
      </c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 t="s">
        <v>200</v>
      </c>
      <c r="AH234" s="120" t="s">
        <v>200</v>
      </c>
      <c r="AI234" s="120" t="s">
        <v>200</v>
      </c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</row>
    <row r="235" spans="1:53" s="12" customFormat="1" x14ac:dyDescent="0.25">
      <c r="A235" s="131"/>
      <c r="B235" s="121">
        <v>0.52459999999999996</v>
      </c>
      <c r="C235" s="121">
        <v>0.51600000000000001</v>
      </c>
      <c r="D235" s="121">
        <v>0.31819999999999998</v>
      </c>
      <c r="E235" s="121">
        <v>0.6966</v>
      </c>
      <c r="F235" s="121">
        <v>0.41620000000000001</v>
      </c>
      <c r="G235" s="121">
        <v>0.43</v>
      </c>
      <c r="H235" s="121">
        <v>1.3673999999999999</v>
      </c>
      <c r="I235" s="121">
        <v>0.63929999999999998</v>
      </c>
      <c r="J235" s="121">
        <f>I235*2</f>
        <v>1.2786</v>
      </c>
      <c r="K235" s="121">
        <f>I235*2.5</f>
        <v>1.5982499999999999</v>
      </c>
      <c r="L235" s="121"/>
      <c r="M235" s="121"/>
      <c r="N235" s="121"/>
      <c r="O235" s="121"/>
      <c r="P235" s="121"/>
      <c r="Q235" s="121">
        <v>0.58399999999999996</v>
      </c>
      <c r="R235" s="121">
        <v>1.36</v>
      </c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>
        <v>1.04</v>
      </c>
      <c r="AH235" s="121">
        <v>1.52</v>
      </c>
      <c r="AI235" s="121">
        <v>1.32</v>
      </c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</row>
    <row r="236" spans="1:53" s="12" customFormat="1" x14ac:dyDescent="0.25">
      <c r="A236" s="131" t="s">
        <v>16</v>
      </c>
      <c r="B236" s="118" t="s">
        <v>204</v>
      </c>
      <c r="C236" s="118" t="s">
        <v>205</v>
      </c>
      <c r="D236" s="119" t="s">
        <v>206</v>
      </c>
      <c r="E236" s="119" t="s">
        <v>207</v>
      </c>
      <c r="F236" s="119" t="s">
        <v>212</v>
      </c>
      <c r="G236" s="119" t="s">
        <v>211</v>
      </c>
      <c r="H236" s="119" t="s">
        <v>215</v>
      </c>
      <c r="I236" s="118" t="s">
        <v>216</v>
      </c>
      <c r="J236" s="118"/>
      <c r="K236" s="118"/>
      <c r="L236" s="119"/>
      <c r="M236" s="119"/>
      <c r="N236" s="119"/>
      <c r="O236" s="119"/>
      <c r="P236" s="119"/>
      <c r="Q236" s="119" t="s">
        <v>243</v>
      </c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 t="s">
        <v>255</v>
      </c>
      <c r="AH236" s="119" t="s">
        <v>344</v>
      </c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</row>
    <row r="237" spans="1:53" s="12" customFormat="1" x14ac:dyDescent="0.25">
      <c r="A237" s="131"/>
      <c r="B237" s="120" t="s">
        <v>200</v>
      </c>
      <c r="C237" s="120" t="s">
        <v>200</v>
      </c>
      <c r="D237" s="120" t="s">
        <v>200</v>
      </c>
      <c r="E237" s="120" t="s">
        <v>200</v>
      </c>
      <c r="F237" s="120" t="s">
        <v>200</v>
      </c>
      <c r="G237" s="120" t="s">
        <v>103</v>
      </c>
      <c r="H237" s="120" t="s">
        <v>103</v>
      </c>
      <c r="I237" s="120" t="s">
        <v>103</v>
      </c>
      <c r="J237" s="120"/>
      <c r="K237" s="120"/>
      <c r="L237" s="120"/>
      <c r="M237" s="120"/>
      <c r="N237" s="120"/>
      <c r="O237" s="120"/>
      <c r="P237" s="120"/>
      <c r="Q237" s="120" t="s">
        <v>200</v>
      </c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 t="s">
        <v>200</v>
      </c>
      <c r="AH237" s="120" t="s">
        <v>200</v>
      </c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</row>
    <row r="238" spans="1:53" s="12" customFormat="1" x14ac:dyDescent="0.25">
      <c r="A238" s="131"/>
      <c r="B238" s="121">
        <v>0.33460000000000001</v>
      </c>
      <c r="C238" s="121">
        <v>0.30620000000000003</v>
      </c>
      <c r="D238" s="121">
        <v>0.38450000000000001</v>
      </c>
      <c r="E238" s="121">
        <v>0.47920000000000001</v>
      </c>
      <c r="F238" s="121">
        <v>1.2016</v>
      </c>
      <c r="G238" s="121">
        <v>0.56830000000000003</v>
      </c>
      <c r="H238" s="121">
        <f>G238*2</f>
        <v>1.1366000000000001</v>
      </c>
      <c r="I238" s="121">
        <f>G238*2.5</f>
        <v>1.42075</v>
      </c>
      <c r="J238" s="121"/>
      <c r="K238" s="121"/>
      <c r="L238" s="121"/>
      <c r="M238" s="121"/>
      <c r="N238" s="121"/>
      <c r="O238" s="121"/>
      <c r="P238" s="121"/>
      <c r="Q238" s="121">
        <v>2.2120000000000002</v>
      </c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>
        <v>1.48</v>
      </c>
      <c r="AH238" s="121">
        <v>0.44</v>
      </c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</row>
    <row r="239" spans="1:53" s="12" customFormat="1" x14ac:dyDescent="0.25">
      <c r="A239" s="131" t="s">
        <v>15</v>
      </c>
      <c r="B239" s="118" t="s">
        <v>204</v>
      </c>
      <c r="C239" s="118" t="s">
        <v>205</v>
      </c>
      <c r="D239" s="119" t="s">
        <v>206</v>
      </c>
      <c r="E239" s="119" t="s">
        <v>207</v>
      </c>
      <c r="F239" s="119" t="s">
        <v>208</v>
      </c>
      <c r="G239" s="119" t="s">
        <v>219</v>
      </c>
      <c r="H239" s="119" t="s">
        <v>209</v>
      </c>
      <c r="I239" s="119" t="s">
        <v>210</v>
      </c>
      <c r="J239" s="118" t="s">
        <v>220</v>
      </c>
      <c r="K239" s="118" t="s">
        <v>221</v>
      </c>
      <c r="L239" s="118" t="s">
        <v>211</v>
      </c>
      <c r="M239" s="118" t="s">
        <v>215</v>
      </c>
      <c r="N239" s="118" t="s">
        <v>216</v>
      </c>
      <c r="O239" s="119"/>
      <c r="P239" s="119"/>
      <c r="Q239" s="119" t="s">
        <v>272</v>
      </c>
      <c r="R239" s="119" t="s">
        <v>204</v>
      </c>
      <c r="S239" s="119" t="s">
        <v>205</v>
      </c>
      <c r="T239" s="119" t="s">
        <v>206</v>
      </c>
      <c r="U239" s="119" t="s">
        <v>207</v>
      </c>
      <c r="V239" s="119" t="s">
        <v>208</v>
      </c>
      <c r="W239" s="119" t="s">
        <v>275</v>
      </c>
      <c r="X239" s="119" t="s">
        <v>274</v>
      </c>
      <c r="Y239" s="119" t="s">
        <v>212</v>
      </c>
      <c r="Z239" s="119" t="s">
        <v>276</v>
      </c>
      <c r="AA239" s="119" t="s">
        <v>273</v>
      </c>
      <c r="AB239" s="119"/>
      <c r="AC239" s="119"/>
      <c r="AD239" s="119"/>
      <c r="AE239" s="119"/>
      <c r="AF239" s="119"/>
      <c r="AG239" s="119" t="s">
        <v>351</v>
      </c>
      <c r="AH239" s="119" t="s">
        <v>352</v>
      </c>
      <c r="AI239" s="119" t="s">
        <v>353</v>
      </c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</row>
    <row r="240" spans="1:53" s="12" customFormat="1" x14ac:dyDescent="0.25">
      <c r="A240" s="131"/>
      <c r="B240" s="120" t="s">
        <v>103</v>
      </c>
      <c r="C240" s="120" t="s">
        <v>103</v>
      </c>
      <c r="D240" s="120" t="s">
        <v>103</v>
      </c>
      <c r="E240" s="120" t="s">
        <v>103</v>
      </c>
      <c r="F240" s="120" t="s">
        <v>103</v>
      </c>
      <c r="G240" s="120" t="s">
        <v>103</v>
      </c>
      <c r="H240" s="120" t="s">
        <v>200</v>
      </c>
      <c r="I240" s="120" t="s">
        <v>200</v>
      </c>
      <c r="J240" s="120" t="s">
        <v>200</v>
      </c>
      <c r="K240" s="120" t="s">
        <v>200</v>
      </c>
      <c r="L240" s="120" t="s">
        <v>103</v>
      </c>
      <c r="M240" s="120" t="s">
        <v>103</v>
      </c>
      <c r="N240" s="120" t="s">
        <v>103</v>
      </c>
      <c r="O240" s="120"/>
      <c r="P240" s="120"/>
      <c r="Q240" s="120" t="s">
        <v>200</v>
      </c>
      <c r="R240" s="120" t="s">
        <v>103</v>
      </c>
      <c r="S240" s="120" t="s">
        <v>103</v>
      </c>
      <c r="T240" s="120" t="s">
        <v>103</v>
      </c>
      <c r="U240" s="120" t="s">
        <v>103</v>
      </c>
      <c r="V240" s="120" t="s">
        <v>103</v>
      </c>
      <c r="W240" s="120" t="s">
        <v>103</v>
      </c>
      <c r="X240" s="120" t="s">
        <v>103</v>
      </c>
      <c r="Y240" s="120" t="s">
        <v>103</v>
      </c>
      <c r="Z240" s="120" t="s">
        <v>103</v>
      </c>
      <c r="AA240" s="120" t="s">
        <v>103</v>
      </c>
      <c r="AB240" s="120"/>
      <c r="AC240" s="120"/>
      <c r="AD240" s="120"/>
      <c r="AE240" s="120"/>
      <c r="AF240" s="120"/>
      <c r="AG240" s="120" t="s">
        <v>200</v>
      </c>
      <c r="AH240" s="120" t="s">
        <v>200</v>
      </c>
      <c r="AI240" s="120" t="s">
        <v>200</v>
      </c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</row>
    <row r="241" spans="1:53" s="12" customFormat="1" x14ac:dyDescent="0.25">
      <c r="A241" s="131"/>
      <c r="B241" s="121">
        <v>0.4128</v>
      </c>
      <c r="C241" s="121">
        <v>0.4627</v>
      </c>
      <c r="D241" s="121">
        <v>0.55379999999999996</v>
      </c>
      <c r="E241" s="121">
        <v>0.57020000000000004</v>
      </c>
      <c r="F241" s="121">
        <v>0.6089</v>
      </c>
      <c r="G241" s="121">
        <v>0.72760000000000002</v>
      </c>
      <c r="H241" s="121">
        <v>0.43859999999999999</v>
      </c>
      <c r="I241" s="121">
        <v>1.24</v>
      </c>
      <c r="J241" s="121">
        <v>0.124</v>
      </c>
      <c r="K241" s="121">
        <v>0.62</v>
      </c>
      <c r="L241" s="121">
        <v>0.63929999999999998</v>
      </c>
      <c r="M241" s="121">
        <f>L241*2</f>
        <v>1.2786</v>
      </c>
      <c r="N241" s="121">
        <f>L241*2.5</f>
        <v>1.5982499999999999</v>
      </c>
      <c r="O241" s="121"/>
      <c r="P241" s="121"/>
      <c r="Q241" s="121">
        <v>0.72</v>
      </c>
      <c r="R241" s="121">
        <v>0.38869999999999999</v>
      </c>
      <c r="S241" s="121">
        <v>0.41620000000000001</v>
      </c>
      <c r="T241" s="121">
        <v>0.56330000000000002</v>
      </c>
      <c r="U241" s="121">
        <v>0.59940000000000004</v>
      </c>
      <c r="V241" s="121">
        <v>0.55300000000000005</v>
      </c>
      <c r="W241" s="121">
        <v>0.3543</v>
      </c>
      <c r="X241" s="121">
        <v>0.37670000000000003</v>
      </c>
      <c r="Y241" s="121">
        <v>0.60199999999999998</v>
      </c>
      <c r="Z241" s="121">
        <v>0.7198</v>
      </c>
      <c r="AA241" s="121">
        <v>0.60199999999999998</v>
      </c>
      <c r="AB241" s="121"/>
      <c r="AC241" s="121"/>
      <c r="AD241" s="121"/>
      <c r="AE241" s="121"/>
      <c r="AF241" s="121"/>
      <c r="AG241" s="121">
        <v>4.6399999999999997</v>
      </c>
      <c r="AH241" s="121">
        <v>3.7839999999999998</v>
      </c>
      <c r="AI241" s="121">
        <v>1.2</v>
      </c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</row>
    <row r="242" spans="1:53" s="12" customFormat="1" x14ac:dyDescent="0.25">
      <c r="A242" s="131" t="s">
        <v>14</v>
      </c>
      <c r="B242" s="118" t="s">
        <v>204</v>
      </c>
      <c r="C242" s="118" t="s">
        <v>205</v>
      </c>
      <c r="D242" s="119" t="s">
        <v>206</v>
      </c>
      <c r="E242" s="119" t="s">
        <v>207</v>
      </c>
      <c r="F242" s="119" t="s">
        <v>208</v>
      </c>
      <c r="G242" s="119" t="s">
        <v>388</v>
      </c>
      <c r="H242" s="119" t="s">
        <v>389</v>
      </c>
      <c r="I242" s="119" t="s">
        <v>390</v>
      </c>
      <c r="J242" s="119" t="s">
        <v>391</v>
      </c>
      <c r="K242" s="119" t="s">
        <v>211</v>
      </c>
      <c r="L242" s="119" t="s">
        <v>215</v>
      </c>
      <c r="M242" s="118" t="s">
        <v>216</v>
      </c>
      <c r="N242" s="119"/>
      <c r="O242" s="119"/>
      <c r="P242" s="119"/>
      <c r="Q242" s="119" t="s">
        <v>310</v>
      </c>
      <c r="R242" s="119" t="s">
        <v>311</v>
      </c>
      <c r="S242" s="119" t="s">
        <v>312</v>
      </c>
      <c r="T242" s="119" t="s">
        <v>313</v>
      </c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25" t="s">
        <v>384</v>
      </c>
      <c r="AH242" s="125" t="s">
        <v>344</v>
      </c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</row>
    <row r="243" spans="1:53" s="12" customFormat="1" x14ac:dyDescent="0.25">
      <c r="A243" s="131"/>
      <c r="B243" s="120" t="s">
        <v>103</v>
      </c>
      <c r="C243" s="120" t="s">
        <v>103</v>
      </c>
      <c r="D243" s="120" t="s">
        <v>103</v>
      </c>
      <c r="E243" s="120" t="s">
        <v>103</v>
      </c>
      <c r="F243" s="120" t="s">
        <v>103</v>
      </c>
      <c r="G243" s="120" t="s">
        <v>103</v>
      </c>
      <c r="H243" s="120" t="s">
        <v>103</v>
      </c>
      <c r="I243" s="120" t="s">
        <v>103</v>
      </c>
      <c r="J243" s="120" t="s">
        <v>103</v>
      </c>
      <c r="K243" s="120" t="s">
        <v>103</v>
      </c>
      <c r="L243" s="120" t="s">
        <v>103</v>
      </c>
      <c r="M243" s="120" t="s">
        <v>103</v>
      </c>
      <c r="N243" s="120"/>
      <c r="O243" s="120"/>
      <c r="P243" s="120"/>
      <c r="Q243" s="120" t="s">
        <v>200</v>
      </c>
      <c r="R243" s="120" t="s">
        <v>200</v>
      </c>
      <c r="S243" s="120" t="s">
        <v>200</v>
      </c>
      <c r="T243" s="120" t="s">
        <v>200</v>
      </c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 t="s">
        <v>200</v>
      </c>
      <c r="AH243" s="120" t="s">
        <v>200</v>
      </c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</row>
    <row r="244" spans="1:53" s="12" customFormat="1" x14ac:dyDescent="0.25">
      <c r="A244" s="131"/>
      <c r="B244" s="121">
        <v>0.4446</v>
      </c>
      <c r="C244" s="121">
        <v>0.43430000000000002</v>
      </c>
      <c r="D244" s="121">
        <v>0.52980000000000005</v>
      </c>
      <c r="E244" s="121">
        <v>0.58309999999999995</v>
      </c>
      <c r="F244" s="121">
        <v>0.70779999999999998</v>
      </c>
      <c r="G244" s="121">
        <v>0.55900000000000005</v>
      </c>
      <c r="H244" s="121">
        <v>0.60719999999999996</v>
      </c>
      <c r="I244" s="121">
        <v>0.55900000000000005</v>
      </c>
      <c r="J244" s="121">
        <v>0.72240000000000004</v>
      </c>
      <c r="K244" s="121">
        <v>0.63929999999999998</v>
      </c>
      <c r="L244" s="121">
        <f>K244*2</f>
        <v>1.2786</v>
      </c>
      <c r="M244" s="121">
        <f>K244*2.5</f>
        <v>1.5982499999999999</v>
      </c>
      <c r="N244" s="121"/>
      <c r="O244" s="121"/>
      <c r="P244" s="121"/>
      <c r="Q244" s="121">
        <v>0.12</v>
      </c>
      <c r="R244" s="121">
        <v>0.16800000000000001</v>
      </c>
      <c r="S244" s="121">
        <v>1.76</v>
      </c>
      <c r="T244" s="121">
        <v>1.92</v>
      </c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>
        <v>0.80800000000000005</v>
      </c>
      <c r="AH244" s="121">
        <v>0.248</v>
      </c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</row>
    <row r="245" spans="1:53" s="12" customFormat="1" x14ac:dyDescent="0.25">
      <c r="A245" s="131" t="s">
        <v>13</v>
      </c>
      <c r="B245" s="118" t="s">
        <v>204</v>
      </c>
      <c r="C245" s="118" t="s">
        <v>205</v>
      </c>
      <c r="D245" s="119" t="s">
        <v>206</v>
      </c>
      <c r="E245" s="119" t="s">
        <v>207</v>
      </c>
      <c r="F245" s="119" t="s">
        <v>208</v>
      </c>
      <c r="G245" s="119" t="s">
        <v>388</v>
      </c>
      <c r="H245" s="119" t="s">
        <v>389</v>
      </c>
      <c r="I245" s="119" t="s">
        <v>390</v>
      </c>
      <c r="J245" s="119" t="s">
        <v>391</v>
      </c>
      <c r="K245" s="119" t="s">
        <v>211</v>
      </c>
      <c r="L245" s="119" t="s">
        <v>215</v>
      </c>
      <c r="M245" s="118" t="s">
        <v>216</v>
      </c>
      <c r="N245" s="119"/>
      <c r="O245" s="119"/>
      <c r="P245" s="119"/>
      <c r="Q245" s="119" t="s">
        <v>243</v>
      </c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25" t="s">
        <v>385</v>
      </c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</row>
    <row r="246" spans="1:53" s="12" customFormat="1" x14ac:dyDescent="0.25">
      <c r="A246" s="131"/>
      <c r="B246" s="120" t="s">
        <v>103</v>
      </c>
      <c r="C246" s="120" t="s">
        <v>103</v>
      </c>
      <c r="D246" s="120" t="s">
        <v>103</v>
      </c>
      <c r="E246" s="120" t="s">
        <v>103</v>
      </c>
      <c r="F246" s="120" t="s">
        <v>103</v>
      </c>
      <c r="G246" s="120" t="s">
        <v>103</v>
      </c>
      <c r="H246" s="120" t="s">
        <v>103</v>
      </c>
      <c r="I246" s="120" t="s">
        <v>103</v>
      </c>
      <c r="J246" s="120" t="s">
        <v>103</v>
      </c>
      <c r="K246" s="120" t="s">
        <v>103</v>
      </c>
      <c r="L246" s="120" t="s">
        <v>103</v>
      </c>
      <c r="M246" s="120" t="s">
        <v>103</v>
      </c>
      <c r="N246" s="120"/>
      <c r="O246" s="120"/>
      <c r="P246" s="120"/>
      <c r="Q246" s="120" t="s">
        <v>200</v>
      </c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 t="s">
        <v>200</v>
      </c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</row>
    <row r="247" spans="1:53" s="12" customFormat="1" x14ac:dyDescent="0.25">
      <c r="A247" s="131"/>
      <c r="B247" s="121">
        <v>0.4446</v>
      </c>
      <c r="C247" s="121">
        <v>0.43430000000000002</v>
      </c>
      <c r="D247" s="121">
        <v>0.52980000000000005</v>
      </c>
      <c r="E247" s="121">
        <v>0.58309999999999995</v>
      </c>
      <c r="F247" s="121">
        <v>0.70779999999999998</v>
      </c>
      <c r="G247" s="121">
        <v>0.55900000000000005</v>
      </c>
      <c r="H247" s="121">
        <v>0.60719999999999996</v>
      </c>
      <c r="I247" s="121">
        <v>0.55900000000000005</v>
      </c>
      <c r="J247" s="121">
        <v>0.72240000000000004</v>
      </c>
      <c r="K247" s="121">
        <v>0.63929999999999998</v>
      </c>
      <c r="L247" s="121">
        <f>K247*2</f>
        <v>1.2786</v>
      </c>
      <c r="M247" s="121">
        <f>K247*2.5</f>
        <v>1.5982499999999999</v>
      </c>
      <c r="N247" s="121"/>
      <c r="O247" s="121"/>
      <c r="P247" s="121"/>
      <c r="Q247" s="121">
        <v>2.48</v>
      </c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>
        <v>1.48</v>
      </c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</row>
    <row r="248" spans="1:53" s="12" customFormat="1" x14ac:dyDescent="0.25">
      <c r="A248" s="131" t="s">
        <v>189</v>
      </c>
      <c r="B248" s="118" t="s">
        <v>204</v>
      </c>
      <c r="C248" s="118" t="s">
        <v>205</v>
      </c>
      <c r="D248" s="119" t="s">
        <v>206</v>
      </c>
      <c r="E248" s="119" t="s">
        <v>207</v>
      </c>
      <c r="F248" s="119" t="s">
        <v>208</v>
      </c>
      <c r="G248" s="119" t="s">
        <v>388</v>
      </c>
      <c r="H248" s="119" t="s">
        <v>389</v>
      </c>
      <c r="I248" s="119" t="s">
        <v>390</v>
      </c>
      <c r="J248" s="119" t="s">
        <v>391</v>
      </c>
      <c r="K248" s="119" t="s">
        <v>211</v>
      </c>
      <c r="L248" s="119" t="s">
        <v>215</v>
      </c>
      <c r="M248" s="118" t="s">
        <v>216</v>
      </c>
      <c r="N248" s="119"/>
      <c r="O248" s="119"/>
      <c r="P248" s="119"/>
      <c r="Q248" s="119" t="s">
        <v>243</v>
      </c>
      <c r="R248" s="119" t="s">
        <v>314</v>
      </c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 t="s">
        <v>243</v>
      </c>
      <c r="AH248" s="119" t="s">
        <v>327</v>
      </c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</row>
    <row r="249" spans="1:53" s="12" customFormat="1" x14ac:dyDescent="0.25">
      <c r="A249" s="131"/>
      <c r="B249" s="120" t="s">
        <v>103</v>
      </c>
      <c r="C249" s="120" t="s">
        <v>103</v>
      </c>
      <c r="D249" s="120" t="s">
        <v>103</v>
      </c>
      <c r="E249" s="120" t="s">
        <v>103</v>
      </c>
      <c r="F249" s="120" t="s">
        <v>103</v>
      </c>
      <c r="G249" s="120" t="s">
        <v>103</v>
      </c>
      <c r="H249" s="120" t="s">
        <v>103</v>
      </c>
      <c r="I249" s="120" t="s">
        <v>103</v>
      </c>
      <c r="J249" s="120" t="s">
        <v>103</v>
      </c>
      <c r="K249" s="120" t="s">
        <v>103</v>
      </c>
      <c r="L249" s="120" t="s">
        <v>103</v>
      </c>
      <c r="M249" s="120" t="s">
        <v>103</v>
      </c>
      <c r="N249" s="120"/>
      <c r="O249" s="120"/>
      <c r="P249" s="120"/>
      <c r="Q249" s="120" t="s">
        <v>200</v>
      </c>
      <c r="R249" s="120" t="s">
        <v>296</v>
      </c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 t="s">
        <v>200</v>
      </c>
      <c r="AH249" s="120" t="s">
        <v>200</v>
      </c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</row>
    <row r="250" spans="1:53" s="12" customFormat="1" x14ac:dyDescent="0.25">
      <c r="A250" s="131"/>
      <c r="B250" s="121">
        <v>0.4446</v>
      </c>
      <c r="C250" s="121">
        <v>0.43430000000000002</v>
      </c>
      <c r="D250" s="121">
        <v>0.52980000000000005</v>
      </c>
      <c r="E250" s="121">
        <v>0.58309999999999995</v>
      </c>
      <c r="F250" s="121">
        <v>0.70779999999999998</v>
      </c>
      <c r="G250" s="121">
        <v>0.55900000000000005</v>
      </c>
      <c r="H250" s="121">
        <v>0.60719999999999996</v>
      </c>
      <c r="I250" s="121">
        <v>0.55900000000000005</v>
      </c>
      <c r="J250" s="121">
        <v>0.72240000000000004</v>
      </c>
      <c r="K250" s="121">
        <v>0.63929999999999998</v>
      </c>
      <c r="L250" s="121">
        <f>K250*2</f>
        <v>1.2786</v>
      </c>
      <c r="M250" s="121">
        <f>K250*2.5</f>
        <v>1.5982499999999999</v>
      </c>
      <c r="N250" s="121"/>
      <c r="O250" s="121"/>
      <c r="P250" s="121"/>
      <c r="Q250" s="121">
        <v>0.78659999999999997</v>
      </c>
      <c r="R250" s="121">
        <v>0.2</v>
      </c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>
        <v>1.1439999999999999</v>
      </c>
      <c r="AH250" s="121">
        <v>0.32800000000000001</v>
      </c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</row>
    <row r="251" spans="1:53" s="12" customFormat="1" x14ac:dyDescent="0.25">
      <c r="A251" s="131" t="s">
        <v>12</v>
      </c>
      <c r="B251" s="118" t="s">
        <v>393</v>
      </c>
      <c r="C251" s="118" t="s">
        <v>205</v>
      </c>
      <c r="D251" s="118" t="s">
        <v>206</v>
      </c>
      <c r="E251" s="119" t="s">
        <v>378</v>
      </c>
      <c r="F251" s="118" t="s">
        <v>208</v>
      </c>
      <c r="G251" s="118" t="s">
        <v>219</v>
      </c>
      <c r="H251" s="118" t="s">
        <v>209</v>
      </c>
      <c r="I251" s="118" t="s">
        <v>210</v>
      </c>
      <c r="J251" s="118" t="s">
        <v>211</v>
      </c>
      <c r="K251" s="118" t="s">
        <v>215</v>
      </c>
      <c r="L251" s="118" t="s">
        <v>216</v>
      </c>
      <c r="M251" s="119"/>
      <c r="N251" s="119"/>
      <c r="O251" s="119"/>
      <c r="P251" s="119"/>
      <c r="Q251" s="119" t="s">
        <v>238</v>
      </c>
      <c r="R251" s="119" t="s">
        <v>265</v>
      </c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 t="s">
        <v>255</v>
      </c>
      <c r="AH251" s="119" t="s">
        <v>344</v>
      </c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</row>
    <row r="252" spans="1:53" s="12" customFormat="1" x14ac:dyDescent="0.25">
      <c r="A252" s="131"/>
      <c r="B252" s="120" t="s">
        <v>191</v>
      </c>
      <c r="C252" s="120" t="s">
        <v>191</v>
      </c>
      <c r="D252" s="120" t="s">
        <v>191</v>
      </c>
      <c r="E252" s="120" t="s">
        <v>191</v>
      </c>
      <c r="F252" s="120" t="s">
        <v>191</v>
      </c>
      <c r="G252" s="120" t="s">
        <v>191</v>
      </c>
      <c r="H252" s="120" t="s">
        <v>201</v>
      </c>
      <c r="I252" s="120" t="s">
        <v>201</v>
      </c>
      <c r="J252" s="120" t="s">
        <v>103</v>
      </c>
      <c r="K252" s="120" t="s">
        <v>103</v>
      </c>
      <c r="L252" s="120" t="s">
        <v>103</v>
      </c>
      <c r="M252" s="120"/>
      <c r="N252" s="120"/>
      <c r="O252" s="120"/>
      <c r="P252" s="120"/>
      <c r="Q252" s="120" t="s">
        <v>200</v>
      </c>
      <c r="R252" s="120" t="s">
        <v>200</v>
      </c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</row>
    <row r="253" spans="1:53" s="12" customFormat="1" x14ac:dyDescent="0.25">
      <c r="A253" s="131"/>
      <c r="B253" s="121">
        <v>0.20380000000000001</v>
      </c>
      <c r="C253" s="121">
        <v>0.44379999999999997</v>
      </c>
      <c r="D253" s="121">
        <v>0.52370000000000005</v>
      </c>
      <c r="E253" s="121">
        <v>0.2606</v>
      </c>
      <c r="F253" s="121">
        <v>0.50649999999999995</v>
      </c>
      <c r="G253" s="121">
        <v>0.70950000000000002</v>
      </c>
      <c r="H253" s="121">
        <v>0.43859999999999999</v>
      </c>
      <c r="I253" s="121">
        <v>1.24</v>
      </c>
      <c r="J253" s="121">
        <v>0.56830000000000003</v>
      </c>
      <c r="K253" s="121">
        <f>J253*2</f>
        <v>1.1366000000000001</v>
      </c>
      <c r="L253" s="121">
        <f>J253*2.5</f>
        <v>1.42075</v>
      </c>
      <c r="M253" s="121"/>
      <c r="N253" s="121"/>
      <c r="O253" s="121"/>
      <c r="P253" s="121"/>
      <c r="Q253" s="121">
        <v>2.76</v>
      </c>
      <c r="R253" s="121">
        <v>3.8</v>
      </c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>
        <v>0.376</v>
      </c>
      <c r="AH253" s="121">
        <v>0.188</v>
      </c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</row>
    <row r="254" spans="1:53" s="12" customFormat="1" x14ac:dyDescent="0.25">
      <c r="A254" s="131" t="s">
        <v>10</v>
      </c>
      <c r="B254" s="118" t="s">
        <v>204</v>
      </c>
      <c r="C254" s="118" t="s">
        <v>205</v>
      </c>
      <c r="D254" s="119" t="s">
        <v>392</v>
      </c>
      <c r="E254" s="119" t="s">
        <v>395</v>
      </c>
      <c r="F254" s="118" t="s">
        <v>208</v>
      </c>
      <c r="G254" s="119" t="s">
        <v>212</v>
      </c>
      <c r="H254" s="118" t="s">
        <v>211</v>
      </c>
      <c r="I254" s="118" t="s">
        <v>215</v>
      </c>
      <c r="J254" s="118" t="s">
        <v>216</v>
      </c>
      <c r="K254" s="118"/>
      <c r="L254" s="119"/>
      <c r="M254" s="119"/>
      <c r="N254" s="119"/>
      <c r="O254" s="119"/>
      <c r="P254" s="119"/>
      <c r="Q254" s="119" t="s">
        <v>266</v>
      </c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 t="s">
        <v>345</v>
      </c>
      <c r="AH254" s="119" t="s">
        <v>346</v>
      </c>
      <c r="AI254" s="119" t="s">
        <v>347</v>
      </c>
      <c r="AJ254" s="119" t="s">
        <v>348</v>
      </c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</row>
    <row r="255" spans="1:53" s="12" customFormat="1" x14ac:dyDescent="0.25">
      <c r="A255" s="131"/>
      <c r="B255" s="120" t="s">
        <v>191</v>
      </c>
      <c r="C255" s="120" t="s">
        <v>191</v>
      </c>
      <c r="D255" s="120" t="s">
        <v>191</v>
      </c>
      <c r="E255" s="120" t="s">
        <v>191</v>
      </c>
      <c r="F255" s="120" t="s">
        <v>191</v>
      </c>
      <c r="G255" s="120" t="s">
        <v>191</v>
      </c>
      <c r="H255" s="120" t="s">
        <v>103</v>
      </c>
      <c r="I255" s="120" t="s">
        <v>103</v>
      </c>
      <c r="J255" s="120" t="s">
        <v>103</v>
      </c>
      <c r="K255" s="120"/>
      <c r="L255" s="120"/>
      <c r="M255" s="120"/>
      <c r="N255" s="120"/>
      <c r="O255" s="120"/>
      <c r="P255" s="120"/>
      <c r="Q255" s="120" t="s">
        <v>200</v>
      </c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 t="s">
        <v>200</v>
      </c>
      <c r="AH255" s="120" t="s">
        <v>200</v>
      </c>
      <c r="AI255" s="120" t="s">
        <v>200</v>
      </c>
      <c r="AJ255" s="120" t="s">
        <v>200</v>
      </c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</row>
    <row r="256" spans="1:53" s="12" customFormat="1" x14ac:dyDescent="0.25">
      <c r="A256" s="131"/>
      <c r="B256" s="121">
        <v>0.42049999999999998</v>
      </c>
      <c r="C256" s="121">
        <v>0.4214</v>
      </c>
      <c r="D256" s="121">
        <v>0.2606</v>
      </c>
      <c r="E256" s="121">
        <v>0.14099999999999999</v>
      </c>
      <c r="F256" s="121">
        <v>0.71040000000000003</v>
      </c>
      <c r="G256" s="121">
        <v>1.2169000000000001</v>
      </c>
      <c r="H256" s="121">
        <v>0.63929999999999998</v>
      </c>
      <c r="I256" s="121">
        <f>H256*2</f>
        <v>1.2786</v>
      </c>
      <c r="J256" s="121">
        <f>H256*2.5</f>
        <v>1.5982499999999999</v>
      </c>
      <c r="K256" s="121"/>
      <c r="L256" s="121"/>
      <c r="M256" s="121"/>
      <c r="N256" s="121"/>
      <c r="O256" s="121"/>
      <c r="P256" s="121"/>
      <c r="Q256" s="121">
        <v>1.1128</v>
      </c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>
        <v>0.72</v>
      </c>
      <c r="AH256" s="121">
        <v>0.88</v>
      </c>
      <c r="AI256" s="121">
        <v>1.0960000000000001</v>
      </c>
      <c r="AJ256" s="121">
        <v>1.1200000000000001</v>
      </c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</row>
    <row r="257" spans="1:53" s="12" customFormat="1" x14ac:dyDescent="0.25">
      <c r="A257" s="131" t="s">
        <v>9</v>
      </c>
      <c r="B257" s="118" t="s">
        <v>393</v>
      </c>
      <c r="C257" s="118" t="s">
        <v>205</v>
      </c>
      <c r="D257" s="118" t="s">
        <v>206</v>
      </c>
      <c r="E257" s="119" t="s">
        <v>378</v>
      </c>
      <c r="F257" s="132" t="s">
        <v>208</v>
      </c>
      <c r="G257" s="132" t="s">
        <v>219</v>
      </c>
      <c r="H257" s="119" t="s">
        <v>212</v>
      </c>
      <c r="I257" s="118" t="s">
        <v>211</v>
      </c>
      <c r="J257" s="118" t="s">
        <v>215</v>
      </c>
      <c r="K257" s="118" t="s">
        <v>216</v>
      </c>
      <c r="L257" s="119"/>
      <c r="M257" s="119"/>
      <c r="N257" s="119"/>
      <c r="O257" s="119"/>
      <c r="P257" s="119"/>
      <c r="Q257" s="119" t="s">
        <v>243</v>
      </c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27"/>
      <c r="AG257" s="125" t="s">
        <v>349</v>
      </c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</row>
    <row r="258" spans="1:53" s="12" customFormat="1" x14ac:dyDescent="0.25">
      <c r="A258" s="131"/>
      <c r="B258" s="120" t="s">
        <v>199</v>
      </c>
      <c r="C258" s="120" t="s">
        <v>199</v>
      </c>
      <c r="D258" s="120" t="s">
        <v>199</v>
      </c>
      <c r="E258" s="120" t="s">
        <v>199</v>
      </c>
      <c r="F258" s="120" t="s">
        <v>199</v>
      </c>
      <c r="G258" s="120" t="s">
        <v>199</v>
      </c>
      <c r="H258" s="120" t="s">
        <v>199</v>
      </c>
      <c r="I258" s="120" t="s">
        <v>103</v>
      </c>
      <c r="J258" s="120" t="s">
        <v>103</v>
      </c>
      <c r="K258" s="120" t="s">
        <v>103</v>
      </c>
      <c r="L258" s="120"/>
      <c r="M258" s="120"/>
      <c r="N258" s="120"/>
      <c r="O258" s="120"/>
      <c r="P258" s="120"/>
      <c r="Q258" s="120" t="s">
        <v>200</v>
      </c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 t="s">
        <v>202</v>
      </c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</row>
    <row r="259" spans="1:53" s="12" customFormat="1" x14ac:dyDescent="0.25">
      <c r="A259" s="131"/>
      <c r="B259" s="121">
        <v>0.27539999999999998</v>
      </c>
      <c r="C259" s="121">
        <v>0.56940000000000002</v>
      </c>
      <c r="D259" s="121">
        <v>0.6855</v>
      </c>
      <c r="E259" s="121">
        <v>0.37659999999999999</v>
      </c>
      <c r="F259" s="121">
        <v>0.71540000000000004</v>
      </c>
      <c r="G259" s="121">
        <v>0.95830000000000004</v>
      </c>
      <c r="H259" s="121">
        <v>1.2109000000000001</v>
      </c>
      <c r="I259" s="121">
        <v>0.81830000000000003</v>
      </c>
      <c r="J259" s="121">
        <f>I259*2</f>
        <v>1.6366000000000001</v>
      </c>
      <c r="K259" s="121">
        <f>I259*2.5</f>
        <v>2.04575</v>
      </c>
      <c r="L259" s="121"/>
      <c r="M259" s="121"/>
      <c r="N259" s="121"/>
      <c r="O259" s="121"/>
      <c r="P259" s="121"/>
      <c r="Q259" s="121">
        <v>2.528</v>
      </c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>
        <v>0.58450000000000002</v>
      </c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</row>
    <row r="260" spans="1:53" s="12" customFormat="1" x14ac:dyDescent="0.25">
      <c r="A260" s="131" t="s">
        <v>8</v>
      </c>
      <c r="B260" s="118" t="s">
        <v>204</v>
      </c>
      <c r="C260" s="118" t="s">
        <v>205</v>
      </c>
      <c r="D260" s="119" t="s">
        <v>392</v>
      </c>
      <c r="E260" s="119" t="s">
        <v>207</v>
      </c>
      <c r="F260" s="132" t="s">
        <v>396</v>
      </c>
      <c r="G260" s="119" t="s">
        <v>381</v>
      </c>
      <c r="H260" s="119" t="s">
        <v>276</v>
      </c>
      <c r="I260" s="118" t="s">
        <v>211</v>
      </c>
      <c r="J260" s="118" t="s">
        <v>215</v>
      </c>
      <c r="K260" s="118" t="s">
        <v>216</v>
      </c>
      <c r="L260" s="119"/>
      <c r="M260" s="119"/>
      <c r="N260" s="119"/>
      <c r="O260" s="119"/>
      <c r="P260" s="119"/>
      <c r="Q260" s="119" t="s">
        <v>268</v>
      </c>
      <c r="R260" s="119" t="s">
        <v>269</v>
      </c>
      <c r="S260" s="119" t="s">
        <v>270</v>
      </c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 t="s">
        <v>350</v>
      </c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</row>
    <row r="261" spans="1:53" s="12" customFormat="1" x14ac:dyDescent="0.25">
      <c r="A261" s="131"/>
      <c r="B261" s="120" t="s">
        <v>191</v>
      </c>
      <c r="C261" s="120" t="s">
        <v>191</v>
      </c>
      <c r="D261" s="120" t="s">
        <v>191</v>
      </c>
      <c r="E261" s="120" t="s">
        <v>191</v>
      </c>
      <c r="F261" s="120" t="s">
        <v>191</v>
      </c>
      <c r="G261" s="120" t="s">
        <v>191</v>
      </c>
      <c r="H261" s="120" t="s">
        <v>191</v>
      </c>
      <c r="I261" s="120" t="s">
        <v>103</v>
      </c>
      <c r="J261" s="120" t="s">
        <v>103</v>
      </c>
      <c r="K261" s="120" t="s">
        <v>103</v>
      </c>
      <c r="L261" s="120"/>
      <c r="M261" s="120"/>
      <c r="N261" s="120"/>
      <c r="O261" s="120"/>
      <c r="P261" s="120"/>
      <c r="Q261" s="120" t="s">
        <v>200</v>
      </c>
      <c r="R261" s="120" t="s">
        <v>200</v>
      </c>
      <c r="S261" s="120" t="s">
        <v>271</v>
      </c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 t="s">
        <v>200</v>
      </c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</row>
    <row r="262" spans="1:53" s="12" customFormat="1" x14ac:dyDescent="0.25">
      <c r="A262" s="131"/>
      <c r="B262" s="121">
        <v>0.46610000000000001</v>
      </c>
      <c r="C262" s="121">
        <v>0.47639999999999999</v>
      </c>
      <c r="D262" s="121">
        <v>0.28549999999999998</v>
      </c>
      <c r="E262" s="121">
        <v>0.55989999999999995</v>
      </c>
      <c r="F262" s="121">
        <v>0.35859999999999997</v>
      </c>
      <c r="G262" s="121">
        <v>0.47299999999999998</v>
      </c>
      <c r="H262" s="121">
        <v>0.56159999999999999</v>
      </c>
      <c r="I262" s="121">
        <v>0.63929999999999998</v>
      </c>
      <c r="J262" s="121">
        <f>I262*2</f>
        <v>1.2786</v>
      </c>
      <c r="K262" s="121">
        <f>I262*2.5</f>
        <v>1.5982499999999999</v>
      </c>
      <c r="L262" s="121"/>
      <c r="M262" s="121"/>
      <c r="N262" s="121"/>
      <c r="O262" s="121"/>
      <c r="P262" s="121"/>
      <c r="Q262" s="121">
        <v>1.68</v>
      </c>
      <c r="R262" s="121">
        <v>1.9119999999999999</v>
      </c>
      <c r="S262" s="121">
        <v>0.2</v>
      </c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>
        <v>0.54269999999999996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</row>
    <row r="263" spans="1:53" s="12" customFormat="1" x14ac:dyDescent="0.25">
      <c r="A263" s="131" t="s">
        <v>7</v>
      </c>
      <c r="B263" s="118" t="s">
        <v>204</v>
      </c>
      <c r="C263" s="118" t="s">
        <v>205</v>
      </c>
      <c r="D263" s="119" t="s">
        <v>206</v>
      </c>
      <c r="E263" s="119" t="s">
        <v>403</v>
      </c>
      <c r="F263" s="119" t="s">
        <v>404</v>
      </c>
      <c r="G263" s="119" t="s">
        <v>405</v>
      </c>
      <c r="H263" s="119" t="s">
        <v>406</v>
      </c>
      <c r="I263" s="119" t="s">
        <v>407</v>
      </c>
      <c r="J263" s="118" t="s">
        <v>211</v>
      </c>
      <c r="K263" s="118" t="s">
        <v>215</v>
      </c>
      <c r="L263" s="118" t="s">
        <v>216</v>
      </c>
      <c r="M263" s="119"/>
      <c r="N263" s="119"/>
      <c r="O263" s="119"/>
      <c r="P263" s="119"/>
      <c r="Q263" s="119" t="s">
        <v>243</v>
      </c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 t="s">
        <v>243</v>
      </c>
      <c r="AH263" s="125" t="s">
        <v>365</v>
      </c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</row>
    <row r="264" spans="1:53" s="12" customFormat="1" x14ac:dyDescent="0.25">
      <c r="A264" s="131"/>
      <c r="B264" s="120" t="s">
        <v>200</v>
      </c>
      <c r="C264" s="120" t="s">
        <v>200</v>
      </c>
      <c r="D264" s="120" t="s">
        <v>200</v>
      </c>
      <c r="E264" s="120" t="s">
        <v>202</v>
      </c>
      <c r="F264" s="120" t="s">
        <v>202</v>
      </c>
      <c r="G264" s="120" t="s">
        <v>202</v>
      </c>
      <c r="H264" s="120" t="s">
        <v>202</v>
      </c>
      <c r="I264" s="120" t="s">
        <v>202</v>
      </c>
      <c r="J264" s="120" t="s">
        <v>103</v>
      </c>
      <c r="K264" s="120" t="s">
        <v>103</v>
      </c>
      <c r="L264" s="120" t="s">
        <v>103</v>
      </c>
      <c r="M264" s="120"/>
      <c r="N264" s="120"/>
      <c r="O264" s="120"/>
      <c r="P264" s="120"/>
      <c r="Q264" s="120" t="s">
        <v>200</v>
      </c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 t="s">
        <v>200</v>
      </c>
      <c r="AH264" s="120" t="s">
        <v>202</v>
      </c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</row>
    <row r="265" spans="1:53" s="12" customFormat="1" x14ac:dyDescent="0.25">
      <c r="A265" s="131"/>
      <c r="B265" s="121">
        <v>0.58340000000000003</v>
      </c>
      <c r="C265" s="121">
        <v>0.52129999999999999</v>
      </c>
      <c r="D265" s="121">
        <v>0.7601</v>
      </c>
      <c r="E265" s="121">
        <v>0.98229999999999995</v>
      </c>
      <c r="F265" s="121">
        <v>1.1556</v>
      </c>
      <c r="G265" s="121">
        <v>1.5023</v>
      </c>
      <c r="H265" s="121">
        <v>1.6757</v>
      </c>
      <c r="I265" s="121">
        <v>0.7601</v>
      </c>
      <c r="J265" s="121">
        <v>0.56830000000000003</v>
      </c>
      <c r="K265" s="121">
        <f>J265*2</f>
        <v>1.1366000000000001</v>
      </c>
      <c r="L265" s="121">
        <f>J265*2.5</f>
        <v>1.42075</v>
      </c>
      <c r="M265" s="121"/>
      <c r="N265" s="121"/>
      <c r="O265" s="121"/>
      <c r="P265" s="121"/>
      <c r="Q265" s="121">
        <v>1.696</v>
      </c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>
        <v>1.8240000000000001</v>
      </c>
      <c r="AH265" s="121">
        <v>0.33400000000000002</v>
      </c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</row>
    <row r="266" spans="1:53" s="12" customFormat="1" x14ac:dyDescent="0.25">
      <c r="A266" s="131" t="s">
        <v>6</v>
      </c>
      <c r="B266" s="118" t="s">
        <v>204</v>
      </c>
      <c r="C266" s="118" t="s">
        <v>205</v>
      </c>
      <c r="D266" s="119" t="s">
        <v>206</v>
      </c>
      <c r="E266" s="119" t="s">
        <v>207</v>
      </c>
      <c r="F266" s="132" t="s">
        <v>397</v>
      </c>
      <c r="G266" s="132" t="s">
        <v>219</v>
      </c>
      <c r="H266" s="119" t="s">
        <v>212</v>
      </c>
      <c r="I266" s="118" t="s">
        <v>211</v>
      </c>
      <c r="J266" s="118" t="s">
        <v>215</v>
      </c>
      <c r="K266" s="118" t="s">
        <v>216</v>
      </c>
      <c r="L266" s="119"/>
      <c r="M266" s="119"/>
      <c r="N266" s="119"/>
      <c r="O266" s="119"/>
      <c r="P266" s="119"/>
      <c r="Q266" s="119" t="s">
        <v>277</v>
      </c>
      <c r="R266" s="119" t="s">
        <v>278</v>
      </c>
      <c r="S266" s="119" t="s">
        <v>265</v>
      </c>
      <c r="T266" s="119" t="s">
        <v>279</v>
      </c>
      <c r="U266" s="119" t="s">
        <v>280</v>
      </c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 t="s">
        <v>243</v>
      </c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</row>
    <row r="267" spans="1:53" s="12" customFormat="1" x14ac:dyDescent="0.25">
      <c r="A267" s="131"/>
      <c r="B267" s="120" t="s">
        <v>191</v>
      </c>
      <c r="C267" s="120" t="s">
        <v>191</v>
      </c>
      <c r="D267" s="120" t="s">
        <v>191</v>
      </c>
      <c r="E267" s="120" t="s">
        <v>191</v>
      </c>
      <c r="F267" s="120" t="s">
        <v>191</v>
      </c>
      <c r="G267" s="120" t="s">
        <v>191</v>
      </c>
      <c r="H267" s="120" t="s">
        <v>191</v>
      </c>
      <c r="I267" s="120" t="s">
        <v>103</v>
      </c>
      <c r="J267" s="120" t="s">
        <v>103</v>
      </c>
      <c r="K267" s="120" t="s">
        <v>103</v>
      </c>
      <c r="L267" s="120"/>
      <c r="M267" s="120"/>
      <c r="N267" s="120"/>
      <c r="O267" s="120"/>
      <c r="P267" s="120"/>
      <c r="Q267" s="120" t="s">
        <v>200</v>
      </c>
      <c r="R267" s="120" t="s">
        <v>200</v>
      </c>
      <c r="S267" s="120" t="s">
        <v>200</v>
      </c>
      <c r="T267" s="120" t="s">
        <v>86</v>
      </c>
      <c r="U267" s="120" t="s">
        <v>200</v>
      </c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 t="s">
        <v>6</v>
      </c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</row>
    <row r="268" spans="1:53" s="12" customFormat="1" x14ac:dyDescent="0.25">
      <c r="A268" s="131"/>
      <c r="B268" s="121">
        <v>0.30769999999999997</v>
      </c>
      <c r="C268" s="121">
        <v>0.3115</v>
      </c>
      <c r="D268" s="121">
        <v>0.38579999999999998</v>
      </c>
      <c r="E268" s="121">
        <v>0.4294</v>
      </c>
      <c r="F268" s="121">
        <v>0.1075</v>
      </c>
      <c r="G268" s="121">
        <v>0.54500000000000004</v>
      </c>
      <c r="H268" s="121">
        <v>1.1103000000000001</v>
      </c>
      <c r="I268" s="121">
        <v>0.63929999999999998</v>
      </c>
      <c r="J268" s="121">
        <f>I268*2</f>
        <v>1.2786</v>
      </c>
      <c r="K268" s="121">
        <f>I268*2.5</f>
        <v>1.5982499999999999</v>
      </c>
      <c r="L268" s="121"/>
      <c r="M268" s="121"/>
      <c r="N268" s="121"/>
      <c r="O268" s="121"/>
      <c r="P268" s="121"/>
      <c r="Q268" s="121">
        <v>0.16</v>
      </c>
      <c r="R268" s="121">
        <v>0.32</v>
      </c>
      <c r="S268" s="121">
        <v>0.8</v>
      </c>
      <c r="T268" s="126">
        <v>1232</v>
      </c>
      <c r="U268" s="121">
        <v>0.128</v>
      </c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>
        <v>4.0107999999999997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</row>
    <row r="269" spans="1:53" s="12" customFormat="1" x14ac:dyDescent="0.25">
      <c r="A269" s="131" t="s">
        <v>65</v>
      </c>
      <c r="B269" s="118" t="s">
        <v>204</v>
      </c>
      <c r="C269" s="118" t="s">
        <v>205</v>
      </c>
      <c r="D269" s="119" t="s">
        <v>401</v>
      </c>
      <c r="E269" s="119" t="s">
        <v>402</v>
      </c>
      <c r="F269" s="119" t="s">
        <v>207</v>
      </c>
      <c r="G269" s="119" t="s">
        <v>208</v>
      </c>
      <c r="H269" s="119" t="s">
        <v>381</v>
      </c>
      <c r="I269" s="119" t="s">
        <v>276</v>
      </c>
      <c r="J269" s="118" t="s">
        <v>211</v>
      </c>
      <c r="K269" s="118" t="s">
        <v>215</v>
      </c>
      <c r="L269" s="118" t="s">
        <v>216</v>
      </c>
      <c r="M269" s="119"/>
      <c r="N269" s="119"/>
      <c r="O269" s="119"/>
      <c r="P269" s="119"/>
      <c r="Q269" s="119" t="s">
        <v>263</v>
      </c>
      <c r="R269" s="119" t="s">
        <v>264</v>
      </c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 t="s">
        <v>247</v>
      </c>
      <c r="AH269" s="119" t="s">
        <v>255</v>
      </c>
      <c r="AI269" s="119" t="s">
        <v>344</v>
      </c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</row>
    <row r="270" spans="1:53" s="12" customFormat="1" x14ac:dyDescent="0.25">
      <c r="A270" s="131"/>
      <c r="B270" s="120" t="s">
        <v>191</v>
      </c>
      <c r="C270" s="120" t="s">
        <v>191</v>
      </c>
      <c r="D270" s="120" t="s">
        <v>191</v>
      </c>
      <c r="E270" s="120" t="s">
        <v>191</v>
      </c>
      <c r="F270" s="120" t="s">
        <v>191</v>
      </c>
      <c r="G270" s="120" t="s">
        <v>191</v>
      </c>
      <c r="H270" s="120" t="s">
        <v>191</v>
      </c>
      <c r="I270" s="120" t="s">
        <v>191</v>
      </c>
      <c r="J270" s="120" t="s">
        <v>103</v>
      </c>
      <c r="K270" s="120" t="s">
        <v>103</v>
      </c>
      <c r="L270" s="120" t="s">
        <v>103</v>
      </c>
      <c r="M270" s="120"/>
      <c r="N270" s="120"/>
      <c r="O270" s="120"/>
      <c r="P270" s="120"/>
      <c r="Q270" s="120" t="s">
        <v>200</v>
      </c>
      <c r="R270" s="120" t="s">
        <v>200</v>
      </c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 t="s">
        <v>200</v>
      </c>
      <c r="AH270" s="120" t="s">
        <v>200</v>
      </c>
      <c r="AI270" s="120" t="s">
        <v>200</v>
      </c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</row>
    <row r="271" spans="1:53" s="12" customFormat="1" x14ac:dyDescent="0.25">
      <c r="A271" s="131"/>
      <c r="B271" s="121">
        <v>0.44979999999999998</v>
      </c>
      <c r="C271" s="121">
        <v>0.45240000000000002</v>
      </c>
      <c r="D271" s="121">
        <v>0.25800000000000001</v>
      </c>
      <c r="E271" s="121">
        <v>0.30959999999999999</v>
      </c>
      <c r="F271" s="121">
        <v>0.60719999999999996</v>
      </c>
      <c r="G271" s="121">
        <v>0.25369999999999998</v>
      </c>
      <c r="H271" s="121">
        <v>0.43</v>
      </c>
      <c r="I271" s="121">
        <v>0.74650000000000005</v>
      </c>
      <c r="J271" s="121">
        <v>0.81830000000000003</v>
      </c>
      <c r="K271" s="121">
        <f>J271*2</f>
        <v>1.6366000000000001</v>
      </c>
      <c r="L271" s="121">
        <f>J271*2.5</f>
        <v>2.04575</v>
      </c>
      <c r="M271" s="121"/>
      <c r="N271" s="121"/>
      <c r="O271" s="121"/>
      <c r="P271" s="121"/>
      <c r="Q271" s="121">
        <v>1.92</v>
      </c>
      <c r="R271" s="121">
        <v>2.6080000000000001</v>
      </c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>
        <v>2.6240000000000001</v>
      </c>
      <c r="AH271" s="121">
        <v>1.2</v>
      </c>
      <c r="AI271" s="121">
        <v>0.36</v>
      </c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</row>
    <row r="272" spans="1:53" s="12" customFormat="1" x14ac:dyDescent="0.25">
      <c r="A272" s="131" t="s">
        <v>66</v>
      </c>
      <c r="B272" s="118" t="s">
        <v>204</v>
      </c>
      <c r="C272" s="118" t="s">
        <v>205</v>
      </c>
      <c r="D272" s="119" t="s">
        <v>392</v>
      </c>
      <c r="E272" s="119" t="s">
        <v>207</v>
      </c>
      <c r="F272" s="119" t="s">
        <v>213</v>
      </c>
      <c r="G272" s="119" t="s">
        <v>214</v>
      </c>
      <c r="H272" s="118" t="s">
        <v>211</v>
      </c>
      <c r="I272" s="118" t="s">
        <v>215</v>
      </c>
      <c r="J272" s="118" t="s">
        <v>216</v>
      </c>
      <c r="K272" s="118"/>
      <c r="L272" s="119"/>
      <c r="M272" s="119"/>
      <c r="N272" s="119"/>
      <c r="O272" s="119"/>
      <c r="P272" s="119"/>
      <c r="Q272" s="119" t="s">
        <v>300</v>
      </c>
      <c r="R272" s="119" t="s">
        <v>301</v>
      </c>
      <c r="S272" s="119" t="s">
        <v>302</v>
      </c>
      <c r="T272" s="119" t="s">
        <v>303</v>
      </c>
      <c r="U272" s="119" t="s">
        <v>304</v>
      </c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 t="s">
        <v>369</v>
      </c>
      <c r="AH272" s="119" t="s">
        <v>370</v>
      </c>
      <c r="AI272" s="119" t="s">
        <v>373</v>
      </c>
      <c r="AJ272" s="119" t="s">
        <v>371</v>
      </c>
      <c r="AK272" s="119" t="s">
        <v>372</v>
      </c>
      <c r="AL272" s="119" t="s">
        <v>374</v>
      </c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</row>
    <row r="273" spans="1:53" s="12" customFormat="1" x14ac:dyDescent="0.25">
      <c r="A273" s="131"/>
      <c r="B273" s="120" t="s">
        <v>191</v>
      </c>
      <c r="C273" s="120" t="s">
        <v>191</v>
      </c>
      <c r="D273" s="120" t="s">
        <v>191</v>
      </c>
      <c r="E273" s="120" t="s">
        <v>191</v>
      </c>
      <c r="F273" s="120" t="s">
        <v>191</v>
      </c>
      <c r="G273" s="120" t="s">
        <v>191</v>
      </c>
      <c r="H273" s="120" t="s">
        <v>103</v>
      </c>
      <c r="I273" s="120" t="s">
        <v>103</v>
      </c>
      <c r="J273" s="120" t="s">
        <v>103</v>
      </c>
      <c r="K273" s="120"/>
      <c r="L273" s="120"/>
      <c r="M273" s="120"/>
      <c r="N273" s="120"/>
      <c r="O273" s="120"/>
      <c r="P273" s="120"/>
      <c r="Q273" s="120" t="s">
        <v>200</v>
      </c>
      <c r="R273" s="120" t="s">
        <v>200</v>
      </c>
      <c r="S273" s="120" t="s">
        <v>200</v>
      </c>
      <c r="T273" s="120" t="s">
        <v>200</v>
      </c>
      <c r="U273" s="120" t="s">
        <v>200</v>
      </c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 t="s">
        <v>200</v>
      </c>
      <c r="AH273" s="120" t="s">
        <v>200</v>
      </c>
      <c r="AI273" s="120" t="s">
        <v>86</v>
      </c>
      <c r="AJ273" s="120" t="s">
        <v>200</v>
      </c>
      <c r="AK273" s="120" t="s">
        <v>200</v>
      </c>
      <c r="AL273" s="120" t="s">
        <v>86</v>
      </c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</row>
    <row r="274" spans="1:53" s="12" customFormat="1" x14ac:dyDescent="0.25">
      <c r="A274" s="131"/>
      <c r="B274" s="121">
        <v>0.72240000000000004</v>
      </c>
      <c r="C274" s="121">
        <v>0.71379999999999999</v>
      </c>
      <c r="D274" s="121">
        <v>0.43430000000000002</v>
      </c>
      <c r="E274" s="121">
        <v>0.98129999999999995</v>
      </c>
      <c r="F274" s="121">
        <v>0.62549999999999994</v>
      </c>
      <c r="G274" s="121">
        <v>1.1309</v>
      </c>
      <c r="H274" s="121">
        <v>0.74590000000000001</v>
      </c>
      <c r="I274" s="121">
        <f>H274*2</f>
        <v>1.4918</v>
      </c>
      <c r="J274" s="121">
        <f>H274*2.5</f>
        <v>1.8647499999999999</v>
      </c>
      <c r="K274" s="121"/>
      <c r="L274" s="121"/>
      <c r="M274" s="121"/>
      <c r="N274" s="121"/>
      <c r="O274" s="121"/>
      <c r="P274" s="121"/>
      <c r="Q274" s="121">
        <v>0.36</v>
      </c>
      <c r="R274" s="121">
        <v>1.5840000000000001</v>
      </c>
      <c r="S274" s="121">
        <v>2.1760000000000002</v>
      </c>
      <c r="T274" s="121">
        <v>0.16800000000000001</v>
      </c>
      <c r="U274" s="121">
        <v>0.76160000000000005</v>
      </c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>
        <v>1.1679999999999999</v>
      </c>
      <c r="AH274" s="121">
        <v>0.92159999999999997</v>
      </c>
      <c r="AI274" s="121">
        <v>577</v>
      </c>
      <c r="AJ274" s="121">
        <v>0.52</v>
      </c>
      <c r="AK274" s="121">
        <v>0.79869999999999997</v>
      </c>
      <c r="AL274" s="121">
        <v>500</v>
      </c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</row>
    <row r="275" spans="1:53" s="12" customFormat="1" x14ac:dyDescent="0.25">
      <c r="A275" s="131" t="s">
        <v>67</v>
      </c>
      <c r="B275" s="118" t="s">
        <v>393</v>
      </c>
      <c r="C275" s="118" t="s">
        <v>205</v>
      </c>
      <c r="D275" s="119" t="s">
        <v>206</v>
      </c>
      <c r="E275" s="119" t="s">
        <v>378</v>
      </c>
      <c r="F275" s="119" t="s">
        <v>208</v>
      </c>
      <c r="G275" s="119" t="s">
        <v>209</v>
      </c>
      <c r="H275" s="119" t="s">
        <v>210</v>
      </c>
      <c r="I275" s="119" t="s">
        <v>227</v>
      </c>
      <c r="J275" s="118" t="s">
        <v>211</v>
      </c>
      <c r="K275" s="118" t="s">
        <v>215</v>
      </c>
      <c r="L275" s="118" t="s">
        <v>216</v>
      </c>
      <c r="M275" s="119"/>
      <c r="N275" s="119"/>
      <c r="O275" s="119"/>
      <c r="P275" s="119"/>
      <c r="Q275" s="132" t="s">
        <v>299</v>
      </c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 t="s">
        <v>243</v>
      </c>
      <c r="AH275" s="125" t="s">
        <v>368</v>
      </c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</row>
    <row r="276" spans="1:53" s="12" customFormat="1" x14ac:dyDescent="0.25">
      <c r="A276" s="131"/>
      <c r="B276" s="120" t="s">
        <v>103</v>
      </c>
      <c r="C276" s="120" t="s">
        <v>103</v>
      </c>
      <c r="D276" s="120" t="s">
        <v>103</v>
      </c>
      <c r="E276" s="120" t="s">
        <v>103</v>
      </c>
      <c r="F276" s="120" t="s">
        <v>103</v>
      </c>
      <c r="G276" s="120" t="s">
        <v>200</v>
      </c>
      <c r="H276" s="120" t="s">
        <v>200</v>
      </c>
      <c r="I276" s="120" t="s">
        <v>200</v>
      </c>
      <c r="J276" s="120" t="s">
        <v>103</v>
      </c>
      <c r="K276" s="120" t="s">
        <v>103</v>
      </c>
      <c r="L276" s="120" t="s">
        <v>103</v>
      </c>
      <c r="M276" s="120"/>
      <c r="N276" s="120"/>
      <c r="O276" s="120"/>
      <c r="P276" s="120"/>
      <c r="Q276" s="120" t="s">
        <v>132</v>
      </c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 t="s">
        <v>200</v>
      </c>
      <c r="AH276" s="120" t="s">
        <v>200</v>
      </c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</row>
    <row r="277" spans="1:53" s="12" customFormat="1" x14ac:dyDescent="0.25">
      <c r="A277" s="131"/>
      <c r="B277" s="121">
        <v>0.35639999999999999</v>
      </c>
      <c r="C277" s="121">
        <v>0.68379999999999996</v>
      </c>
      <c r="D277" s="121">
        <v>0.88890000000000002</v>
      </c>
      <c r="E277" s="121">
        <v>0.4642</v>
      </c>
      <c r="F277" s="121">
        <v>1.0586</v>
      </c>
      <c r="G277" s="121">
        <v>0.43859999999999999</v>
      </c>
      <c r="H277" s="121">
        <v>1.24</v>
      </c>
      <c r="I277" s="121">
        <v>0.16400000000000001</v>
      </c>
      <c r="J277" s="121">
        <v>0.56830000000000003</v>
      </c>
      <c r="K277" s="121">
        <f>J277*2</f>
        <v>1.1366000000000001</v>
      </c>
      <c r="L277" s="121">
        <f>J277*2.5</f>
        <v>1.42075</v>
      </c>
      <c r="M277" s="121"/>
      <c r="N277" s="121"/>
      <c r="O277" s="121"/>
      <c r="P277" s="121"/>
      <c r="Q277" s="121">
        <v>1.3791</v>
      </c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>
        <v>1.272</v>
      </c>
      <c r="AH277" s="121">
        <v>1.22</v>
      </c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</row>
    <row r="278" spans="1:53" s="12" customFormat="1" x14ac:dyDescent="0.25">
      <c r="A278" s="131" t="s">
        <v>123</v>
      </c>
      <c r="B278" s="118" t="s">
        <v>204</v>
      </c>
      <c r="C278" s="118" t="s">
        <v>205</v>
      </c>
      <c r="D278" s="119" t="s">
        <v>206</v>
      </c>
      <c r="E278" s="119" t="s">
        <v>394</v>
      </c>
      <c r="F278" s="119" t="s">
        <v>225</v>
      </c>
      <c r="G278" s="119" t="s">
        <v>431</v>
      </c>
      <c r="H278" s="119" t="s">
        <v>211</v>
      </c>
      <c r="I278" s="118" t="s">
        <v>215</v>
      </c>
      <c r="J278" s="118" t="s">
        <v>216</v>
      </c>
      <c r="K278" s="118"/>
      <c r="L278" s="119"/>
      <c r="M278" s="119"/>
      <c r="N278" s="119"/>
      <c r="O278" s="119"/>
      <c r="P278" s="119"/>
      <c r="Q278" s="119" t="s">
        <v>243</v>
      </c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 t="s">
        <v>360</v>
      </c>
      <c r="AH278" s="119" t="s">
        <v>361</v>
      </c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</row>
    <row r="279" spans="1:53" s="12" customFormat="1" x14ac:dyDescent="0.25">
      <c r="A279" s="131"/>
      <c r="B279" s="120" t="s">
        <v>103</v>
      </c>
      <c r="C279" s="120" t="s">
        <v>103</v>
      </c>
      <c r="D279" s="120" t="s">
        <v>103</v>
      </c>
      <c r="E279" s="120" t="s">
        <v>103</v>
      </c>
      <c r="F279" s="120" t="s">
        <v>103</v>
      </c>
      <c r="G279" s="120" t="s">
        <v>103</v>
      </c>
      <c r="H279" s="120" t="s">
        <v>103</v>
      </c>
      <c r="I279" s="120" t="s">
        <v>103</v>
      </c>
      <c r="J279" s="120" t="s">
        <v>103</v>
      </c>
      <c r="K279" s="120"/>
      <c r="L279" s="120"/>
      <c r="M279" s="120"/>
      <c r="N279" s="120"/>
      <c r="O279" s="120"/>
      <c r="P279" s="120"/>
      <c r="Q279" s="120" t="s">
        <v>200</v>
      </c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 t="s">
        <v>200</v>
      </c>
      <c r="AH279" s="120" t="s">
        <v>200</v>
      </c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</row>
    <row r="280" spans="1:53" s="12" customFormat="1" x14ac:dyDescent="0.25">
      <c r="A280" s="131"/>
      <c r="B280" s="121">
        <v>0.45729999999999998</v>
      </c>
      <c r="C280" s="121">
        <v>0.48680000000000001</v>
      </c>
      <c r="D280" s="121">
        <v>0.62619999999999998</v>
      </c>
      <c r="E280" s="121">
        <v>0.22650000000000001</v>
      </c>
      <c r="F280" s="121">
        <v>0.78180000000000005</v>
      </c>
      <c r="G280" s="121">
        <v>0.55130000000000001</v>
      </c>
      <c r="H280" s="121">
        <v>0.63929999999999998</v>
      </c>
      <c r="I280" s="121">
        <f>H280*2</f>
        <v>1.2786</v>
      </c>
      <c r="J280" s="121">
        <f>H280*2.5</f>
        <v>1.5982499999999999</v>
      </c>
      <c r="K280" s="121"/>
      <c r="L280" s="121"/>
      <c r="M280" s="121"/>
      <c r="N280" s="121"/>
      <c r="O280" s="121"/>
      <c r="P280" s="121"/>
      <c r="Q280" s="121">
        <v>2.3919999999999999</v>
      </c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>
        <v>1.123</v>
      </c>
      <c r="AH280" s="121">
        <v>1.6845000000000001</v>
      </c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</row>
    <row r="281" spans="1:53" s="12" customFormat="1" x14ac:dyDescent="0.25">
      <c r="A281" s="131" t="s">
        <v>69</v>
      </c>
      <c r="B281" s="118" t="s">
        <v>204</v>
      </c>
      <c r="C281" s="118" t="s">
        <v>205</v>
      </c>
      <c r="D281" s="119" t="s">
        <v>206</v>
      </c>
      <c r="E281" s="119" t="s">
        <v>378</v>
      </c>
      <c r="F281" s="119" t="s">
        <v>208</v>
      </c>
      <c r="G281" s="119" t="s">
        <v>212</v>
      </c>
      <c r="H281" s="119" t="s">
        <v>211</v>
      </c>
      <c r="I281" s="118" t="s">
        <v>215</v>
      </c>
      <c r="J281" s="118" t="s">
        <v>216</v>
      </c>
      <c r="K281" s="118"/>
      <c r="L281" s="119"/>
      <c r="M281" s="119"/>
      <c r="N281" s="119"/>
      <c r="O281" s="119"/>
      <c r="P281" s="119"/>
      <c r="Q281" s="119" t="s">
        <v>243</v>
      </c>
      <c r="R281" s="132" t="s">
        <v>305</v>
      </c>
      <c r="S281" s="132" t="s">
        <v>306</v>
      </c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 t="s">
        <v>375</v>
      </c>
      <c r="AH281" s="119" t="s">
        <v>376</v>
      </c>
      <c r="AI281" s="119" t="s">
        <v>377</v>
      </c>
      <c r="AJ281" s="119" t="s">
        <v>204</v>
      </c>
      <c r="AK281" s="119" t="s">
        <v>205</v>
      </c>
      <c r="AL281" s="119" t="s">
        <v>206</v>
      </c>
      <c r="AM281" s="119" t="s">
        <v>379</v>
      </c>
      <c r="AN281" s="119" t="s">
        <v>380</v>
      </c>
      <c r="AO281" s="119" t="s">
        <v>208</v>
      </c>
      <c r="AP281" s="119" t="s">
        <v>381</v>
      </c>
      <c r="AQ281" s="119" t="s">
        <v>276</v>
      </c>
      <c r="AR281" s="119" t="s">
        <v>211</v>
      </c>
      <c r="AS281" s="119" t="s">
        <v>215</v>
      </c>
      <c r="AT281" s="119" t="s">
        <v>216</v>
      </c>
      <c r="AU281" s="119"/>
      <c r="AV281" s="119"/>
      <c r="AW281" s="119"/>
      <c r="AX281" s="119"/>
      <c r="AY281" s="119"/>
      <c r="AZ281" s="119"/>
      <c r="BA281" s="119"/>
    </row>
    <row r="282" spans="1:53" s="12" customFormat="1" x14ac:dyDescent="0.25">
      <c r="A282" s="131"/>
      <c r="B282" s="120" t="s">
        <v>103</v>
      </c>
      <c r="C282" s="120" t="s">
        <v>103</v>
      </c>
      <c r="D282" s="120" t="s">
        <v>103</v>
      </c>
      <c r="E282" s="120" t="s">
        <v>103</v>
      </c>
      <c r="F282" s="120" t="s">
        <v>103</v>
      </c>
      <c r="G282" s="120" t="s">
        <v>103</v>
      </c>
      <c r="H282" s="120" t="s">
        <v>103</v>
      </c>
      <c r="I282" s="120" t="s">
        <v>103</v>
      </c>
      <c r="J282" s="120" t="s">
        <v>103</v>
      </c>
      <c r="K282" s="120"/>
      <c r="L282" s="120"/>
      <c r="M282" s="120"/>
      <c r="N282" s="120"/>
      <c r="O282" s="120"/>
      <c r="P282" s="120"/>
      <c r="Q282" s="120" t="s">
        <v>200</v>
      </c>
      <c r="R282" s="120" t="s">
        <v>200</v>
      </c>
      <c r="S282" s="120" t="s">
        <v>307</v>
      </c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 t="s">
        <v>200</v>
      </c>
      <c r="AH282" s="120" t="s">
        <v>200</v>
      </c>
      <c r="AI282" s="120" t="s">
        <v>200</v>
      </c>
      <c r="AJ282" s="120" t="s">
        <v>200</v>
      </c>
      <c r="AK282" s="120" t="s">
        <v>200</v>
      </c>
      <c r="AL282" s="120" t="s">
        <v>200</v>
      </c>
      <c r="AM282" s="120" t="s">
        <v>200</v>
      </c>
      <c r="AN282" s="120" t="s">
        <v>200</v>
      </c>
      <c r="AO282" s="120" t="s">
        <v>200</v>
      </c>
      <c r="AP282" s="120" t="s">
        <v>200</v>
      </c>
      <c r="AQ282" s="120" t="s">
        <v>200</v>
      </c>
      <c r="AR282" s="120" t="s">
        <v>200</v>
      </c>
      <c r="AS282" s="120" t="s">
        <v>200</v>
      </c>
      <c r="AT282" s="120" t="s">
        <v>200</v>
      </c>
      <c r="AU282" s="120"/>
      <c r="AV282" s="120"/>
      <c r="AW282" s="120"/>
      <c r="AX282" s="120"/>
      <c r="AY282" s="120"/>
      <c r="AZ282" s="120"/>
      <c r="BA282" s="120"/>
    </row>
    <row r="283" spans="1:53" s="12" customFormat="1" x14ac:dyDescent="0.25">
      <c r="A283" s="131"/>
      <c r="B283" s="121">
        <v>0.39650000000000002</v>
      </c>
      <c r="C283" s="121">
        <v>0.39729999999999999</v>
      </c>
      <c r="D283" s="121">
        <v>0.49880000000000002</v>
      </c>
      <c r="E283" s="121">
        <v>0.2898</v>
      </c>
      <c r="F283" s="121">
        <v>0.65449999999999997</v>
      </c>
      <c r="G283" s="121">
        <v>0.99590000000000001</v>
      </c>
      <c r="H283" s="121">
        <v>0.63929999999999998</v>
      </c>
      <c r="I283" s="121">
        <f>H283*2</f>
        <v>1.2786</v>
      </c>
      <c r="J283" s="121">
        <f>H283*2.5</f>
        <v>1.5982499999999999</v>
      </c>
      <c r="K283" s="121"/>
      <c r="L283" s="121"/>
      <c r="M283" s="121"/>
      <c r="N283" s="121"/>
      <c r="O283" s="121"/>
      <c r="P283" s="121"/>
      <c r="Q283" s="121">
        <v>1.1719999999999999</v>
      </c>
      <c r="R283" s="121">
        <v>0.42</v>
      </c>
      <c r="S283" s="121">
        <v>0.22</v>
      </c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>
        <v>4.008</v>
      </c>
      <c r="AH283" s="121">
        <v>3.8899999999999997E-2</v>
      </c>
      <c r="AI283" s="121">
        <v>7.3000000000000001E-3</v>
      </c>
      <c r="AJ283" s="121">
        <v>0.44740000000000002</v>
      </c>
      <c r="AK283" s="121">
        <v>0.43959999999999999</v>
      </c>
      <c r="AL283" s="121">
        <v>0.53820000000000001</v>
      </c>
      <c r="AM283" s="121">
        <v>0.30890000000000001</v>
      </c>
      <c r="AN283" s="121">
        <v>0.30980000000000002</v>
      </c>
      <c r="AO283" s="121">
        <v>0.73939999999999995</v>
      </c>
      <c r="AP283" s="121">
        <v>0.61599999999999999</v>
      </c>
      <c r="AQ283" s="121">
        <v>0.74360000000000004</v>
      </c>
      <c r="AR283" s="121">
        <v>0.63929999999999998</v>
      </c>
      <c r="AS283" s="121">
        <f>AR283*2</f>
        <v>1.2786</v>
      </c>
      <c r="AT283" s="121">
        <f>AR283*2.5</f>
        <v>1.5982499999999999</v>
      </c>
      <c r="AU283" s="121"/>
      <c r="AV283" s="121"/>
      <c r="AW283" s="121"/>
      <c r="AX283" s="121"/>
      <c r="AY283" s="121"/>
      <c r="AZ283" s="121"/>
      <c r="BA283" s="121"/>
    </row>
    <row r="284" spans="1:53" s="12" customFormat="1" x14ac:dyDescent="0.25">
      <c r="A284" s="131" t="s">
        <v>70</v>
      </c>
      <c r="B284" s="118" t="s">
        <v>204</v>
      </c>
      <c r="C284" s="118" t="s">
        <v>205</v>
      </c>
      <c r="D284" s="119" t="s">
        <v>206</v>
      </c>
      <c r="E284" s="119" t="s">
        <v>212</v>
      </c>
      <c r="F284" s="118" t="s">
        <v>211</v>
      </c>
      <c r="G284" s="118" t="s">
        <v>215</v>
      </c>
      <c r="H284" s="118" t="s">
        <v>216</v>
      </c>
      <c r="I284" s="119"/>
      <c r="J284" s="118"/>
      <c r="K284" s="118"/>
      <c r="L284" s="119"/>
      <c r="M284" s="119"/>
      <c r="N284" s="119"/>
      <c r="O284" s="119"/>
      <c r="P284" s="119"/>
      <c r="Q284" s="119" t="s">
        <v>316</v>
      </c>
      <c r="R284" s="119" t="s">
        <v>317</v>
      </c>
      <c r="S284" s="119" t="s">
        <v>318</v>
      </c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 t="s">
        <v>243</v>
      </c>
      <c r="AH284" s="119" t="s">
        <v>386</v>
      </c>
      <c r="AI284" s="119" t="s">
        <v>365</v>
      </c>
      <c r="AJ284" s="119" t="s">
        <v>387</v>
      </c>
      <c r="AK284" s="119" t="s">
        <v>230</v>
      </c>
      <c r="AL284" s="119" t="s">
        <v>236</v>
      </c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</row>
    <row r="285" spans="1:53" s="12" customFormat="1" x14ac:dyDescent="0.25">
      <c r="A285" s="131"/>
      <c r="B285" s="120" t="s">
        <v>200</v>
      </c>
      <c r="C285" s="120" t="s">
        <v>200</v>
      </c>
      <c r="D285" s="120" t="s">
        <v>200</v>
      </c>
      <c r="E285" s="120" t="s">
        <v>200</v>
      </c>
      <c r="F285" s="120" t="s">
        <v>103</v>
      </c>
      <c r="G285" s="120" t="s">
        <v>103</v>
      </c>
      <c r="H285" s="120" t="s">
        <v>103</v>
      </c>
      <c r="I285" s="120"/>
      <c r="J285" s="120"/>
      <c r="K285" s="120"/>
      <c r="L285" s="120"/>
      <c r="M285" s="120"/>
      <c r="N285" s="120"/>
      <c r="O285" s="120"/>
      <c r="P285" s="120"/>
      <c r="Q285" s="120" t="s">
        <v>200</v>
      </c>
      <c r="R285" s="120" t="s">
        <v>86</v>
      </c>
      <c r="S285" s="120" t="s">
        <v>200</v>
      </c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 t="s">
        <v>200</v>
      </c>
      <c r="AH285" s="120" t="s">
        <v>200</v>
      </c>
      <c r="AI285" s="120" t="s">
        <v>200</v>
      </c>
      <c r="AJ285" s="120" t="s">
        <v>200</v>
      </c>
      <c r="AK285" s="120" t="s">
        <v>200</v>
      </c>
      <c r="AL285" s="120" t="s">
        <v>86</v>
      </c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</row>
    <row r="286" spans="1:53" s="12" customFormat="1" x14ac:dyDescent="0.25">
      <c r="A286" s="131"/>
      <c r="B286" s="121">
        <v>0.68379999999999996</v>
      </c>
      <c r="C286" s="121">
        <v>0.61539999999999995</v>
      </c>
      <c r="D286" s="121">
        <v>0.94310000000000005</v>
      </c>
      <c r="E286" s="121">
        <v>1.4832000000000001</v>
      </c>
      <c r="F286" s="121">
        <v>0.56830000000000003</v>
      </c>
      <c r="G286" s="121">
        <f>F286*2</f>
        <v>1.1366000000000001</v>
      </c>
      <c r="H286" s="121">
        <f>F286*2.5</f>
        <v>1.42075</v>
      </c>
      <c r="I286" s="121"/>
      <c r="J286" s="121"/>
      <c r="K286" s="121"/>
      <c r="L286" s="121"/>
      <c r="M286" s="121"/>
      <c r="N286" s="121"/>
      <c r="O286" s="121"/>
      <c r="P286" s="121"/>
      <c r="Q286" s="121">
        <v>4.3999999999999997E-2</v>
      </c>
      <c r="R286" s="126">
        <v>424</v>
      </c>
      <c r="S286" s="121">
        <v>1.0919000000000001</v>
      </c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>
        <v>0.1042</v>
      </c>
      <c r="AH286" s="121">
        <v>4.8399999999999999E-2</v>
      </c>
      <c r="AI286" s="121">
        <v>6.7799999999999999E-2</v>
      </c>
      <c r="AJ286" s="121">
        <v>7.0999999999999994E-2</v>
      </c>
      <c r="AK286" s="121">
        <v>8.0999999999999996E-3</v>
      </c>
      <c r="AL286" s="121">
        <v>77</v>
      </c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</row>
    <row r="287" spans="1:53" s="12" customFormat="1" x14ac:dyDescent="0.25">
      <c r="A287" s="131" t="s">
        <v>121</v>
      </c>
      <c r="B287" s="118" t="s">
        <v>204</v>
      </c>
      <c r="C287" s="118" t="s">
        <v>205</v>
      </c>
      <c r="D287" s="119" t="s">
        <v>206</v>
      </c>
      <c r="E287" s="119" t="s">
        <v>207</v>
      </c>
      <c r="F287" s="119" t="s">
        <v>213</v>
      </c>
      <c r="G287" s="119" t="s">
        <v>214</v>
      </c>
      <c r="H287" s="119" t="s">
        <v>211</v>
      </c>
      <c r="I287" s="118" t="s">
        <v>215</v>
      </c>
      <c r="J287" s="118" t="s">
        <v>216</v>
      </c>
      <c r="K287" s="118"/>
      <c r="L287" s="119"/>
      <c r="M287" s="119"/>
      <c r="N287" s="119"/>
      <c r="O287" s="119"/>
      <c r="P287" s="119"/>
      <c r="Q287" s="119" t="s">
        <v>284</v>
      </c>
      <c r="R287" s="132" t="s">
        <v>285</v>
      </c>
      <c r="S287" s="132" t="s">
        <v>286</v>
      </c>
      <c r="T287" s="132" t="s">
        <v>287</v>
      </c>
      <c r="U287" s="132" t="s">
        <v>288</v>
      </c>
      <c r="V287" s="132" t="s">
        <v>289</v>
      </c>
      <c r="W287" s="132" t="s">
        <v>290</v>
      </c>
      <c r="X287" s="119" t="s">
        <v>255</v>
      </c>
      <c r="Y287" s="119"/>
      <c r="Z287" s="119"/>
      <c r="AA287" s="119"/>
      <c r="AB287" s="119"/>
      <c r="AC287" s="119"/>
      <c r="AD287" s="119"/>
      <c r="AE287" s="119"/>
      <c r="AF287" s="119"/>
      <c r="AG287" s="119" t="s">
        <v>243</v>
      </c>
      <c r="AH287" s="119" t="s">
        <v>255</v>
      </c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</row>
    <row r="288" spans="1:53" s="12" customFormat="1" x14ac:dyDescent="0.25">
      <c r="A288" s="131"/>
      <c r="B288" s="120" t="s">
        <v>103</v>
      </c>
      <c r="C288" s="120" t="s">
        <v>103</v>
      </c>
      <c r="D288" s="120" t="s">
        <v>103</v>
      </c>
      <c r="E288" s="120" t="s">
        <v>103</v>
      </c>
      <c r="F288" s="120" t="s">
        <v>103</v>
      </c>
      <c r="G288" s="120" t="s">
        <v>103</v>
      </c>
      <c r="H288" s="120" t="s">
        <v>103</v>
      </c>
      <c r="I288" s="120" t="s">
        <v>103</v>
      </c>
      <c r="J288" s="120" t="s">
        <v>103</v>
      </c>
      <c r="K288" s="120"/>
      <c r="L288" s="120"/>
      <c r="M288" s="120"/>
      <c r="N288" s="120"/>
      <c r="O288" s="120"/>
      <c r="P288" s="120"/>
      <c r="Q288" s="120" t="s">
        <v>200</v>
      </c>
      <c r="R288" s="120" t="s">
        <v>200</v>
      </c>
      <c r="S288" s="120" t="s">
        <v>86</v>
      </c>
      <c r="T288" s="120" t="s">
        <v>200</v>
      </c>
      <c r="U288" s="120" t="s">
        <v>86</v>
      </c>
      <c r="V288" s="120" t="s">
        <v>200</v>
      </c>
      <c r="W288" s="120" t="s">
        <v>86</v>
      </c>
      <c r="X288" s="120" t="s">
        <v>200</v>
      </c>
      <c r="Y288" s="120"/>
      <c r="Z288" s="120"/>
      <c r="AA288" s="120"/>
      <c r="AB288" s="120"/>
      <c r="AC288" s="120"/>
      <c r="AD288" s="120"/>
      <c r="AE288" s="120"/>
      <c r="AF288" s="120"/>
      <c r="AG288" s="120" t="s">
        <v>200</v>
      </c>
      <c r="AH288" s="120" t="s">
        <v>200</v>
      </c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</row>
    <row r="289" spans="1:53" s="12" customFormat="1" x14ac:dyDescent="0.25">
      <c r="A289" s="131"/>
      <c r="B289" s="121">
        <v>0.76539999999999997</v>
      </c>
      <c r="C289" s="121">
        <v>0.73960000000000004</v>
      </c>
      <c r="D289" s="121">
        <v>0.9546</v>
      </c>
      <c r="E289" s="121">
        <v>1.1584000000000001</v>
      </c>
      <c r="F289" s="121">
        <v>0.62549999999999994</v>
      </c>
      <c r="G289" s="121">
        <v>1.1309</v>
      </c>
      <c r="H289" s="121">
        <v>0.74590000000000001</v>
      </c>
      <c r="I289" s="121">
        <f>H289*2</f>
        <v>1.4918</v>
      </c>
      <c r="J289" s="121">
        <f>H289*2.5</f>
        <v>1.8647499999999999</v>
      </c>
      <c r="K289" s="121"/>
      <c r="L289" s="121"/>
      <c r="M289" s="121"/>
      <c r="N289" s="121"/>
      <c r="O289" s="121"/>
      <c r="P289" s="121"/>
      <c r="Q289" s="121">
        <v>1.696</v>
      </c>
      <c r="R289" s="121">
        <v>1.0404</v>
      </c>
      <c r="S289" s="126">
        <v>501</v>
      </c>
      <c r="T289" s="121">
        <v>1.224</v>
      </c>
      <c r="U289" s="126">
        <v>589</v>
      </c>
      <c r="V289" s="121">
        <v>1.44</v>
      </c>
      <c r="W289" s="126">
        <v>693</v>
      </c>
      <c r="X289" s="121">
        <v>0.33600000000000002</v>
      </c>
      <c r="Y289" s="121"/>
      <c r="Z289" s="121"/>
      <c r="AA289" s="121"/>
      <c r="AB289" s="121"/>
      <c r="AC289" s="121"/>
      <c r="AD289" s="121"/>
      <c r="AE289" s="121"/>
      <c r="AF289" s="121"/>
      <c r="AG289" s="121">
        <v>3.4079999999999999</v>
      </c>
      <c r="AH289" s="121">
        <v>0.4</v>
      </c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</row>
    <row r="290" spans="1:53" s="12" customFormat="1" x14ac:dyDescent="0.25">
      <c r="A290" s="131" t="s">
        <v>122</v>
      </c>
      <c r="B290" s="118" t="s">
        <v>204</v>
      </c>
      <c r="C290" s="118" t="s">
        <v>205</v>
      </c>
      <c r="D290" s="119" t="s">
        <v>206</v>
      </c>
      <c r="E290" s="119" t="s">
        <v>207</v>
      </c>
      <c r="F290" s="119" t="s">
        <v>208</v>
      </c>
      <c r="G290" s="119" t="s">
        <v>209</v>
      </c>
      <c r="H290" s="119" t="s">
        <v>210</v>
      </c>
      <c r="I290" s="119" t="s">
        <v>211</v>
      </c>
      <c r="J290" s="118" t="s">
        <v>215</v>
      </c>
      <c r="K290" s="118" t="s">
        <v>216</v>
      </c>
      <c r="L290" s="119"/>
      <c r="M290" s="119"/>
      <c r="N290" s="119"/>
      <c r="O290" s="119"/>
      <c r="P290" s="119"/>
      <c r="Q290" s="132" t="s">
        <v>308</v>
      </c>
      <c r="R290" s="132" t="s">
        <v>309</v>
      </c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25" t="s">
        <v>382</v>
      </c>
      <c r="AH290" s="125" t="s">
        <v>383</v>
      </c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</row>
    <row r="291" spans="1:53" s="12" customFormat="1" x14ac:dyDescent="0.25">
      <c r="A291" s="131"/>
      <c r="B291" s="120" t="s">
        <v>103</v>
      </c>
      <c r="C291" s="120" t="s">
        <v>103</v>
      </c>
      <c r="D291" s="120" t="s">
        <v>103</v>
      </c>
      <c r="E291" s="120" t="s">
        <v>103</v>
      </c>
      <c r="F291" s="120" t="s">
        <v>103</v>
      </c>
      <c r="G291" s="120" t="s">
        <v>200</v>
      </c>
      <c r="H291" s="120" t="s">
        <v>200</v>
      </c>
      <c r="I291" s="120"/>
      <c r="J291" s="120"/>
      <c r="K291" s="120"/>
      <c r="L291" s="120"/>
      <c r="M291" s="120"/>
      <c r="N291" s="120"/>
      <c r="O291" s="120"/>
      <c r="P291" s="120"/>
      <c r="Q291" s="120" t="s">
        <v>200</v>
      </c>
      <c r="R291" s="120" t="s">
        <v>200</v>
      </c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 t="s">
        <v>200</v>
      </c>
      <c r="AH291" s="120" t="s">
        <v>200</v>
      </c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</row>
    <row r="292" spans="1:53" s="12" customFormat="1" x14ac:dyDescent="0.25">
      <c r="A292" s="131"/>
      <c r="B292" s="121">
        <v>0.36890000000000001</v>
      </c>
      <c r="C292" s="121">
        <v>0.38700000000000001</v>
      </c>
      <c r="D292" s="121">
        <v>0.48499999999999999</v>
      </c>
      <c r="E292" s="121">
        <v>0.504</v>
      </c>
      <c r="F292" s="121">
        <v>0.58050000000000002</v>
      </c>
      <c r="G292" s="121">
        <v>0.43859999999999999</v>
      </c>
      <c r="H292" s="121">
        <v>1.24</v>
      </c>
      <c r="I292" s="121">
        <v>0.56830000000000003</v>
      </c>
      <c r="J292" s="121">
        <f>I292*2</f>
        <v>1.1366000000000001</v>
      </c>
      <c r="K292" s="121">
        <f>I292*2.5</f>
        <v>1.42075</v>
      </c>
      <c r="L292" s="121"/>
      <c r="M292" s="121"/>
      <c r="N292" s="121"/>
      <c r="O292" s="121"/>
      <c r="P292" s="121"/>
      <c r="Q292" s="121">
        <v>1.2576000000000001</v>
      </c>
      <c r="R292" s="121">
        <v>0.42959999999999998</v>
      </c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>
        <v>4.0960000000000001</v>
      </c>
      <c r="AH292" s="121">
        <v>0.3412</v>
      </c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</row>
    <row r="293" spans="1:53" s="12" customFormat="1" x14ac:dyDescent="0.25">
      <c r="A293" s="131" t="s">
        <v>183</v>
      </c>
      <c r="B293" s="118" t="s">
        <v>204</v>
      </c>
      <c r="C293" s="118" t="s">
        <v>205</v>
      </c>
      <c r="D293" s="119" t="s">
        <v>392</v>
      </c>
      <c r="E293" s="119" t="s">
        <v>207</v>
      </c>
      <c r="F293" s="119" t="s">
        <v>212</v>
      </c>
      <c r="G293" s="119" t="s">
        <v>211</v>
      </c>
      <c r="H293" s="118" t="s">
        <v>215</v>
      </c>
      <c r="I293" s="118" t="s">
        <v>216</v>
      </c>
      <c r="J293" s="118"/>
      <c r="K293" s="118"/>
      <c r="L293" s="119"/>
      <c r="M293" s="119"/>
      <c r="N293" s="119"/>
      <c r="O293" s="119"/>
      <c r="P293" s="119"/>
      <c r="Q293" s="119" t="s">
        <v>243</v>
      </c>
      <c r="R293" s="119" t="s">
        <v>233</v>
      </c>
      <c r="S293" s="119" t="s">
        <v>267</v>
      </c>
      <c r="T293" s="119" t="s">
        <v>319</v>
      </c>
      <c r="U293" s="119" t="s">
        <v>320</v>
      </c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 t="s">
        <v>243</v>
      </c>
      <c r="AH293" s="119" t="s">
        <v>233</v>
      </c>
      <c r="AI293" s="119" t="s">
        <v>267</v>
      </c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</row>
    <row r="294" spans="1:53" s="12" customFormat="1" x14ac:dyDescent="0.25">
      <c r="A294" s="131"/>
      <c r="B294" s="120" t="s">
        <v>103</v>
      </c>
      <c r="C294" s="120" t="s">
        <v>103</v>
      </c>
      <c r="D294" s="120" t="s">
        <v>103</v>
      </c>
      <c r="E294" s="120" t="s">
        <v>103</v>
      </c>
      <c r="F294" s="120" t="s">
        <v>103</v>
      </c>
      <c r="G294" s="120" t="s">
        <v>103</v>
      </c>
      <c r="H294" s="120" t="s">
        <v>103</v>
      </c>
      <c r="I294" s="120" t="s">
        <v>103</v>
      </c>
      <c r="J294" s="120"/>
      <c r="K294" s="120"/>
      <c r="L294" s="120"/>
      <c r="M294" s="120"/>
      <c r="N294" s="120"/>
      <c r="O294" s="120"/>
      <c r="P294" s="120"/>
      <c r="Q294" s="120" t="s">
        <v>200</v>
      </c>
      <c r="R294" s="120" t="s">
        <v>200</v>
      </c>
      <c r="S294" s="120" t="s">
        <v>86</v>
      </c>
      <c r="T294" s="120" t="s">
        <v>200</v>
      </c>
      <c r="U294" s="120" t="s">
        <v>86</v>
      </c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 t="s">
        <v>200</v>
      </c>
      <c r="AH294" s="120" t="s">
        <v>200</v>
      </c>
      <c r="AI294" s="120" t="s">
        <v>86</v>
      </c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</row>
    <row r="295" spans="1:53" s="12" customFormat="1" x14ac:dyDescent="0.25">
      <c r="A295" s="131"/>
      <c r="B295" s="121">
        <v>0.44390000000000002</v>
      </c>
      <c r="C295" s="121">
        <v>0.43630000000000002</v>
      </c>
      <c r="D295" s="121">
        <v>0.26790000000000003</v>
      </c>
      <c r="E295" s="121">
        <v>0.67359999999999998</v>
      </c>
      <c r="F295" s="121">
        <v>1.1274999999999999</v>
      </c>
      <c r="G295" s="121">
        <v>0.63929999999999998</v>
      </c>
      <c r="H295" s="121">
        <f>G295*2</f>
        <v>1.2786</v>
      </c>
      <c r="I295" s="121">
        <f>G295*2.5</f>
        <v>1.5982499999999999</v>
      </c>
      <c r="J295" s="121"/>
      <c r="K295" s="121"/>
      <c r="L295" s="121"/>
      <c r="M295" s="121"/>
      <c r="N295" s="121"/>
      <c r="O295" s="121"/>
      <c r="P295" s="121"/>
      <c r="Q295" s="121">
        <v>1.464</v>
      </c>
      <c r="R295" s="121">
        <v>7.1999999999999995E-2</v>
      </c>
      <c r="S295" s="121">
        <v>693</v>
      </c>
      <c r="T295" s="121">
        <v>0.19600000000000001</v>
      </c>
      <c r="U295" s="121">
        <v>1887</v>
      </c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>
        <v>0.88</v>
      </c>
      <c r="AH295" s="121">
        <v>1.14E-2</v>
      </c>
      <c r="AI295" s="121">
        <v>110</v>
      </c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</row>
    <row r="296" spans="1:53" s="12" customFormat="1" x14ac:dyDescent="0.25">
      <c r="A296" s="131"/>
      <c r="B296" s="118"/>
      <c r="C296" s="118"/>
      <c r="D296" s="119"/>
      <c r="E296" s="119"/>
      <c r="F296" s="119"/>
      <c r="G296" s="119"/>
      <c r="H296" s="119"/>
      <c r="I296" s="119"/>
      <c r="J296" s="118"/>
      <c r="K296" s="118"/>
      <c r="L296" s="118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</row>
    <row r="297" spans="1:53" s="12" customFormat="1" x14ac:dyDescent="0.25">
      <c r="A297" s="131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</row>
    <row r="298" spans="1:53" s="12" customFormat="1" x14ac:dyDescent="0.25">
      <c r="A298" s="13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</row>
    <row r="299" spans="1:53" s="12" customFormat="1" x14ac:dyDescent="0.25">
      <c r="A299" s="131"/>
      <c r="B299" s="118"/>
      <c r="C299" s="118"/>
      <c r="D299" s="119"/>
      <c r="E299" s="119"/>
      <c r="F299" s="119"/>
      <c r="G299" s="119"/>
      <c r="H299" s="118"/>
      <c r="I299" s="118"/>
      <c r="J299" s="118"/>
      <c r="K299" s="118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</row>
    <row r="300" spans="1:53" s="12" customFormat="1" x14ac:dyDescent="0.25">
      <c r="A300" s="131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</row>
    <row r="301" spans="1:53" s="12" customFormat="1" x14ac:dyDescent="0.25">
      <c r="A301" s="13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</row>
    <row r="302" spans="1:53" s="12" customFormat="1" x14ac:dyDescent="0.25">
      <c r="A302" s="131"/>
      <c r="B302" s="118"/>
      <c r="C302" s="118"/>
      <c r="D302" s="119"/>
      <c r="E302" s="119"/>
      <c r="F302" s="119"/>
      <c r="G302" s="119"/>
      <c r="H302" s="119"/>
      <c r="I302" s="119"/>
      <c r="J302" s="118"/>
      <c r="K302" s="118"/>
      <c r="L302" s="118"/>
      <c r="M302" s="119"/>
      <c r="N302" s="119"/>
      <c r="O302" s="119"/>
      <c r="P302" s="119"/>
      <c r="Q302" s="132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25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</row>
    <row r="303" spans="1:53" s="12" customFormat="1" x14ac:dyDescent="0.25">
      <c r="A303" s="131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</row>
    <row r="304" spans="1:53" s="12" customFormat="1" x14ac:dyDescent="0.25">
      <c r="A304" s="13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</row>
    <row r="305" spans="1:53" s="12" customFormat="1" x14ac:dyDescent="0.25">
      <c r="A305" s="131"/>
      <c r="B305" s="118"/>
      <c r="C305" s="118"/>
      <c r="D305" s="119"/>
      <c r="E305" s="119"/>
      <c r="F305" s="119"/>
      <c r="G305" s="119"/>
      <c r="H305" s="119"/>
      <c r="I305" s="118"/>
      <c r="J305" s="118"/>
      <c r="K305" s="118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</row>
    <row r="306" spans="1:53" s="12" customFormat="1" x14ac:dyDescent="0.25">
      <c r="A306" s="131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</row>
    <row r="307" spans="1:53" s="12" customFormat="1" x14ac:dyDescent="0.25">
      <c r="A307" s="13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</row>
    <row r="308" spans="1:53" s="12" customFormat="1" x14ac:dyDescent="0.25">
      <c r="A308" s="131"/>
      <c r="B308" s="118"/>
      <c r="C308" s="118"/>
      <c r="D308" s="119"/>
      <c r="E308" s="119"/>
      <c r="F308" s="119"/>
      <c r="G308" s="119"/>
      <c r="H308" s="119"/>
      <c r="I308" s="118"/>
      <c r="J308" s="118"/>
      <c r="K308" s="118"/>
      <c r="L308" s="119"/>
      <c r="M308" s="119"/>
      <c r="N308" s="119"/>
      <c r="O308" s="119"/>
      <c r="P308" s="119"/>
      <c r="Q308" s="119"/>
      <c r="R308" s="132"/>
      <c r="S308" s="132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</row>
    <row r="309" spans="1:53" s="12" customFormat="1" x14ac:dyDescent="0.25">
      <c r="A309" s="131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</row>
    <row r="310" spans="1:53" s="12" customFormat="1" x14ac:dyDescent="0.25">
      <c r="A310" s="13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</row>
    <row r="311" spans="1:53" s="12" customFormat="1" x14ac:dyDescent="0.25">
      <c r="A311" s="131"/>
      <c r="B311" s="118"/>
      <c r="C311" s="118"/>
      <c r="D311" s="119"/>
      <c r="E311" s="119"/>
      <c r="F311" s="118"/>
      <c r="G311" s="118"/>
      <c r="H311" s="118"/>
      <c r="I311" s="119"/>
      <c r="J311" s="118"/>
      <c r="K311" s="118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</row>
    <row r="312" spans="1:53" s="12" customFormat="1" x14ac:dyDescent="0.25">
      <c r="A312" s="131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</row>
    <row r="313" spans="1:53" s="12" customFormat="1" x14ac:dyDescent="0.25">
      <c r="A313" s="13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6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</row>
    <row r="314" spans="1:53" s="12" customFormat="1" x14ac:dyDescent="0.25">
      <c r="A314" s="131"/>
      <c r="B314" s="118"/>
      <c r="C314" s="118"/>
      <c r="D314" s="119"/>
      <c r="E314" s="119"/>
      <c r="F314" s="119"/>
      <c r="G314" s="119"/>
      <c r="H314" s="119"/>
      <c r="I314" s="118"/>
      <c r="J314" s="118"/>
      <c r="K314" s="118"/>
      <c r="L314" s="119"/>
      <c r="M314" s="119"/>
      <c r="N314" s="119"/>
      <c r="O314" s="119"/>
      <c r="P314" s="119"/>
      <c r="Q314" s="119"/>
      <c r="R314" s="132"/>
      <c r="S314" s="132"/>
      <c r="T314" s="132"/>
      <c r="U314" s="132"/>
      <c r="V314" s="132"/>
      <c r="W314" s="132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</row>
    <row r="315" spans="1:53" s="12" customFormat="1" x14ac:dyDescent="0.25">
      <c r="A315" s="131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</row>
    <row r="316" spans="1:53" s="12" customFormat="1" x14ac:dyDescent="0.25">
      <c r="A316" s="13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6"/>
      <c r="T316" s="121"/>
      <c r="U316" s="126"/>
      <c r="V316" s="121"/>
      <c r="W316" s="126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</row>
    <row r="317" spans="1:53" s="12" customFormat="1" x14ac:dyDescent="0.25">
      <c r="A317" s="131"/>
      <c r="B317" s="118"/>
      <c r="C317" s="118"/>
      <c r="D317" s="119"/>
      <c r="E317" s="119"/>
      <c r="F317" s="119"/>
      <c r="G317" s="119"/>
      <c r="H317" s="119"/>
      <c r="I317" s="119"/>
      <c r="J317" s="118"/>
      <c r="K317" s="118"/>
      <c r="L317" s="119"/>
      <c r="M317" s="119"/>
      <c r="N317" s="119"/>
      <c r="O317" s="119"/>
      <c r="P317" s="119"/>
      <c r="Q317" s="132"/>
      <c r="R317" s="132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25"/>
      <c r="AH317" s="125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</row>
    <row r="318" spans="1:53" s="12" customFormat="1" x14ac:dyDescent="0.25">
      <c r="A318" s="131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</row>
    <row r="319" spans="1:53" s="12" customFormat="1" x14ac:dyDescent="0.25">
      <c r="A319" s="13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</row>
    <row r="320" spans="1:53" s="12" customFormat="1" x14ac:dyDescent="0.25">
      <c r="A320" s="131"/>
      <c r="B320" s="118"/>
      <c r="C320" s="118"/>
      <c r="D320" s="119"/>
      <c r="E320" s="119"/>
      <c r="F320" s="119"/>
      <c r="G320" s="119"/>
      <c r="H320" s="118"/>
      <c r="I320" s="118"/>
      <c r="J320" s="118"/>
      <c r="K320" s="118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</row>
    <row r="321" spans="1:53" s="12" customFormat="1" x14ac:dyDescent="0.25">
      <c r="A321" s="131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</row>
    <row r="322" spans="1:53" s="12" customFormat="1" x14ac:dyDescent="0.25">
      <c r="A322" s="13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</row>
    <row r="323" spans="1:53" s="12" customFormat="1" x14ac:dyDescent="0.25"/>
    <row r="324" spans="1:53" s="12" customFormat="1" x14ac:dyDescent="0.25"/>
    <row r="325" spans="1:53" s="12" customFormat="1" x14ac:dyDescent="0.25"/>
    <row r="326" spans="1:53" s="12" customFormat="1" x14ac:dyDescent="0.25"/>
    <row r="327" spans="1:53" s="12" customFormat="1" x14ac:dyDescent="0.25"/>
    <row r="328" spans="1:53" s="12" customFormat="1" x14ac:dyDescent="0.25"/>
    <row r="329" spans="1:53" s="12" customFormat="1" x14ac:dyDescent="0.25"/>
    <row r="330" spans="1:53" s="12" customFormat="1" x14ac:dyDescent="0.25"/>
    <row r="331" spans="1:53" s="12" customFormat="1" x14ac:dyDescent="0.25"/>
    <row r="332" spans="1:53" s="12" customFormat="1" x14ac:dyDescent="0.25"/>
    <row r="333" spans="1:53" s="12" customFormat="1" x14ac:dyDescent="0.25"/>
    <row r="334" spans="1:53" s="12" customFormat="1" x14ac:dyDescent="0.25"/>
    <row r="335" spans="1:53" s="12" customFormat="1" x14ac:dyDescent="0.25"/>
    <row r="336" spans="1:53" s="12" customFormat="1" x14ac:dyDescent="0.25"/>
    <row r="337" s="12" customFormat="1" x14ac:dyDescent="0.25"/>
    <row r="338" s="12" customFormat="1" x14ac:dyDescent="0.25"/>
    <row r="339" s="12" customFormat="1" x14ac:dyDescent="0.25"/>
    <row r="340" s="12" customFormat="1" x14ac:dyDescent="0.25"/>
    <row r="341" s="12" customFormat="1" x14ac:dyDescent="0.25"/>
    <row r="342" s="12" customFormat="1" x14ac:dyDescent="0.25"/>
    <row r="343" s="12" customFormat="1" x14ac:dyDescent="0.25"/>
    <row r="344" s="12" customFormat="1" x14ac:dyDescent="0.25"/>
    <row r="345" s="12" customFormat="1" x14ac:dyDescent="0.25"/>
  </sheetData>
  <mergeCells count="1">
    <mergeCell ref="A98:D102"/>
  </mergeCells>
  <dataValidations count="2">
    <dataValidation type="list" allowBlank="1" showInputMessage="1" showErrorMessage="1" sqref="D83:D84" xr:uid="{1520E370-C98C-41DD-BB98-369D6C51E6D5}">
      <formula1>"amp,trans,nil"</formula1>
    </dataValidation>
    <dataValidation type="list" allowBlank="1" showInputMessage="1" showErrorMessage="1" sqref="C1" xr:uid="{3BCC621F-C9E2-46C7-8CF8-B8C16D21870E}">
      <formula1>$B$115:$B$155</formula1>
    </dataValidation>
  </dataValidation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343E2-95C9-48D2-A8D7-932E3C889278}">
  <sheetPr codeName="Sheet19"/>
  <dimension ref="A1:AL337"/>
  <sheetViews>
    <sheetView zoomScale="85" zoomScaleNormal="85" zoomScaleSheetLayoutView="40" workbookViewId="0">
      <selection activeCell="E25" sqref="E25"/>
    </sheetView>
  </sheetViews>
  <sheetFormatPr defaultRowHeight="15" x14ac:dyDescent="0.25"/>
  <cols>
    <col min="1" max="1" width="15.7109375" bestFit="1" customWidth="1"/>
    <col min="2" max="2" width="23.28515625" bestFit="1" customWidth="1"/>
    <col min="3" max="3" width="16.42578125" bestFit="1" customWidth="1"/>
    <col min="4" max="4" width="15.5703125" bestFit="1" customWidth="1"/>
    <col min="5" max="5" width="36.7109375" bestFit="1" customWidth="1"/>
    <col min="6" max="7" width="13.28515625" bestFit="1" customWidth="1"/>
    <col min="8" max="8" width="20.7109375" bestFit="1" customWidth="1"/>
    <col min="9" max="9" width="28.7109375" style="45" bestFit="1" customWidth="1"/>
    <col min="10" max="10" width="13.28515625" style="45" bestFit="1" customWidth="1"/>
    <col min="11" max="12" width="13.28515625" bestFit="1" customWidth="1"/>
    <col min="13" max="13" width="8.42578125" bestFit="1" customWidth="1"/>
    <col min="14" max="14" width="13.28515625" bestFit="1" customWidth="1"/>
    <col min="15" max="15" width="28.7109375" bestFit="1" customWidth="1"/>
    <col min="16" max="16" width="32.28515625" bestFit="1" customWidth="1"/>
    <col min="17" max="20" width="13.28515625" bestFit="1" customWidth="1"/>
    <col min="21" max="21" width="28.7109375" bestFit="1" customWidth="1"/>
    <col min="22" max="33" width="13.28515625" bestFit="1" customWidth="1"/>
    <col min="34" max="34" width="12.28515625" bestFit="1" customWidth="1"/>
  </cols>
  <sheetData>
    <row r="1" spans="1:30" ht="14.65" customHeight="1" x14ac:dyDescent="0.25">
      <c r="A1" s="1"/>
      <c r="C1" t="s">
        <v>65</v>
      </c>
      <c r="D1">
        <v>90</v>
      </c>
      <c r="E1" s="28" t="s">
        <v>84</v>
      </c>
      <c r="F1" s="28"/>
      <c r="H1" s="77" t="s">
        <v>150</v>
      </c>
      <c r="I1" s="76"/>
    </row>
    <row r="2" spans="1:30" x14ac:dyDescent="0.25">
      <c r="A2" s="1"/>
      <c r="B2" s="15" t="s">
        <v>64</v>
      </c>
      <c r="D2" s="28">
        <v>0</v>
      </c>
      <c r="E2" s="28" t="s">
        <v>85</v>
      </c>
      <c r="F2" s="28" t="s">
        <v>86</v>
      </c>
      <c r="H2" s="26" t="s">
        <v>136</v>
      </c>
      <c r="I2" s="26"/>
      <c r="J2"/>
    </row>
    <row r="3" spans="1:30" x14ac:dyDescent="0.25">
      <c r="A3" s="1"/>
      <c r="B3" s="87" t="s">
        <v>47</v>
      </c>
      <c r="C3" s="35">
        <f>VLOOKUP($C$1,$B$115:$E$159,2,FALSE)*IF(VLOOKUP($C$1,$B$115:$G$159,6,FALSE)=5,($D$1-1)*0.087394+1,($D$1-1)*0.082566+1)+IFERROR(VLOOKUP($C$1,$A$162:$AG$206,5+4*FLOOR(($D$1-1)/10-2,1)+1,FALSE),0)</f>
        <v>297.48318054188866</v>
      </c>
      <c r="D3" s="36">
        <f>(C3+C25)*(1+IF(VLOOKUP($C$1,$A$162:$AH$202,34,FALSE)="atk%",VLOOKUP($C$1,$A$162:$AH$202,1+4*FLOOR($D$1/10-2,1)+4,FALSE),0)+C27+C48+C90*E90+E3+C62)+C26+C46+C87*E87+F3+C61</f>
        <v>810.85866072859767</v>
      </c>
      <c r="E3" s="7">
        <v>0</v>
      </c>
      <c r="F3">
        <v>0</v>
      </c>
      <c r="H3" s="22" t="s">
        <v>91</v>
      </c>
      <c r="I3" s="59">
        <v>0.1</v>
      </c>
      <c r="J3"/>
    </row>
    <row r="4" spans="1:30" x14ac:dyDescent="0.25">
      <c r="A4" s="1"/>
      <c r="B4" s="88" t="s">
        <v>45</v>
      </c>
      <c r="C4" s="35">
        <f>VLOOKUP($C$1,$B$115:$E$159,3,FALSE)*IF(VLOOKUP($C$1,$B$115:$G$159,6,FALSE)=5,($D$1-1)*0.087394+1,($D$1-1)*0.082566+1)+IFERROR(VLOOKUP($C$1,$A$162:$AG$206,5+4*FLOOR(($D$1-1)/10-2,1)+3,FALSE),0)</f>
        <v>809.4362486588052</v>
      </c>
      <c r="D4" s="36">
        <f>C4*(1+IF(VLOOKUP($C$1,$A$162:$AH$202,34,FALSE)="def%",VLOOKUP($C$1,$A$162:$AH$202,1+4*FLOOR($D$1/10-2,1)+4,FALSE),0)+C28+C49+C91*E91+E4+C63)+C88*E88+F4</f>
        <v>949.80634349249715</v>
      </c>
      <c r="E4" s="7">
        <v>0</v>
      </c>
      <c r="F4">
        <v>0</v>
      </c>
      <c r="H4" s="57" t="s">
        <v>92</v>
      </c>
      <c r="I4" s="59">
        <v>0.1</v>
      </c>
      <c r="J4"/>
    </row>
    <row r="5" spans="1:30" x14ac:dyDescent="0.25">
      <c r="A5" s="1"/>
      <c r="B5" s="89" t="s">
        <v>46</v>
      </c>
      <c r="C5" s="35">
        <f>VLOOKUP($C$1,$B$115:$E$159,4,FALSE)*IF(VLOOKUP($C$1,$B$115:$G$159,6,FALSE)=5,($D$1-1)*0.087394+1,($D$1-1)*0.082566+1)+IFERROR(VLOOKUP($C$1,$A$162:$AG$206,1+4*FLOOR(($D$1-1)/10-2,1)+2,FALSE),0)</f>
        <v>12755.593076223848</v>
      </c>
      <c r="D5" s="36">
        <f>C5*(1+IF(VLOOKUP($C$1,$A$162:$AH$202,34,FALSE)="hp%",VLOOKUP($C$1,$A$162:$AH$202,1+4*FLOOR($D$1/10-2,1)+4,FALSE),0)+C29+C50+C92*E92+E5+C64)+C89*E89+C47+F5</f>
        <v>19319.152383846234</v>
      </c>
      <c r="E5" s="7">
        <v>0</v>
      </c>
      <c r="F5">
        <v>0</v>
      </c>
      <c r="H5" s="58" t="s">
        <v>103</v>
      </c>
      <c r="I5" s="59">
        <v>0.1</v>
      </c>
      <c r="J5"/>
    </row>
    <row r="6" spans="1:30" x14ac:dyDescent="0.25">
      <c r="A6" s="1"/>
      <c r="B6" s="90" t="s">
        <v>3</v>
      </c>
      <c r="C6" s="37">
        <f>0.05+IFERROR(IF(VLOOKUP($C$1,$A$162:$AH$206,34,FALSE)="crit",VLOOKUP($C$1,$A$162:$AH$206,1+4*FLOOR($D$1/10-2,1)+4,FALSE),0),0)</f>
        <v>0.05</v>
      </c>
      <c r="D6" s="38">
        <f>C6+C30+C51+C93*E93+E6+C65</f>
        <v>0.42699999999999999</v>
      </c>
      <c r="E6" s="7">
        <v>0</v>
      </c>
      <c r="F6" s="1"/>
      <c r="J6"/>
    </row>
    <row r="7" spans="1:30" x14ac:dyDescent="0.25">
      <c r="A7" s="1"/>
      <c r="B7" s="91" t="s">
        <v>2</v>
      </c>
      <c r="C7" s="37">
        <f>0.5+IFERROR(IF(VLOOKUP($C$1,$A$162:$AH$206,34,FALSE)="crit damage",VLOOKUP($C$1,$A$162:$AH$206,1+4*FLOOR($D$1/10-2,1)+4,FALSE),0),0)</f>
        <v>0.5</v>
      </c>
      <c r="D7" s="38">
        <f>C7+C31+C94*E94+C52+E7+C66</f>
        <v>0.63200000000000001</v>
      </c>
      <c r="E7" s="7">
        <v>0</v>
      </c>
      <c r="F7" s="1"/>
      <c r="H7" s="77" t="s">
        <v>155</v>
      </c>
      <c r="I7" s="76"/>
      <c r="J7" s="79"/>
      <c r="O7" s="77" t="s">
        <v>164</v>
      </c>
      <c r="P7" s="76" t="s">
        <v>169</v>
      </c>
      <c r="Q7" s="76"/>
      <c r="U7" s="77" t="s">
        <v>154</v>
      </c>
      <c r="V7" s="76"/>
      <c r="W7" s="76"/>
      <c r="X7" s="45"/>
    </row>
    <row r="8" spans="1:30" x14ac:dyDescent="0.25">
      <c r="A8" s="1"/>
      <c r="B8" s="92" t="s">
        <v>1</v>
      </c>
      <c r="C8" s="22">
        <f>IF(VLOOKUP($C$1,$A$162:$AH$206,34,FALSE)="em",VLOOKUP($C$1,$A$162:$AH$206,1+4*FLOOR($D$1/10-2,1)+4,FALSE),0)</f>
        <v>115.199996948242</v>
      </c>
      <c r="D8" s="36">
        <f>C8+C32+C95*E95+C53+F8+C67</f>
        <v>155.19999694824202</v>
      </c>
      <c r="E8" s="20"/>
      <c r="F8">
        <v>0</v>
      </c>
      <c r="H8" s="23" t="s">
        <v>162</v>
      </c>
      <c r="I8" s="23"/>
      <c r="J8" s="23"/>
      <c r="K8" s="23"/>
      <c r="L8" s="23"/>
      <c r="M8" s="23"/>
      <c r="O8" s="23" t="s">
        <v>165</v>
      </c>
      <c r="P8" s="23"/>
      <c r="Q8" s="23"/>
      <c r="R8" s="23"/>
      <c r="S8" s="23"/>
      <c r="U8" s="23" t="s">
        <v>116</v>
      </c>
      <c r="V8" s="23"/>
      <c r="W8" s="23"/>
      <c r="X8" s="23"/>
      <c r="Y8" s="23"/>
      <c r="Z8" s="23"/>
      <c r="AA8" s="23"/>
      <c r="AB8" s="23"/>
      <c r="AC8" s="23"/>
      <c r="AD8" s="23"/>
    </row>
    <row r="9" spans="1:30" x14ac:dyDescent="0.25">
      <c r="A9" s="1"/>
      <c r="B9" s="93" t="s">
        <v>53</v>
      </c>
      <c r="C9" s="39">
        <v>0</v>
      </c>
      <c r="D9" s="38">
        <f>C9+C33+C68+1</f>
        <v>1</v>
      </c>
      <c r="E9" s="28" t="s">
        <v>71</v>
      </c>
      <c r="F9" s="22">
        <f>IF(_xlfn.NUMBERVALUE(D1)&lt;60, 0.0002325*D1^3+0.05547*D1^2-0.2523*D1+14.47,0.00194*D1^3-0.319*D1^2+30.7*D1-868)</f>
        <v>725.3599999999999</v>
      </c>
      <c r="H9" s="27"/>
      <c r="I9" s="31" t="s">
        <v>163</v>
      </c>
      <c r="J9" s="22" t="e">
        <f>J18*J20*J19*J21</f>
        <v>#N/A</v>
      </c>
      <c r="K9" s="22" t="e">
        <f t="shared" ref="K9:M9" si="0">K18*K20*K19*K21</f>
        <v>#N/A</v>
      </c>
      <c r="L9" s="22" t="e">
        <f t="shared" si="0"/>
        <v>#N/A</v>
      </c>
      <c r="M9" s="22">
        <f t="shared" si="0"/>
        <v>0</v>
      </c>
      <c r="O9" s="22" t="s">
        <v>163</v>
      </c>
      <c r="P9" s="31" t="str">
        <f>CONCATENATE(P10,"*",ROUND(P15*P18*P16*P17*P19,0)," damage")</f>
        <v>*0 damage</v>
      </c>
      <c r="Q9" s="31" t="str">
        <f t="shared" ref="Q9:S9" si="1">CONCATENATE(Q10,"*",ROUND(Q15*Q18*Q16*Q17*Q19,0)," damage")</f>
        <v>*0 damage</v>
      </c>
      <c r="R9" s="31" t="str">
        <f t="shared" si="1"/>
        <v>*0 damage</v>
      </c>
      <c r="S9" s="31" t="str">
        <f t="shared" si="1"/>
        <v>*0 damage</v>
      </c>
      <c r="U9" s="84" t="s">
        <v>177</v>
      </c>
      <c r="V9" s="22">
        <f t="shared" ref="V9:AD9" si="2">V14*V11*(V15+V16)*(1-V17)*IF(ISBLANK(V20),1,V20)</f>
        <v>0</v>
      </c>
      <c r="W9" s="22">
        <f t="shared" si="2"/>
        <v>0</v>
      </c>
      <c r="X9" s="22">
        <f t="shared" si="2"/>
        <v>0</v>
      </c>
      <c r="Y9" s="22">
        <f t="shared" si="2"/>
        <v>0</v>
      </c>
      <c r="Z9" s="22">
        <f t="shared" si="2"/>
        <v>0</v>
      </c>
      <c r="AA9" s="22">
        <f t="shared" si="2"/>
        <v>0</v>
      </c>
      <c r="AB9" s="22">
        <f t="shared" si="2"/>
        <v>0</v>
      </c>
      <c r="AC9" s="22">
        <f t="shared" si="2"/>
        <v>0</v>
      </c>
      <c r="AD9" s="22">
        <f t="shared" si="2"/>
        <v>0</v>
      </c>
    </row>
    <row r="10" spans="1:30" x14ac:dyDescent="0.25">
      <c r="A10" s="1"/>
      <c r="B10" s="94" t="s">
        <v>91</v>
      </c>
      <c r="C10" s="39">
        <v>0</v>
      </c>
      <c r="D10" s="38">
        <f>IFERROR(IF(VLOOKUP($C$1,$A$162:$AH$206,34,FALSE)="dmg%",VLOOKUP($C$1,$A$162:$AH$206,1+4*FLOOR($D$1/10-2,1)+4,FALSE),0),0)+IF(AND(C1="xingqiu",_xlfn.NUMBERVALUE(D1)&gt;=60),0.2,0)+C34+C54+C69+C10</f>
        <v>0.46600000000000003</v>
      </c>
      <c r="E10" s="28" t="s">
        <v>77</v>
      </c>
      <c r="F10" s="22">
        <f>$F$9*4</f>
        <v>2901.4399999999996</v>
      </c>
      <c r="H10" s="66" t="s">
        <v>143</v>
      </c>
      <c r="I10" s="67" t="s">
        <v>82</v>
      </c>
      <c r="J10" s="60"/>
      <c r="K10" s="60"/>
      <c r="L10" s="60"/>
      <c r="M10" s="60"/>
      <c r="O10" s="67" t="s">
        <v>83</v>
      </c>
      <c r="P10" s="51"/>
      <c r="Q10" s="51"/>
      <c r="R10" s="51"/>
      <c r="S10" s="51"/>
      <c r="U10" s="67" t="s">
        <v>97</v>
      </c>
      <c r="V10" s="24"/>
      <c r="W10" s="24"/>
      <c r="X10" s="24"/>
      <c r="Y10" s="24"/>
      <c r="Z10" s="24"/>
      <c r="AA10" s="24"/>
      <c r="AB10" s="24"/>
      <c r="AC10" s="24"/>
      <c r="AD10" s="24"/>
    </row>
    <row r="11" spans="1:30" x14ac:dyDescent="0.25">
      <c r="A11" s="1"/>
      <c r="B11" s="96" t="s">
        <v>92</v>
      </c>
      <c r="C11" s="40">
        <v>0</v>
      </c>
      <c r="D11" s="38">
        <f>C11+C35+C55+C70</f>
        <v>0</v>
      </c>
      <c r="E11" s="28" t="s">
        <v>78</v>
      </c>
      <c r="F11" s="22">
        <f>$F$9*2.4</f>
        <v>1740.8639999999998</v>
      </c>
      <c r="H11" s="66"/>
      <c r="I11" s="67" t="s">
        <v>83</v>
      </c>
      <c r="J11" s="51"/>
      <c r="K11" s="51"/>
      <c r="L11" s="51"/>
      <c r="M11" s="51"/>
      <c r="O11" s="67" t="s">
        <v>158</v>
      </c>
      <c r="P11" s="60"/>
      <c r="Q11" s="60"/>
      <c r="R11" s="60"/>
      <c r="S11" s="60"/>
      <c r="U11" s="67" t="s">
        <v>83</v>
      </c>
      <c r="V11" s="24"/>
      <c r="W11" s="24"/>
      <c r="X11" s="24"/>
      <c r="Y11" s="24"/>
      <c r="Z11" s="24"/>
      <c r="AA11" s="24"/>
      <c r="AB11" s="24"/>
      <c r="AC11" s="24"/>
      <c r="AD11" s="24"/>
    </row>
    <row r="12" spans="1:30" x14ac:dyDescent="0.25">
      <c r="A12" s="1"/>
      <c r="B12" s="97" t="s">
        <v>103</v>
      </c>
      <c r="C12" s="40">
        <v>0</v>
      </c>
      <c r="D12" s="38">
        <f>IFERROR(IF(VLOOKUP($C$1,$A$162:$AH$206,34,FALSE)="phy%",VLOOKUP($C$1,$A$162:$AH$206,1+4*FLOOR($D$1/10-2,1)+4,FALSE),0),0)+C36+C56+C12+C71</f>
        <v>0</v>
      </c>
      <c r="E12" s="28" t="s">
        <v>79</v>
      </c>
      <c r="F12" s="22">
        <f>$F$9*1</f>
        <v>725.3599999999999</v>
      </c>
      <c r="H12" s="66"/>
      <c r="I12" s="67" t="s">
        <v>88</v>
      </c>
      <c r="J12" s="51"/>
      <c r="K12" s="51"/>
      <c r="L12" s="51"/>
      <c r="M12" s="51"/>
      <c r="O12" s="67" t="s">
        <v>156</v>
      </c>
      <c r="P12" s="60"/>
      <c r="Q12" s="60"/>
      <c r="R12" s="60"/>
      <c r="S12" s="60"/>
      <c r="U12" s="67" t="s">
        <v>100</v>
      </c>
      <c r="V12" s="29"/>
      <c r="W12" s="29"/>
      <c r="X12" s="29"/>
      <c r="Y12" s="29"/>
      <c r="Z12" s="29"/>
      <c r="AA12" s="29"/>
      <c r="AB12" s="29"/>
      <c r="AC12" s="29"/>
      <c r="AD12" s="29"/>
    </row>
    <row r="13" spans="1:30" x14ac:dyDescent="0.25">
      <c r="A13" s="1"/>
      <c r="B13" s="95" t="s">
        <v>93</v>
      </c>
      <c r="C13" s="39">
        <v>0</v>
      </c>
      <c r="D13" s="38">
        <f>C13+C37+C72</f>
        <v>0</v>
      </c>
      <c r="E13" s="28" t="s">
        <v>80</v>
      </c>
      <c r="F13" s="22">
        <f>$F$9*1.2</f>
        <v>870.4319999999999</v>
      </c>
      <c r="H13" s="66"/>
      <c r="I13" s="67" t="s">
        <v>159</v>
      </c>
      <c r="J13" s="51"/>
      <c r="K13" s="51"/>
      <c r="L13" s="51"/>
      <c r="M13" s="51"/>
      <c r="O13" s="67" t="s">
        <v>157</v>
      </c>
      <c r="P13" s="60"/>
      <c r="Q13" s="60"/>
      <c r="R13" s="60"/>
      <c r="S13" s="60"/>
      <c r="U13" s="67" t="s">
        <v>142</v>
      </c>
      <c r="V13" s="59"/>
      <c r="W13" s="62"/>
      <c r="X13" s="24"/>
      <c r="Y13" s="24"/>
      <c r="Z13" s="24"/>
      <c r="AA13" s="24"/>
      <c r="AB13" s="24"/>
      <c r="AC13" s="24"/>
      <c r="AD13" s="24"/>
    </row>
    <row r="14" spans="1:30" x14ac:dyDescent="0.25">
      <c r="A14" s="1"/>
      <c r="B14" s="98" t="s">
        <v>94</v>
      </c>
      <c r="C14" s="39">
        <v>0</v>
      </c>
      <c r="D14" s="38">
        <f>C14+C38+C73</f>
        <v>0</v>
      </c>
      <c r="E14" s="28" t="s">
        <v>149</v>
      </c>
      <c r="F14" s="22">
        <f>$F$9*3</f>
        <v>2176.08</v>
      </c>
      <c r="H14" s="66"/>
      <c r="I14" s="67" t="s">
        <v>158</v>
      </c>
      <c r="J14" s="60"/>
      <c r="K14" s="60"/>
      <c r="L14" s="60"/>
      <c r="M14" s="60"/>
      <c r="O14" s="67" t="s">
        <v>95</v>
      </c>
      <c r="P14" s="60"/>
      <c r="Q14" s="60"/>
      <c r="R14" s="60"/>
      <c r="S14" s="60"/>
      <c r="U14" s="32" t="s">
        <v>140</v>
      </c>
      <c r="V14" s="63">
        <f t="shared" ref="V14:AD14" si="3">IF(V10="ol",$F$10,IF(V10="ec",$F$11,IF(V10="sc",$F$12,IF(V10="swirl",$F$13,IF(V10="shatter",$F$14,0)))))</f>
        <v>0</v>
      </c>
      <c r="W14" s="63">
        <f t="shared" si="3"/>
        <v>0</v>
      </c>
      <c r="X14" s="63">
        <f t="shared" si="3"/>
        <v>0</v>
      </c>
      <c r="Y14" s="63">
        <f t="shared" si="3"/>
        <v>0</v>
      </c>
      <c r="Z14" s="63">
        <f t="shared" si="3"/>
        <v>0</v>
      </c>
      <c r="AA14" s="63">
        <f t="shared" si="3"/>
        <v>0</v>
      </c>
      <c r="AB14" s="63">
        <f t="shared" si="3"/>
        <v>0</v>
      </c>
      <c r="AC14" s="63">
        <f t="shared" si="3"/>
        <v>0</v>
      </c>
      <c r="AD14" s="63">
        <f t="shared" si="3"/>
        <v>0</v>
      </c>
    </row>
    <row r="15" spans="1:30" x14ac:dyDescent="0.25">
      <c r="A15" s="1"/>
      <c r="B15" s="99" t="s">
        <v>151</v>
      </c>
      <c r="C15" s="39">
        <v>0</v>
      </c>
      <c r="D15" s="38">
        <f>C15+C39+C74</f>
        <v>0</v>
      </c>
      <c r="E15" s="78" t="s">
        <v>167</v>
      </c>
      <c r="F15" s="22">
        <f>IF(_xlfn.NUMBERVALUE(D1)&lt;60, 0.00176*D1^3-0.004*D1^2+9.8*D1+81.5,28.3*D1-666)</f>
        <v>1881</v>
      </c>
      <c r="H15" s="66"/>
      <c r="I15" s="67" t="s">
        <v>156</v>
      </c>
      <c r="J15" s="60"/>
      <c r="K15" s="60"/>
      <c r="L15" s="60"/>
      <c r="M15" s="60"/>
      <c r="O15" s="32" t="s">
        <v>168</v>
      </c>
      <c r="P15" s="31">
        <f>$F$15*P11</f>
        <v>0</v>
      </c>
      <c r="Q15" s="31">
        <f t="shared" ref="Q15:S15" si="4">$F$15*Q11</f>
        <v>0</v>
      </c>
      <c r="R15" s="31">
        <f t="shared" si="4"/>
        <v>0</v>
      </c>
      <c r="S15" s="31">
        <f t="shared" si="4"/>
        <v>0</v>
      </c>
      <c r="U15" s="32" t="s">
        <v>139</v>
      </c>
      <c r="V15" s="64">
        <f t="shared" ref="V15:AD15" si="5">1+(16*($D$8+V18))/(2000+(V18+$D$8))</f>
        <v>2.1521900309428714</v>
      </c>
      <c r="W15" s="64">
        <f t="shared" si="5"/>
        <v>2.1521900309428714</v>
      </c>
      <c r="X15" s="64">
        <f t="shared" si="5"/>
        <v>2.1521900309428714</v>
      </c>
      <c r="Y15" s="64">
        <f t="shared" si="5"/>
        <v>2.1521900309428714</v>
      </c>
      <c r="Z15" s="64">
        <f t="shared" si="5"/>
        <v>2.1521900309428714</v>
      </c>
      <c r="AA15" s="64">
        <f t="shared" si="5"/>
        <v>2.1521900309428714</v>
      </c>
      <c r="AB15" s="64">
        <f t="shared" si="5"/>
        <v>2.1521900309428714</v>
      </c>
      <c r="AC15" s="64">
        <f t="shared" si="5"/>
        <v>2.1521900309428714</v>
      </c>
      <c r="AD15" s="64">
        <f t="shared" si="5"/>
        <v>2.1521900309428714</v>
      </c>
    </row>
    <row r="16" spans="1:30" x14ac:dyDescent="0.25">
      <c r="A16" s="1"/>
      <c r="B16" s="100" t="s">
        <v>105</v>
      </c>
      <c r="C16" s="39">
        <v>0</v>
      </c>
      <c r="D16" s="38">
        <f>C16+C40+C75</f>
        <v>0</v>
      </c>
      <c r="F16" s="12"/>
      <c r="H16" s="66"/>
      <c r="I16" s="67" t="s">
        <v>157</v>
      </c>
      <c r="J16" s="60"/>
      <c r="K16" s="60"/>
      <c r="L16" s="60"/>
      <c r="M16" s="60"/>
      <c r="O16" s="32" t="s">
        <v>170</v>
      </c>
      <c r="P16" s="81">
        <f>1+(4.44*($D$8+P22))/(1400+$D$8+P22)+P23</f>
        <v>1.4430864119099711</v>
      </c>
      <c r="Q16" s="81">
        <f t="shared" ref="Q16:S16" si="6">1+(4.44*($D$8+Q22))/(1400+$D$8+Q22)+Q23</f>
        <v>1.4430864119099711</v>
      </c>
      <c r="R16" s="81">
        <f t="shared" si="6"/>
        <v>1.4430864119099711</v>
      </c>
      <c r="S16" s="81">
        <f t="shared" si="6"/>
        <v>1.4430864119099711</v>
      </c>
      <c r="U16" s="32" t="s">
        <v>99</v>
      </c>
      <c r="V16" s="59">
        <f t="shared" ref="V16:AD16" si="7">IF(V10="ol",$C$81,IF(V10="ec",$C$82,IF(V10="sc",$C$83,IF(V10="swirl",$C$84,0))))+V19</f>
        <v>0</v>
      </c>
      <c r="W16" s="59">
        <f t="shared" si="7"/>
        <v>0</v>
      </c>
      <c r="X16" s="59">
        <f t="shared" si="7"/>
        <v>0</v>
      </c>
      <c r="Y16" s="59">
        <f t="shared" si="7"/>
        <v>0</v>
      </c>
      <c r="Z16" s="59">
        <f t="shared" si="7"/>
        <v>0</v>
      </c>
      <c r="AA16" s="59">
        <f t="shared" si="7"/>
        <v>0</v>
      </c>
      <c r="AB16" s="59">
        <f t="shared" si="7"/>
        <v>0</v>
      </c>
      <c r="AC16" s="59">
        <f t="shared" si="7"/>
        <v>0</v>
      </c>
      <c r="AD16" s="59">
        <f t="shared" si="7"/>
        <v>0</v>
      </c>
    </row>
    <row r="17" spans="1:30" x14ac:dyDescent="0.25">
      <c r="A17" s="1"/>
      <c r="B17" s="101" t="s">
        <v>72</v>
      </c>
      <c r="C17" s="39">
        <v>0</v>
      </c>
      <c r="D17" s="38">
        <f>C17+C41+C76</f>
        <v>0</v>
      </c>
      <c r="F17" s="12"/>
      <c r="H17" s="66"/>
      <c r="I17" s="67" t="s">
        <v>95</v>
      </c>
      <c r="J17" s="60"/>
      <c r="K17" s="60"/>
      <c r="L17" s="60"/>
      <c r="M17" s="60"/>
      <c r="O17" s="32" t="s">
        <v>166</v>
      </c>
      <c r="P17" s="80">
        <f>1/(1-P14)*(1-P13)</f>
        <v>1</v>
      </c>
      <c r="Q17" s="80">
        <f t="shared" ref="Q17:S17" si="8">1/(1-Q14)*(1-Q13)</f>
        <v>1</v>
      </c>
      <c r="R17" s="80">
        <f t="shared" si="8"/>
        <v>1</v>
      </c>
      <c r="S17" s="80">
        <f t="shared" si="8"/>
        <v>1</v>
      </c>
      <c r="U17" s="32" t="s">
        <v>141</v>
      </c>
      <c r="V17" s="60">
        <f t="shared" ref="V17:AD17" si="9">IF(V13-V12&lt;0,0.5*(V13-V12),V13-V12)</f>
        <v>0</v>
      </c>
      <c r="W17" s="60">
        <f t="shared" si="9"/>
        <v>0</v>
      </c>
      <c r="X17" s="60">
        <f t="shared" si="9"/>
        <v>0</v>
      </c>
      <c r="Y17" s="60">
        <f t="shared" si="9"/>
        <v>0</v>
      </c>
      <c r="Z17" s="60">
        <f t="shared" si="9"/>
        <v>0</v>
      </c>
      <c r="AA17" s="60">
        <f t="shared" si="9"/>
        <v>0</v>
      </c>
      <c r="AB17" s="60">
        <f t="shared" si="9"/>
        <v>0</v>
      </c>
      <c r="AC17" s="60">
        <f t="shared" si="9"/>
        <v>0</v>
      </c>
      <c r="AD17" s="60">
        <f t="shared" si="9"/>
        <v>0</v>
      </c>
    </row>
    <row r="18" spans="1:30" x14ac:dyDescent="0.25">
      <c r="A18" s="1"/>
      <c r="B18" s="21" t="s">
        <v>104</v>
      </c>
      <c r="C18" s="39">
        <v>0</v>
      </c>
      <c r="D18" s="38">
        <f>C18</f>
        <v>0</v>
      </c>
      <c r="E18" s="28" t="s">
        <v>81</v>
      </c>
      <c r="F18" s="12"/>
      <c r="H18" s="65" t="s">
        <v>108</v>
      </c>
      <c r="I18" s="32" t="s">
        <v>160</v>
      </c>
      <c r="J18" s="22" t="e">
        <f>VLOOKUP(J12,B3:D8,3,FALSE)*J10*J11+J13</f>
        <v>#N/A</v>
      </c>
      <c r="K18" s="22" t="e">
        <f>VLOOKUP(K12,C3:E8,3,FALSE)*K10*K11+K13</f>
        <v>#N/A</v>
      </c>
      <c r="L18" s="22" t="e">
        <f>VLOOKUP(L12,D3:F8,3,FALSE)*L10*L11+L13</f>
        <v>#N/A</v>
      </c>
      <c r="M18" s="22">
        <f>VLOOKUP(M12,E3:G8,3,FALSE)*M10*M11+M13</f>
        <v>0</v>
      </c>
      <c r="O18" s="32" t="s">
        <v>161</v>
      </c>
      <c r="P18" s="80">
        <f>(1+P11)*(1+P12)</f>
        <v>1</v>
      </c>
      <c r="Q18" s="80">
        <f t="shared" ref="Q18:S18" si="10">(1+Q11)*(1+Q12)</f>
        <v>1</v>
      </c>
      <c r="R18" s="80">
        <f t="shared" si="10"/>
        <v>1</v>
      </c>
      <c r="S18" s="80">
        <f t="shared" si="10"/>
        <v>1</v>
      </c>
      <c r="U18" s="69" t="s">
        <v>98</v>
      </c>
      <c r="V18" s="24"/>
      <c r="W18" s="24"/>
      <c r="X18" s="24"/>
      <c r="Y18" s="24"/>
      <c r="Z18" s="24"/>
      <c r="AA18" s="24"/>
      <c r="AB18" s="24"/>
      <c r="AC18" s="24"/>
      <c r="AD18" s="24"/>
    </row>
    <row r="19" spans="1:30" x14ac:dyDescent="0.25">
      <c r="A19" s="1"/>
      <c r="B19" s="103" t="s">
        <v>11</v>
      </c>
      <c r="C19" s="39">
        <v>0</v>
      </c>
      <c r="D19" s="38">
        <f>IF(VLOOKUP($C$1,$A$162:$AH$206,34,FALSE)="er",VLOOKUP($C$1,$A$162:$AH$206,1+4*FLOOR($D$1/10-2,1)+4,FALSE),0)+C57+C77+C42+C96*E96+1</f>
        <v>1.1160000000000001</v>
      </c>
      <c r="E19" s="13">
        <v>1.6</v>
      </c>
      <c r="F19" s="12"/>
      <c r="H19" s="65"/>
      <c r="I19" s="32" t="s">
        <v>166</v>
      </c>
      <c r="J19" s="44">
        <f>1/((1-J17)*(1-J16))</f>
        <v>1</v>
      </c>
      <c r="K19" s="44">
        <f t="shared" ref="K19:M19" si="11">1/((1-K17)*(1-K16))</f>
        <v>1</v>
      </c>
      <c r="L19" s="44">
        <f t="shared" si="11"/>
        <v>1</v>
      </c>
      <c r="M19" s="44">
        <f t="shared" si="11"/>
        <v>1</v>
      </c>
      <c r="O19" s="32" t="s">
        <v>161</v>
      </c>
      <c r="P19" s="80">
        <f>($D$4+$C$4*P20+P21+1000)/($D$4+$C$4*P20+P21)</f>
        <v>2.0528462005454053</v>
      </c>
      <c r="Q19" s="80">
        <f t="shared" ref="Q19:S19" si="12">($D$4+$C$4*Q20+Q21+1000)/($D$4+$C$4*Q20+Q21)</f>
        <v>2.0528462005454053</v>
      </c>
      <c r="R19" s="80">
        <f t="shared" si="12"/>
        <v>2.0528462005454053</v>
      </c>
      <c r="S19" s="80">
        <f t="shared" si="12"/>
        <v>2.0528462005454053</v>
      </c>
      <c r="U19" s="69" t="s">
        <v>99</v>
      </c>
      <c r="V19" s="29"/>
      <c r="W19" s="29"/>
      <c r="X19" s="29"/>
      <c r="Y19" s="29"/>
      <c r="Z19" s="29"/>
      <c r="AA19" s="29"/>
      <c r="AB19" s="29"/>
      <c r="AC19" s="29"/>
      <c r="AD19" s="29"/>
    </row>
    <row r="20" spans="1:30" x14ac:dyDescent="0.25">
      <c r="A20" s="1"/>
      <c r="B20" s="104" t="s">
        <v>148</v>
      </c>
      <c r="C20" s="39">
        <v>0</v>
      </c>
      <c r="D20" s="75">
        <f>C20+IFERROR(IF(VLOOKUP($C$1,$A$162:$AH$206,34,FALSE)="heal%",VLOOKUP($C$1,$A$162:$AH$206,1+4*FLOOR($D$1/10-2,1)+4,FALSE),0),0)+C43+C78+C58</f>
        <v>0</v>
      </c>
      <c r="E20" s="13"/>
      <c r="F20" s="12"/>
      <c r="H20" s="65"/>
      <c r="I20" s="32" t="s">
        <v>161</v>
      </c>
      <c r="J20" s="80">
        <f>(1+J15)*(1+J14)</f>
        <v>1</v>
      </c>
      <c r="K20" s="80">
        <f t="shared" ref="K20:M20" si="13">(1+K15)*(1+K14)</f>
        <v>1</v>
      </c>
      <c r="L20" s="80">
        <f t="shared" si="13"/>
        <v>1</v>
      </c>
      <c r="M20" s="80">
        <f t="shared" si="13"/>
        <v>1</v>
      </c>
      <c r="O20" s="69" t="s">
        <v>22</v>
      </c>
      <c r="P20" s="51"/>
      <c r="Q20" s="51"/>
      <c r="R20" s="51"/>
      <c r="S20" s="51"/>
      <c r="U20" s="69" t="s">
        <v>138</v>
      </c>
      <c r="V20" s="51"/>
      <c r="W20" s="51"/>
      <c r="X20" s="51"/>
      <c r="Y20" s="51"/>
      <c r="Z20" s="51"/>
      <c r="AA20" s="51"/>
      <c r="AB20" s="51"/>
      <c r="AC20" s="51"/>
      <c r="AD20" s="51"/>
    </row>
    <row r="21" spans="1:30" x14ac:dyDescent="0.25">
      <c r="A21" s="1"/>
      <c r="B21" s="16"/>
      <c r="C21" s="1"/>
      <c r="D21" s="1"/>
      <c r="H21" s="65"/>
      <c r="I21" s="32" t="s">
        <v>135</v>
      </c>
      <c r="J21" s="80">
        <f>($D$4+$C$4*J22+J23+1000)/($D$4+$C$4*J22+J23)</f>
        <v>2.0528462005454053</v>
      </c>
      <c r="K21" s="80">
        <f>($D$4+$C$4*K22+K23+1000)/($D$4+$C$4*K22+K23)</f>
        <v>2.0528462005454053</v>
      </c>
      <c r="L21" s="80">
        <f>($D$4+$C$4*L22+L23+1000)/($D$4+$C$4*L22+L23)</f>
        <v>2.0528462005454053</v>
      </c>
      <c r="M21" s="80">
        <f>($D$4+$C$4*M22+M23+1000)/($D$4+$C$4*M22+M23)</f>
        <v>2.0528462005454053</v>
      </c>
      <c r="O21" s="69" t="s">
        <v>173</v>
      </c>
      <c r="P21" s="51"/>
      <c r="Q21" s="51"/>
      <c r="R21" s="51"/>
      <c r="S21" s="51"/>
    </row>
    <row r="22" spans="1:30" x14ac:dyDescent="0.25">
      <c r="A22" s="1"/>
      <c r="B22" s="16"/>
      <c r="C22" s="1"/>
      <c r="D22" s="1"/>
      <c r="H22" s="28" t="s">
        <v>54</v>
      </c>
      <c r="I22" s="22" t="s">
        <v>22</v>
      </c>
      <c r="J22" s="51"/>
      <c r="K22" s="51"/>
      <c r="L22" s="51"/>
      <c r="M22" s="51"/>
      <c r="O22" s="69" t="s">
        <v>98</v>
      </c>
      <c r="P22" s="51"/>
      <c r="Q22" s="51"/>
      <c r="R22" s="51"/>
      <c r="S22" s="51"/>
    </row>
    <row r="23" spans="1:30" x14ac:dyDescent="0.25">
      <c r="A23" s="1"/>
      <c r="B23" s="16"/>
      <c r="C23" s="1"/>
      <c r="D23" s="1"/>
      <c r="H23" s="28"/>
      <c r="I23" s="22" t="s">
        <v>173</v>
      </c>
      <c r="J23" s="51"/>
      <c r="K23" s="51"/>
      <c r="L23" s="51"/>
      <c r="M23" s="51"/>
      <c r="O23" s="69" t="s">
        <v>99</v>
      </c>
      <c r="P23" s="51"/>
      <c r="Q23" s="51"/>
      <c r="R23" s="51"/>
      <c r="S23" s="51"/>
    </row>
    <row r="24" spans="1:30" x14ac:dyDescent="0.25">
      <c r="A24" s="1"/>
      <c r="B24" s="17" t="s">
        <v>62</v>
      </c>
      <c r="C24" s="14"/>
    </row>
    <row r="25" spans="1:30" x14ac:dyDescent="0.25">
      <c r="A25" s="1"/>
      <c r="B25" s="108" t="s">
        <v>61</v>
      </c>
      <c r="C25" s="73">
        <v>0</v>
      </c>
      <c r="H25" s="77" t="s">
        <v>153</v>
      </c>
      <c r="I25" s="76"/>
      <c r="J25" s="79"/>
      <c r="K25" s="45"/>
    </row>
    <row r="26" spans="1:30" x14ac:dyDescent="0.25">
      <c r="A26" s="1"/>
      <c r="B26" s="86" t="s">
        <v>47</v>
      </c>
      <c r="C26" s="14"/>
      <c r="H26" s="23" t="s">
        <v>116</v>
      </c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 x14ac:dyDescent="0.25">
      <c r="A27" s="1"/>
      <c r="B27" s="87" t="s">
        <v>4</v>
      </c>
      <c r="C27" s="7"/>
      <c r="D27" s="7"/>
      <c r="E27" s="12"/>
      <c r="H27" s="84"/>
      <c r="I27" s="84" t="s">
        <v>177</v>
      </c>
      <c r="J27" s="22">
        <f t="shared" ref="J27:AD27" si="14">IFERROR(J29*J28*IF(J30="atk",J37,IF(J30="def",J38,IF(J30="hp",J39,J30)))*(1+J41*J42)*J40*J44*(1-J45)*J43*IF(ISBLANK(J57),1,J57),0)</f>
        <v>0</v>
      </c>
      <c r="K27" s="22">
        <f t="shared" si="14"/>
        <v>0</v>
      </c>
      <c r="L27" s="22">
        <f t="shared" si="14"/>
        <v>0</v>
      </c>
      <c r="M27" s="22">
        <f t="shared" si="14"/>
        <v>0</v>
      </c>
      <c r="N27" s="22">
        <f t="shared" si="14"/>
        <v>0</v>
      </c>
      <c r="O27" s="22">
        <f t="shared" si="14"/>
        <v>0</v>
      </c>
      <c r="P27" s="22">
        <f t="shared" si="14"/>
        <v>0</v>
      </c>
      <c r="Q27" s="22">
        <f t="shared" si="14"/>
        <v>0</v>
      </c>
      <c r="R27" s="22">
        <f t="shared" si="14"/>
        <v>0</v>
      </c>
      <c r="S27" s="22">
        <f t="shared" si="14"/>
        <v>0</v>
      </c>
      <c r="T27" s="22">
        <f t="shared" si="14"/>
        <v>0</v>
      </c>
      <c r="U27" s="22">
        <f t="shared" si="14"/>
        <v>0</v>
      </c>
      <c r="V27" s="22">
        <f t="shared" si="14"/>
        <v>0</v>
      </c>
      <c r="W27" s="22">
        <f t="shared" si="14"/>
        <v>0</v>
      </c>
      <c r="X27" s="22">
        <f t="shared" si="14"/>
        <v>0</v>
      </c>
      <c r="Y27" s="22">
        <f t="shared" si="14"/>
        <v>0</v>
      </c>
      <c r="Z27" s="22">
        <f t="shared" si="14"/>
        <v>0</v>
      </c>
      <c r="AA27" s="22">
        <f t="shared" si="14"/>
        <v>0</v>
      </c>
      <c r="AB27" s="22">
        <f t="shared" si="14"/>
        <v>0</v>
      </c>
      <c r="AC27" s="22">
        <f t="shared" si="14"/>
        <v>0</v>
      </c>
      <c r="AD27" s="22">
        <f t="shared" si="14"/>
        <v>0</v>
      </c>
    </row>
    <row r="28" spans="1:30" x14ac:dyDescent="0.25">
      <c r="A28" s="1"/>
      <c r="B28" s="88" t="s">
        <v>22</v>
      </c>
      <c r="C28" s="7"/>
      <c r="D28" s="7"/>
      <c r="E28" s="12"/>
      <c r="H28" s="66" t="s">
        <v>143</v>
      </c>
      <c r="I28" s="67" t="s">
        <v>82</v>
      </c>
      <c r="J28" s="60"/>
      <c r="K28" s="60"/>
      <c r="L28" s="60"/>
      <c r="M28" s="6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</row>
    <row r="29" spans="1:30" x14ac:dyDescent="0.25">
      <c r="A29" s="1"/>
      <c r="B29" s="89" t="s">
        <v>40</v>
      </c>
      <c r="C29" s="7"/>
      <c r="D29" s="7"/>
      <c r="E29" s="12"/>
      <c r="H29" s="66"/>
      <c r="I29" s="67" t="s">
        <v>83</v>
      </c>
      <c r="J29" s="51"/>
      <c r="K29" s="51"/>
      <c r="L29" s="51"/>
      <c r="M29" s="51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</row>
    <row r="30" spans="1:30" x14ac:dyDescent="0.25">
      <c r="A30" s="1"/>
      <c r="B30" s="90" t="s">
        <v>60</v>
      </c>
      <c r="C30" s="7"/>
      <c r="D30" s="7"/>
      <c r="E30" s="12"/>
      <c r="H30" s="66"/>
      <c r="I30" s="67" t="s">
        <v>88</v>
      </c>
      <c r="J30" s="51"/>
      <c r="K30" s="51"/>
      <c r="L30" s="51"/>
      <c r="M30" s="51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</row>
    <row r="31" spans="1:30" x14ac:dyDescent="0.25">
      <c r="A31" s="1"/>
      <c r="B31" s="91" t="s">
        <v>2</v>
      </c>
      <c r="C31" s="7"/>
      <c r="D31" s="7"/>
      <c r="E31" s="12"/>
      <c r="H31" s="66"/>
      <c r="I31" s="67" t="s">
        <v>89</v>
      </c>
      <c r="J31" s="51"/>
      <c r="K31" s="51"/>
      <c r="L31" s="51"/>
      <c r="M31" s="51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</row>
    <row r="32" spans="1:30" x14ac:dyDescent="0.25">
      <c r="A32" s="1"/>
      <c r="B32" s="92" t="s">
        <v>1</v>
      </c>
      <c r="E32" s="12"/>
      <c r="H32" s="66"/>
      <c r="I32" s="67" t="s">
        <v>90</v>
      </c>
      <c r="J32" s="51"/>
      <c r="K32" s="51"/>
      <c r="L32" s="51"/>
      <c r="M32" s="51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</row>
    <row r="33" spans="1:38" x14ac:dyDescent="0.25">
      <c r="A33" s="1"/>
      <c r="B33" s="93" t="s">
        <v>53</v>
      </c>
      <c r="C33" s="7"/>
      <c r="D33" s="7"/>
      <c r="E33" s="12"/>
      <c r="H33" s="66"/>
      <c r="I33" s="67" t="s">
        <v>137</v>
      </c>
      <c r="J33" s="60"/>
      <c r="K33" s="60"/>
      <c r="L33" s="60"/>
      <c r="M33" s="6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</row>
    <row r="34" spans="1:38" x14ac:dyDescent="0.25">
      <c r="A34" s="1"/>
      <c r="B34" s="94" t="s">
        <v>52</v>
      </c>
      <c r="C34" s="7"/>
      <c r="D34" s="7"/>
      <c r="E34" s="12"/>
      <c r="H34" s="66"/>
      <c r="I34" s="68" t="s">
        <v>100</v>
      </c>
      <c r="J34" s="60"/>
      <c r="K34" s="60"/>
      <c r="L34" s="60"/>
      <c r="M34" s="6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</row>
    <row r="35" spans="1:38" x14ac:dyDescent="0.25">
      <c r="A35" s="1"/>
      <c r="B35" s="96" t="s">
        <v>0</v>
      </c>
      <c r="C35" s="7"/>
      <c r="D35" s="7"/>
      <c r="E35" s="12"/>
      <c r="H35" s="66"/>
      <c r="I35" s="68" t="s">
        <v>146</v>
      </c>
      <c r="J35" s="51"/>
      <c r="K35" s="51"/>
      <c r="L35" s="51"/>
      <c r="M35" s="51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</row>
    <row r="36" spans="1:38" x14ac:dyDescent="0.25">
      <c r="A36" s="1"/>
      <c r="B36" s="97" t="s">
        <v>51</v>
      </c>
      <c r="C36" s="7"/>
      <c r="D36" s="7"/>
      <c r="E36" s="12"/>
      <c r="H36" s="66"/>
      <c r="I36" s="68" t="s">
        <v>107</v>
      </c>
      <c r="J36" s="51"/>
      <c r="K36" s="51"/>
      <c r="L36" s="51"/>
      <c r="M36" s="51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</row>
    <row r="37" spans="1:38" x14ac:dyDescent="0.25">
      <c r="A37" s="1"/>
      <c r="B37" s="95" t="s">
        <v>50</v>
      </c>
      <c r="D37" s="7"/>
      <c r="E37" s="12"/>
      <c r="H37" s="65" t="s">
        <v>108</v>
      </c>
      <c r="I37" s="32" t="s">
        <v>109</v>
      </c>
      <c r="J37" s="34">
        <f t="shared" ref="J37:AD37" si="15">($D$3+($C$3+$C$25)*J46+J47)</f>
        <v>810.85866072859767</v>
      </c>
      <c r="K37" s="34">
        <f t="shared" si="15"/>
        <v>810.85866072859767</v>
      </c>
      <c r="L37" s="34">
        <f t="shared" si="15"/>
        <v>810.85866072859767</v>
      </c>
      <c r="M37" s="34">
        <f t="shared" si="15"/>
        <v>810.85866072859767</v>
      </c>
      <c r="N37" s="34">
        <f t="shared" si="15"/>
        <v>810.85866072859767</v>
      </c>
      <c r="O37" s="34">
        <f t="shared" si="15"/>
        <v>810.85866072859767</v>
      </c>
      <c r="P37" s="34">
        <f t="shared" si="15"/>
        <v>810.85866072859767</v>
      </c>
      <c r="Q37" s="34">
        <f t="shared" si="15"/>
        <v>810.85866072859767</v>
      </c>
      <c r="R37" s="34">
        <f t="shared" si="15"/>
        <v>810.85866072859767</v>
      </c>
      <c r="S37" s="34">
        <f t="shared" si="15"/>
        <v>810.85866072859767</v>
      </c>
      <c r="T37" s="34">
        <f t="shared" si="15"/>
        <v>810.85866072859767</v>
      </c>
      <c r="U37" s="34">
        <f t="shared" si="15"/>
        <v>810.85866072859767</v>
      </c>
      <c r="V37" s="34">
        <f t="shared" si="15"/>
        <v>810.85866072859767</v>
      </c>
      <c r="W37" s="34">
        <f t="shared" si="15"/>
        <v>810.85866072859767</v>
      </c>
      <c r="X37" s="34">
        <f t="shared" si="15"/>
        <v>810.85866072859767</v>
      </c>
      <c r="Y37" s="34">
        <f t="shared" si="15"/>
        <v>810.85866072859767</v>
      </c>
      <c r="Z37" s="34">
        <f t="shared" si="15"/>
        <v>810.85866072859767</v>
      </c>
      <c r="AA37" s="34">
        <f t="shared" si="15"/>
        <v>810.85866072859767</v>
      </c>
      <c r="AB37" s="34">
        <f t="shared" si="15"/>
        <v>810.85866072859767</v>
      </c>
      <c r="AC37" s="34">
        <f t="shared" si="15"/>
        <v>810.85866072859767</v>
      </c>
      <c r="AD37" s="34">
        <f t="shared" si="15"/>
        <v>810.85866072859767</v>
      </c>
    </row>
    <row r="38" spans="1:38" x14ac:dyDescent="0.25">
      <c r="A38" s="1"/>
      <c r="B38" s="98" t="s">
        <v>57</v>
      </c>
      <c r="C38" s="7"/>
      <c r="D38" s="7"/>
      <c r="E38" s="39"/>
      <c r="H38" s="65"/>
      <c r="I38" s="32" t="s">
        <v>110</v>
      </c>
      <c r="J38" s="34">
        <f t="shared" ref="J38:AD38" si="16">($D$4+$C$4*J48+J49)</f>
        <v>949.80634349249715</v>
      </c>
      <c r="K38" s="34">
        <f t="shared" si="16"/>
        <v>949.80634349249715</v>
      </c>
      <c r="L38" s="34">
        <f t="shared" si="16"/>
        <v>949.80634349249715</v>
      </c>
      <c r="M38" s="34">
        <f t="shared" si="16"/>
        <v>949.80634349249715</v>
      </c>
      <c r="N38" s="34">
        <f t="shared" si="16"/>
        <v>949.80634349249715</v>
      </c>
      <c r="O38" s="34">
        <f t="shared" si="16"/>
        <v>949.80634349249715</v>
      </c>
      <c r="P38" s="34">
        <f t="shared" si="16"/>
        <v>949.80634349249715</v>
      </c>
      <c r="Q38" s="34">
        <f t="shared" si="16"/>
        <v>949.80634349249715</v>
      </c>
      <c r="R38" s="34">
        <f t="shared" si="16"/>
        <v>949.80634349249715</v>
      </c>
      <c r="S38" s="34">
        <f t="shared" si="16"/>
        <v>949.80634349249715</v>
      </c>
      <c r="T38" s="34">
        <f t="shared" si="16"/>
        <v>949.80634349249715</v>
      </c>
      <c r="U38" s="34">
        <f t="shared" si="16"/>
        <v>949.80634349249715</v>
      </c>
      <c r="V38" s="34">
        <f t="shared" si="16"/>
        <v>949.80634349249715</v>
      </c>
      <c r="W38" s="34">
        <f t="shared" si="16"/>
        <v>949.80634349249715</v>
      </c>
      <c r="X38" s="34">
        <f t="shared" si="16"/>
        <v>949.80634349249715</v>
      </c>
      <c r="Y38" s="34">
        <f t="shared" si="16"/>
        <v>949.80634349249715</v>
      </c>
      <c r="Z38" s="34">
        <f t="shared" si="16"/>
        <v>949.80634349249715</v>
      </c>
      <c r="AA38" s="34">
        <f t="shared" si="16"/>
        <v>949.80634349249715</v>
      </c>
      <c r="AB38" s="34">
        <f t="shared" si="16"/>
        <v>949.80634349249715</v>
      </c>
      <c r="AC38" s="34">
        <f t="shared" si="16"/>
        <v>949.80634349249715</v>
      </c>
      <c r="AD38" s="34">
        <f t="shared" si="16"/>
        <v>949.80634349249715</v>
      </c>
    </row>
    <row r="39" spans="1:38" x14ac:dyDescent="0.25">
      <c r="A39" s="1"/>
      <c r="B39" s="99" t="s">
        <v>152</v>
      </c>
      <c r="C39" s="7"/>
      <c r="D39" s="7"/>
      <c r="E39" s="39"/>
      <c r="H39" s="65"/>
      <c r="I39" s="32" t="s">
        <v>111</v>
      </c>
      <c r="J39" s="34">
        <f t="shared" ref="J39:AD39" si="17">($D$5+$C$5*J50+J51)</f>
        <v>19319.152383846234</v>
      </c>
      <c r="K39" s="34">
        <f t="shared" si="17"/>
        <v>19319.152383846234</v>
      </c>
      <c r="L39" s="34">
        <f t="shared" si="17"/>
        <v>19319.152383846234</v>
      </c>
      <c r="M39" s="34">
        <f t="shared" si="17"/>
        <v>19319.152383846234</v>
      </c>
      <c r="N39" s="34">
        <f t="shared" si="17"/>
        <v>19319.152383846234</v>
      </c>
      <c r="O39" s="34">
        <f t="shared" si="17"/>
        <v>19319.152383846234</v>
      </c>
      <c r="P39" s="34">
        <f t="shared" si="17"/>
        <v>19319.152383846234</v>
      </c>
      <c r="Q39" s="34">
        <f t="shared" si="17"/>
        <v>19319.152383846234</v>
      </c>
      <c r="R39" s="34">
        <f t="shared" si="17"/>
        <v>19319.152383846234</v>
      </c>
      <c r="S39" s="34">
        <f t="shared" si="17"/>
        <v>19319.152383846234</v>
      </c>
      <c r="T39" s="34">
        <f t="shared" si="17"/>
        <v>19319.152383846234</v>
      </c>
      <c r="U39" s="34">
        <f t="shared" si="17"/>
        <v>19319.152383846234</v>
      </c>
      <c r="V39" s="34">
        <f t="shared" si="17"/>
        <v>19319.152383846234</v>
      </c>
      <c r="W39" s="34">
        <f t="shared" si="17"/>
        <v>19319.152383846234</v>
      </c>
      <c r="X39" s="34">
        <f t="shared" si="17"/>
        <v>19319.152383846234</v>
      </c>
      <c r="Y39" s="34">
        <f t="shared" si="17"/>
        <v>19319.152383846234</v>
      </c>
      <c r="Z39" s="34">
        <f t="shared" si="17"/>
        <v>19319.152383846234</v>
      </c>
      <c r="AA39" s="34">
        <f t="shared" si="17"/>
        <v>19319.152383846234</v>
      </c>
      <c r="AB39" s="34">
        <f t="shared" si="17"/>
        <v>19319.152383846234</v>
      </c>
      <c r="AC39" s="34">
        <f t="shared" si="17"/>
        <v>19319.152383846234</v>
      </c>
      <c r="AD39" s="34">
        <f t="shared" si="17"/>
        <v>19319.152383846234</v>
      </c>
    </row>
    <row r="40" spans="1:38" x14ac:dyDescent="0.25">
      <c r="A40" s="1"/>
      <c r="B40" s="100" t="s">
        <v>49</v>
      </c>
      <c r="C40" s="7"/>
      <c r="D40" s="7"/>
      <c r="E40" s="12"/>
      <c r="H40" s="65"/>
      <c r="I40" s="32" t="s">
        <v>112</v>
      </c>
      <c r="J40" s="33" t="e">
        <f t="shared" ref="J40:AD40" si="18">($D$9+VLOOKUP(J31,$B$10:$D$12,3,FALSE)+VLOOKUP(J32,$B$13:$D$18,3,FALSE)+J55)</f>
        <v>#N/A</v>
      </c>
      <c r="K40" s="33" t="e">
        <f t="shared" si="18"/>
        <v>#N/A</v>
      </c>
      <c r="L40" s="33" t="e">
        <f t="shared" si="18"/>
        <v>#N/A</v>
      </c>
      <c r="M40" s="33" t="e">
        <f t="shared" si="18"/>
        <v>#N/A</v>
      </c>
      <c r="N40" s="33" t="e">
        <f t="shared" si="18"/>
        <v>#N/A</v>
      </c>
      <c r="O40" s="33" t="e">
        <f t="shared" si="18"/>
        <v>#N/A</v>
      </c>
      <c r="P40" s="33" t="e">
        <f t="shared" si="18"/>
        <v>#N/A</v>
      </c>
      <c r="Q40" s="33" t="e">
        <f t="shared" si="18"/>
        <v>#N/A</v>
      </c>
      <c r="R40" s="33" t="e">
        <f t="shared" si="18"/>
        <v>#N/A</v>
      </c>
      <c r="S40" s="33" t="e">
        <f t="shared" si="18"/>
        <v>#N/A</v>
      </c>
      <c r="T40" s="33" t="e">
        <f t="shared" si="18"/>
        <v>#N/A</v>
      </c>
      <c r="U40" s="33" t="e">
        <f t="shared" si="18"/>
        <v>#N/A</v>
      </c>
      <c r="V40" s="33" t="e">
        <f t="shared" si="18"/>
        <v>#N/A</v>
      </c>
      <c r="W40" s="33" t="e">
        <f t="shared" si="18"/>
        <v>#N/A</v>
      </c>
      <c r="X40" s="33" t="e">
        <f t="shared" si="18"/>
        <v>#N/A</v>
      </c>
      <c r="Y40" s="33" t="e">
        <f t="shared" si="18"/>
        <v>#N/A</v>
      </c>
      <c r="Z40" s="33" t="e">
        <f t="shared" si="18"/>
        <v>#N/A</v>
      </c>
      <c r="AA40" s="33" t="e">
        <f t="shared" si="18"/>
        <v>#N/A</v>
      </c>
      <c r="AB40" s="33" t="e">
        <f t="shared" si="18"/>
        <v>#N/A</v>
      </c>
      <c r="AC40" s="33" t="e">
        <f t="shared" si="18"/>
        <v>#N/A</v>
      </c>
      <c r="AD40" s="33" t="e">
        <f t="shared" si="18"/>
        <v>#N/A</v>
      </c>
    </row>
    <row r="41" spans="1:38" x14ac:dyDescent="0.25">
      <c r="A41" s="1"/>
      <c r="B41" s="101" t="s">
        <v>48</v>
      </c>
      <c r="C41" s="7"/>
      <c r="D41" s="7"/>
      <c r="E41" s="12"/>
      <c r="H41" s="65"/>
      <c r="I41" s="32" t="s">
        <v>113</v>
      </c>
      <c r="J41" s="33">
        <f>IF($D$6+J52&lt;0,0,IF($D$6+J52&gt;1,1,$D$6+J52))</f>
        <v>0.42699999999999999</v>
      </c>
      <c r="K41" s="33">
        <f t="shared" ref="K41:AD41" si="19">IF($D$6+K52&lt;0,0,IF($D$6+K52&gt;1,1,$D$6+K52))</f>
        <v>0.42699999999999999</v>
      </c>
      <c r="L41" s="33">
        <f t="shared" si="19"/>
        <v>0.42699999999999999</v>
      </c>
      <c r="M41" s="33">
        <f t="shared" si="19"/>
        <v>0.42699999999999999</v>
      </c>
      <c r="N41" s="33">
        <f t="shared" si="19"/>
        <v>0.42699999999999999</v>
      </c>
      <c r="O41" s="33">
        <f t="shared" si="19"/>
        <v>0.42699999999999999</v>
      </c>
      <c r="P41" s="33">
        <f t="shared" si="19"/>
        <v>0.42699999999999999</v>
      </c>
      <c r="Q41" s="33">
        <f t="shared" si="19"/>
        <v>0.42699999999999999</v>
      </c>
      <c r="R41" s="33">
        <f t="shared" si="19"/>
        <v>0.42699999999999999</v>
      </c>
      <c r="S41" s="33">
        <f t="shared" si="19"/>
        <v>0.42699999999999999</v>
      </c>
      <c r="T41" s="33">
        <f t="shared" si="19"/>
        <v>0.42699999999999999</v>
      </c>
      <c r="U41" s="33">
        <f t="shared" si="19"/>
        <v>0.42699999999999999</v>
      </c>
      <c r="V41" s="33">
        <f t="shared" si="19"/>
        <v>0.42699999999999999</v>
      </c>
      <c r="W41" s="33">
        <f t="shared" si="19"/>
        <v>0.42699999999999999</v>
      </c>
      <c r="X41" s="33">
        <f t="shared" si="19"/>
        <v>0.42699999999999999</v>
      </c>
      <c r="Y41" s="33">
        <f t="shared" si="19"/>
        <v>0.42699999999999999</v>
      </c>
      <c r="Z41" s="33">
        <f t="shared" si="19"/>
        <v>0.42699999999999999</v>
      </c>
      <c r="AA41" s="33">
        <f t="shared" si="19"/>
        <v>0.42699999999999999</v>
      </c>
      <c r="AB41" s="33">
        <f t="shared" si="19"/>
        <v>0.42699999999999999</v>
      </c>
      <c r="AC41" s="33">
        <f t="shared" si="19"/>
        <v>0.42699999999999999</v>
      </c>
      <c r="AD41" s="33">
        <f t="shared" si="19"/>
        <v>0.42699999999999999</v>
      </c>
    </row>
    <row r="42" spans="1:38" x14ac:dyDescent="0.25">
      <c r="A42" s="1"/>
      <c r="B42" s="103" t="s">
        <v>11</v>
      </c>
      <c r="C42" s="7"/>
      <c r="D42" s="7"/>
      <c r="E42" s="12"/>
      <c r="H42" s="65"/>
      <c r="I42" s="32" t="s">
        <v>114</v>
      </c>
      <c r="J42" s="33">
        <f t="shared" ref="J42:AD42" si="20">($D$7+J53)</f>
        <v>0.63200000000000001</v>
      </c>
      <c r="K42" s="33">
        <f t="shared" si="20"/>
        <v>0.63200000000000001</v>
      </c>
      <c r="L42" s="33">
        <f t="shared" si="20"/>
        <v>0.63200000000000001</v>
      </c>
      <c r="M42" s="33">
        <f t="shared" si="20"/>
        <v>0.63200000000000001</v>
      </c>
      <c r="N42" s="33">
        <f t="shared" si="20"/>
        <v>0.63200000000000001</v>
      </c>
      <c r="O42" s="33">
        <f t="shared" si="20"/>
        <v>0.63200000000000001</v>
      </c>
      <c r="P42" s="33">
        <f t="shared" si="20"/>
        <v>0.63200000000000001</v>
      </c>
      <c r="Q42" s="33">
        <f t="shared" si="20"/>
        <v>0.63200000000000001</v>
      </c>
      <c r="R42" s="33">
        <f t="shared" si="20"/>
        <v>0.63200000000000001</v>
      </c>
      <c r="S42" s="33">
        <f t="shared" si="20"/>
        <v>0.63200000000000001</v>
      </c>
      <c r="T42" s="33">
        <f t="shared" si="20"/>
        <v>0.63200000000000001</v>
      </c>
      <c r="U42" s="33">
        <f t="shared" si="20"/>
        <v>0.63200000000000001</v>
      </c>
      <c r="V42" s="33">
        <f t="shared" si="20"/>
        <v>0.63200000000000001</v>
      </c>
      <c r="W42" s="33">
        <f t="shared" si="20"/>
        <v>0.63200000000000001</v>
      </c>
      <c r="X42" s="33">
        <f t="shared" si="20"/>
        <v>0.63200000000000001</v>
      </c>
      <c r="Y42" s="33">
        <f t="shared" si="20"/>
        <v>0.63200000000000001</v>
      </c>
      <c r="Z42" s="33">
        <f t="shared" si="20"/>
        <v>0.63200000000000001</v>
      </c>
      <c r="AA42" s="33">
        <f t="shared" si="20"/>
        <v>0.63200000000000001</v>
      </c>
      <c r="AB42" s="33">
        <f t="shared" si="20"/>
        <v>0.63200000000000001</v>
      </c>
      <c r="AC42" s="33">
        <f t="shared" si="20"/>
        <v>0.63200000000000001</v>
      </c>
      <c r="AD42" s="33">
        <f t="shared" si="20"/>
        <v>0.63200000000000001</v>
      </c>
    </row>
    <row r="43" spans="1:38" x14ac:dyDescent="0.25">
      <c r="A43" s="1"/>
      <c r="B43" s="104" t="s">
        <v>148</v>
      </c>
      <c r="C43" s="7"/>
      <c r="D43" s="7"/>
      <c r="E43" s="12"/>
      <c r="H43" s="65"/>
      <c r="I43" s="32" t="s">
        <v>115</v>
      </c>
      <c r="J43" s="61">
        <f t="shared" ref="J43:AD43" si="21">IF(ISBLANK(J36),1,IF(J36=TRUE,1.5,2))*IF(ISBLANK(J36),1,(1+(2.78*($D$8+J54))/(1400+($D$8+J54))+IFERROR(VLOOKUP(J35,$B$79:$C$80,2,FALSE),0)+J56))</f>
        <v>1</v>
      </c>
      <c r="K43" s="61">
        <f t="shared" si="21"/>
        <v>1</v>
      </c>
      <c r="L43" s="61">
        <f t="shared" si="21"/>
        <v>1</v>
      </c>
      <c r="M43" s="61">
        <f t="shared" si="21"/>
        <v>1</v>
      </c>
      <c r="N43" s="61">
        <f t="shared" si="21"/>
        <v>1</v>
      </c>
      <c r="O43" s="61">
        <f t="shared" si="21"/>
        <v>1</v>
      </c>
      <c r="P43" s="61">
        <f t="shared" si="21"/>
        <v>1</v>
      </c>
      <c r="Q43" s="61">
        <f t="shared" si="21"/>
        <v>1</v>
      </c>
      <c r="R43" s="61">
        <f t="shared" si="21"/>
        <v>1</v>
      </c>
      <c r="S43" s="61">
        <f t="shared" si="21"/>
        <v>1</v>
      </c>
      <c r="T43" s="61">
        <f t="shared" si="21"/>
        <v>1</v>
      </c>
      <c r="U43" s="61">
        <f t="shared" si="21"/>
        <v>1</v>
      </c>
      <c r="V43" s="61">
        <f t="shared" si="21"/>
        <v>1</v>
      </c>
      <c r="W43" s="61">
        <f t="shared" si="21"/>
        <v>1</v>
      </c>
      <c r="X43" s="61">
        <f t="shared" si="21"/>
        <v>1</v>
      </c>
      <c r="Y43" s="61">
        <f t="shared" si="21"/>
        <v>1</v>
      </c>
      <c r="Z43" s="61">
        <f t="shared" si="21"/>
        <v>1</v>
      </c>
      <c r="AA43" s="61">
        <f t="shared" si="21"/>
        <v>1</v>
      </c>
      <c r="AB43" s="61">
        <f t="shared" si="21"/>
        <v>1</v>
      </c>
      <c r="AC43" s="61">
        <f t="shared" si="21"/>
        <v>1</v>
      </c>
      <c r="AD43" s="61">
        <f t="shared" si="21"/>
        <v>1</v>
      </c>
    </row>
    <row r="44" spans="1:38" x14ac:dyDescent="0.25">
      <c r="A44" s="1"/>
      <c r="B44" s="16"/>
      <c r="C44" s="1"/>
      <c r="D44" s="1"/>
      <c r="E44" s="1"/>
      <c r="H44" s="65"/>
      <c r="I44" s="32" t="s">
        <v>135</v>
      </c>
      <c r="J44" s="61">
        <f t="shared" ref="J44:AD44" si="22">($D$1+100)/($D$1+100+200*(1-J33))</f>
        <v>0.48717948717948717</v>
      </c>
      <c r="K44" s="61">
        <f t="shared" si="22"/>
        <v>0.48717948717948717</v>
      </c>
      <c r="L44" s="61">
        <f t="shared" si="22"/>
        <v>0.48717948717948717</v>
      </c>
      <c r="M44" s="61">
        <f t="shared" si="22"/>
        <v>0.48717948717948717</v>
      </c>
      <c r="N44" s="61">
        <f t="shared" si="22"/>
        <v>0.48717948717948717</v>
      </c>
      <c r="O44" s="61">
        <f t="shared" si="22"/>
        <v>0.48717948717948717</v>
      </c>
      <c r="P44" s="61">
        <f t="shared" si="22"/>
        <v>0.48717948717948717</v>
      </c>
      <c r="Q44" s="61">
        <f t="shared" si="22"/>
        <v>0.48717948717948717</v>
      </c>
      <c r="R44" s="61">
        <f t="shared" si="22"/>
        <v>0.48717948717948717</v>
      </c>
      <c r="S44" s="61">
        <f t="shared" si="22"/>
        <v>0.48717948717948717</v>
      </c>
      <c r="T44" s="61">
        <f t="shared" si="22"/>
        <v>0.48717948717948717</v>
      </c>
      <c r="U44" s="61">
        <f t="shared" si="22"/>
        <v>0.48717948717948717</v>
      </c>
      <c r="V44" s="61">
        <f t="shared" si="22"/>
        <v>0.48717948717948717</v>
      </c>
      <c r="W44" s="61">
        <f t="shared" si="22"/>
        <v>0.48717948717948717</v>
      </c>
      <c r="X44" s="61">
        <f t="shared" si="22"/>
        <v>0.48717948717948717</v>
      </c>
      <c r="Y44" s="61">
        <f t="shared" si="22"/>
        <v>0.48717948717948717</v>
      </c>
      <c r="Z44" s="61">
        <f t="shared" si="22"/>
        <v>0.48717948717948717</v>
      </c>
      <c r="AA44" s="61">
        <f t="shared" si="22"/>
        <v>0.48717948717948717</v>
      </c>
      <c r="AB44" s="61">
        <f t="shared" si="22"/>
        <v>0.48717948717948717</v>
      </c>
      <c r="AC44" s="61">
        <f t="shared" si="22"/>
        <v>0.48717948717948717</v>
      </c>
      <c r="AD44" s="61">
        <f t="shared" si="22"/>
        <v>0.48717948717948717</v>
      </c>
    </row>
    <row r="45" spans="1:38" x14ac:dyDescent="0.25">
      <c r="A45" s="1"/>
      <c r="B45" s="17" t="s">
        <v>59</v>
      </c>
      <c r="C45" s="28"/>
      <c r="D45" s="28" t="s">
        <v>68</v>
      </c>
      <c r="E45" s="28" t="s">
        <v>87</v>
      </c>
      <c r="H45" s="65"/>
      <c r="I45" s="32" t="s">
        <v>95</v>
      </c>
      <c r="J45" s="61">
        <f t="shared" ref="J45:AD45" si="23">IF(J31="primary",IF($I$3-J34&lt;0,0.5*($I$3-J34),$I$3-J34),IF(J31="secondary",IF($I$4-J34&lt;0,0.5*($I$4-J34),$I$4-J34),IF(J31="phy",IF($I$5-J34&lt;0,0.5*($I$5-J34),$I$5-J34),0)))</f>
        <v>0</v>
      </c>
      <c r="K45" s="61">
        <f t="shared" si="23"/>
        <v>0</v>
      </c>
      <c r="L45" s="61">
        <f t="shared" si="23"/>
        <v>0</v>
      </c>
      <c r="M45" s="61">
        <f t="shared" si="23"/>
        <v>0</v>
      </c>
      <c r="N45" s="61">
        <f t="shared" si="23"/>
        <v>0</v>
      </c>
      <c r="O45" s="61">
        <f t="shared" si="23"/>
        <v>0</v>
      </c>
      <c r="P45" s="61">
        <f t="shared" si="23"/>
        <v>0</v>
      </c>
      <c r="Q45" s="61">
        <f t="shared" si="23"/>
        <v>0</v>
      </c>
      <c r="R45" s="61">
        <f t="shared" si="23"/>
        <v>0</v>
      </c>
      <c r="S45" s="61">
        <f t="shared" si="23"/>
        <v>0</v>
      </c>
      <c r="T45" s="61">
        <f t="shared" si="23"/>
        <v>0</v>
      </c>
      <c r="U45" s="61">
        <f t="shared" si="23"/>
        <v>0</v>
      </c>
      <c r="V45" s="61">
        <f t="shared" si="23"/>
        <v>0</v>
      </c>
      <c r="W45" s="61">
        <f t="shared" si="23"/>
        <v>0</v>
      </c>
      <c r="X45" s="61">
        <f t="shared" si="23"/>
        <v>0</v>
      </c>
      <c r="Y45" s="61">
        <f t="shared" si="23"/>
        <v>0</v>
      </c>
      <c r="Z45" s="61">
        <f t="shared" si="23"/>
        <v>0</v>
      </c>
      <c r="AA45" s="61">
        <f t="shared" si="23"/>
        <v>0</v>
      </c>
      <c r="AB45" s="61">
        <f t="shared" si="23"/>
        <v>0</v>
      </c>
      <c r="AC45" s="61">
        <f t="shared" si="23"/>
        <v>0</v>
      </c>
      <c r="AD45" s="61">
        <f t="shared" si="23"/>
        <v>0</v>
      </c>
    </row>
    <row r="46" spans="1:38" x14ac:dyDescent="0.25">
      <c r="A46" s="1"/>
      <c r="B46" s="86" t="s">
        <v>47</v>
      </c>
      <c r="C46" s="42">
        <f>E46*D46</f>
        <v>311</v>
      </c>
      <c r="D46" s="14">
        <v>1</v>
      </c>
      <c r="E46" s="42">
        <v>311</v>
      </c>
      <c r="H46" s="28" t="s">
        <v>54</v>
      </c>
      <c r="I46" s="22" t="s">
        <v>4</v>
      </c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</row>
    <row r="47" spans="1:38" x14ac:dyDescent="0.25">
      <c r="A47" s="1"/>
      <c r="B47" s="102" t="s">
        <v>46</v>
      </c>
      <c r="C47" s="22">
        <f>E47*D47</f>
        <v>4780</v>
      </c>
      <c r="D47" s="14">
        <v>1</v>
      </c>
      <c r="E47" s="22">
        <v>4780</v>
      </c>
      <c r="H47" s="27"/>
      <c r="I47" s="31" t="s">
        <v>47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</row>
    <row r="48" spans="1:38" x14ac:dyDescent="0.25">
      <c r="A48" s="1"/>
      <c r="B48" s="87" t="s">
        <v>4</v>
      </c>
      <c r="C48" s="37">
        <f>E48*D48</f>
        <v>0.46600000000000003</v>
      </c>
      <c r="D48" s="8">
        <v>1</v>
      </c>
      <c r="E48" s="41">
        <v>0.46600000000000003</v>
      </c>
      <c r="H48" s="27"/>
      <c r="I48" s="31" t="s">
        <v>22</v>
      </c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L48" s="10"/>
    </row>
    <row r="49" spans="1:30" x14ac:dyDescent="0.25">
      <c r="A49" s="1"/>
      <c r="B49" s="88" t="s">
        <v>22</v>
      </c>
      <c r="C49" s="37">
        <f>E49*D49</f>
        <v>0</v>
      </c>
      <c r="D49" s="8">
        <v>0</v>
      </c>
      <c r="E49" s="22">
        <v>0.58299999999999996</v>
      </c>
      <c r="H49" s="27"/>
      <c r="I49" s="22" t="s">
        <v>45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</row>
    <row r="50" spans="1:30" x14ac:dyDescent="0.25">
      <c r="A50" s="1"/>
      <c r="B50" s="89" t="s">
        <v>40</v>
      </c>
      <c r="C50" s="37">
        <f>E50*D50</f>
        <v>0</v>
      </c>
      <c r="D50" s="8">
        <v>0</v>
      </c>
      <c r="E50" s="22">
        <v>0.46600000000000003</v>
      </c>
      <c r="H50" s="27"/>
      <c r="I50" s="22" t="s">
        <v>40</v>
      </c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</row>
    <row r="51" spans="1:30" x14ac:dyDescent="0.25">
      <c r="A51" s="1"/>
      <c r="B51" s="90" t="s">
        <v>3</v>
      </c>
      <c r="C51" s="37">
        <f t="shared" ref="C51:C58" si="24">E51*D51</f>
        <v>0.311</v>
      </c>
      <c r="D51" s="8">
        <v>1</v>
      </c>
      <c r="E51" s="22">
        <v>0.311</v>
      </c>
      <c r="H51" s="27"/>
      <c r="I51" s="22" t="s">
        <v>46</v>
      </c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</row>
    <row r="52" spans="1:30" x14ac:dyDescent="0.25">
      <c r="A52" s="1"/>
      <c r="B52" s="91" t="s">
        <v>2</v>
      </c>
      <c r="C52" s="37">
        <f t="shared" si="24"/>
        <v>0</v>
      </c>
      <c r="D52" s="8">
        <v>0</v>
      </c>
      <c r="E52" s="22">
        <v>0.622</v>
      </c>
      <c r="H52" s="27"/>
      <c r="I52" s="22" t="s">
        <v>3</v>
      </c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</row>
    <row r="53" spans="1:30" x14ac:dyDescent="0.25">
      <c r="A53" s="1"/>
      <c r="B53" s="92" t="s">
        <v>1</v>
      </c>
      <c r="C53" s="22">
        <f t="shared" si="24"/>
        <v>0</v>
      </c>
      <c r="D53" s="14">
        <v>0</v>
      </c>
      <c r="E53" s="22">
        <v>187</v>
      </c>
      <c r="H53" s="27"/>
      <c r="I53" s="22" t="s">
        <v>101</v>
      </c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</row>
    <row r="54" spans="1:30" x14ac:dyDescent="0.25">
      <c r="A54" s="1"/>
      <c r="B54" s="94" t="s">
        <v>52</v>
      </c>
      <c r="C54" s="37">
        <f t="shared" si="24"/>
        <v>0.46600000000000003</v>
      </c>
      <c r="D54" s="8">
        <v>1</v>
      </c>
      <c r="E54" s="22">
        <v>0.46600000000000003</v>
      </c>
      <c r="H54" s="49"/>
      <c r="I54" s="22" t="s">
        <v>1</v>
      </c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</row>
    <row r="55" spans="1:30" x14ac:dyDescent="0.25">
      <c r="A55" s="1"/>
      <c r="B55" s="96" t="s">
        <v>63</v>
      </c>
      <c r="C55" s="37">
        <f t="shared" si="24"/>
        <v>0</v>
      </c>
      <c r="D55" s="8">
        <v>0</v>
      </c>
      <c r="E55" s="22">
        <v>0.46600000000000003</v>
      </c>
      <c r="H55" s="49"/>
      <c r="I55" s="22" t="s">
        <v>5</v>
      </c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</row>
    <row r="56" spans="1:30" x14ac:dyDescent="0.25">
      <c r="A56" s="1"/>
      <c r="B56" s="97" t="s">
        <v>51</v>
      </c>
      <c r="C56" s="37">
        <f t="shared" si="24"/>
        <v>0</v>
      </c>
      <c r="D56" s="8">
        <v>0</v>
      </c>
      <c r="E56" s="22">
        <v>0.58299999999999996</v>
      </c>
      <c r="H56" s="49"/>
      <c r="I56" s="22" t="s">
        <v>102</v>
      </c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</row>
    <row r="57" spans="1:30" x14ac:dyDescent="0.25">
      <c r="A57" s="1"/>
      <c r="B57" s="103" t="s">
        <v>11</v>
      </c>
      <c r="C57" s="22">
        <f t="shared" si="24"/>
        <v>0</v>
      </c>
      <c r="D57" s="8">
        <v>0</v>
      </c>
      <c r="E57" s="22">
        <v>0.51300000000000001</v>
      </c>
      <c r="H57" s="49"/>
      <c r="I57" s="22" t="s">
        <v>138</v>
      </c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</row>
    <row r="58" spans="1:30" x14ac:dyDescent="0.25">
      <c r="A58" s="1"/>
      <c r="B58" s="104" t="s">
        <v>148</v>
      </c>
      <c r="C58" s="37">
        <f t="shared" si="24"/>
        <v>0</v>
      </c>
      <c r="D58" s="8">
        <v>0</v>
      </c>
      <c r="E58" s="74">
        <v>0.35899999999999999</v>
      </c>
    </row>
    <row r="59" spans="1:30" x14ac:dyDescent="0.25">
      <c r="A59" s="1"/>
      <c r="B59" s="16"/>
      <c r="C59" s="1"/>
      <c r="D59" s="1"/>
      <c r="E59" s="50" t="s">
        <v>118</v>
      </c>
      <c r="H59" s="76" t="s">
        <v>172</v>
      </c>
      <c r="I59" s="76"/>
      <c r="J59" s="76"/>
      <c r="K59" s="76"/>
      <c r="L59" s="76"/>
    </row>
    <row r="60" spans="1:30" x14ac:dyDescent="0.25">
      <c r="A60" s="1"/>
      <c r="B60" s="17" t="s">
        <v>58</v>
      </c>
      <c r="E60" s="24"/>
      <c r="H60" s="23" t="s">
        <v>176</v>
      </c>
      <c r="I60" s="23"/>
      <c r="J60" s="23"/>
      <c r="K60" s="23"/>
      <c r="L60" s="23"/>
    </row>
    <row r="61" spans="1:30" x14ac:dyDescent="0.25">
      <c r="A61" s="1"/>
      <c r="B61" s="86" t="s">
        <v>47</v>
      </c>
      <c r="E61" s="24"/>
      <c r="H61" s="84"/>
      <c r="I61" s="84" t="s">
        <v>177</v>
      </c>
      <c r="J61" s="22" t="e">
        <f>IF($I$5-J72&lt;0,0.5*($I$5-J72),$I$5-J72)*J62*J71</f>
        <v>#N/A</v>
      </c>
      <c r="K61" s="22" t="e">
        <f t="shared" ref="K61:L61" si="25">IF($I$5-K72&lt;0,0.5*($I$5-K72),$I$5-K72)*K62*K71</f>
        <v>#N/A</v>
      </c>
      <c r="L61" s="22" t="e">
        <f t="shared" si="25"/>
        <v>#N/A</v>
      </c>
    </row>
    <row r="62" spans="1:30" x14ac:dyDescent="0.25">
      <c r="A62" s="1"/>
      <c r="B62" s="87" t="s">
        <v>4</v>
      </c>
      <c r="E62" s="24"/>
      <c r="H62" s="84"/>
      <c r="I62" s="84" t="s">
        <v>178</v>
      </c>
      <c r="J62" s="22" t="e">
        <f>J67*J68</f>
        <v>#N/A</v>
      </c>
      <c r="K62" s="22" t="e">
        <f t="shared" ref="K62:L62" si="26">K67*K68</f>
        <v>#N/A</v>
      </c>
      <c r="L62" s="22" t="e">
        <f t="shared" si="26"/>
        <v>#N/A</v>
      </c>
    </row>
    <row r="63" spans="1:30" x14ac:dyDescent="0.25">
      <c r="A63" s="1"/>
      <c r="B63" s="88" t="s">
        <v>22</v>
      </c>
      <c r="E63" s="24"/>
      <c r="H63" s="66" t="s">
        <v>143</v>
      </c>
      <c r="I63" s="67" t="s">
        <v>82</v>
      </c>
      <c r="J63" s="60"/>
      <c r="K63" s="60"/>
      <c r="L63" s="60"/>
    </row>
    <row r="64" spans="1:30" x14ac:dyDescent="0.25">
      <c r="A64" s="1"/>
      <c r="B64" s="89" t="s">
        <v>40</v>
      </c>
      <c r="E64" s="24"/>
      <c r="H64" s="66"/>
      <c r="I64" s="67" t="s">
        <v>83</v>
      </c>
      <c r="J64" s="51"/>
      <c r="K64" s="51"/>
      <c r="L64" s="51"/>
    </row>
    <row r="65" spans="1:12" x14ac:dyDescent="0.25">
      <c r="A65" s="1"/>
      <c r="B65" s="90" t="s">
        <v>3</v>
      </c>
      <c r="E65" s="24"/>
      <c r="H65" s="66"/>
      <c r="I65" s="67" t="s">
        <v>88</v>
      </c>
      <c r="J65" s="51"/>
      <c r="K65" s="51"/>
      <c r="L65" s="51"/>
    </row>
    <row r="66" spans="1:12" x14ac:dyDescent="0.25">
      <c r="A66" s="1"/>
      <c r="B66" s="91" t="s">
        <v>2</v>
      </c>
      <c r="E66" s="24"/>
      <c r="H66" s="66"/>
      <c r="I66" s="67" t="s">
        <v>159</v>
      </c>
      <c r="J66" s="51"/>
      <c r="K66" s="51"/>
      <c r="L66" s="51"/>
    </row>
    <row r="67" spans="1:12" x14ac:dyDescent="0.25">
      <c r="A67" s="1"/>
      <c r="B67" s="92" t="s">
        <v>1</v>
      </c>
      <c r="E67" s="24"/>
      <c r="H67" s="65" t="s">
        <v>108</v>
      </c>
      <c r="I67" s="32" t="s">
        <v>174</v>
      </c>
      <c r="J67" s="22" t="e">
        <f>VLOOKUP(J65,B3:D8,3,FALSE)*J63*J64+J66</f>
        <v>#N/A</v>
      </c>
      <c r="K67" s="22" t="e">
        <f t="shared" ref="K67:L67" si="27">VLOOKUP(K65,C3:E8,3,FALSE)*K63*K64+K66</f>
        <v>#N/A</v>
      </c>
      <c r="L67" s="22" t="e">
        <f t="shared" si="27"/>
        <v>#N/A</v>
      </c>
    </row>
    <row r="68" spans="1:12" x14ac:dyDescent="0.25">
      <c r="A68" s="1"/>
      <c r="B68" s="93" t="s">
        <v>53</v>
      </c>
      <c r="C68" s="7"/>
      <c r="D68" s="7"/>
      <c r="E68" s="24"/>
      <c r="H68" s="65"/>
      <c r="I68" s="32" t="s">
        <v>175</v>
      </c>
      <c r="J68" s="85">
        <f>1+$D$20+J69+J70</f>
        <v>1</v>
      </c>
      <c r="K68" s="85">
        <f t="shared" ref="K68:L68" si="28">1+$D$20+K69+K70</f>
        <v>1</v>
      </c>
      <c r="L68" s="85">
        <f t="shared" si="28"/>
        <v>1</v>
      </c>
    </row>
    <row r="69" spans="1:12" x14ac:dyDescent="0.25">
      <c r="A69" s="1"/>
      <c r="B69" s="94" t="s">
        <v>52</v>
      </c>
      <c r="C69" s="7"/>
      <c r="D69" s="7"/>
      <c r="E69" s="24"/>
      <c r="H69" s="28" t="s">
        <v>54</v>
      </c>
      <c r="I69" s="22" t="s">
        <v>179</v>
      </c>
      <c r="J69" s="60"/>
      <c r="K69" s="60"/>
      <c r="L69" s="60"/>
    </row>
    <row r="70" spans="1:12" x14ac:dyDescent="0.25">
      <c r="A70" s="1"/>
      <c r="B70" s="96" t="s">
        <v>63</v>
      </c>
      <c r="C70" s="7"/>
      <c r="D70" s="7"/>
      <c r="E70" s="24"/>
      <c r="H70" s="27"/>
      <c r="I70" s="22" t="s">
        <v>180</v>
      </c>
      <c r="J70" s="60"/>
      <c r="K70" s="60"/>
      <c r="L70" s="60"/>
    </row>
    <row r="71" spans="1:12" x14ac:dyDescent="0.25">
      <c r="A71" s="1"/>
      <c r="B71" s="97" t="s">
        <v>51</v>
      </c>
      <c r="C71" s="7"/>
      <c r="D71" s="7"/>
      <c r="E71" s="24"/>
      <c r="H71" s="27"/>
      <c r="I71" s="22" t="s">
        <v>181</v>
      </c>
      <c r="J71" s="60"/>
      <c r="K71" s="60"/>
      <c r="L71" s="60"/>
    </row>
    <row r="72" spans="1:12" x14ac:dyDescent="0.25">
      <c r="A72" s="1"/>
      <c r="B72" s="95" t="s">
        <v>50</v>
      </c>
      <c r="C72" s="7"/>
      <c r="D72" s="7"/>
      <c r="E72" s="24"/>
      <c r="H72" s="27"/>
      <c r="I72" s="22" t="s">
        <v>100</v>
      </c>
      <c r="J72" s="60"/>
      <c r="K72" s="60"/>
      <c r="L72" s="60"/>
    </row>
    <row r="73" spans="1:12" x14ac:dyDescent="0.25">
      <c r="A73" s="1"/>
      <c r="B73" s="98" t="s">
        <v>57</v>
      </c>
      <c r="C73" s="7"/>
      <c r="D73" s="7"/>
      <c r="E73" s="24"/>
    </row>
    <row r="74" spans="1:12" x14ac:dyDescent="0.25">
      <c r="A74" s="1"/>
      <c r="B74" s="99" t="s">
        <v>152</v>
      </c>
      <c r="C74" s="7"/>
      <c r="D74" s="7"/>
      <c r="E74" s="24"/>
    </row>
    <row r="75" spans="1:12" x14ac:dyDescent="0.25">
      <c r="A75" s="1"/>
      <c r="B75" s="100" t="s">
        <v>49</v>
      </c>
      <c r="C75" s="7"/>
      <c r="D75" s="7"/>
      <c r="E75" s="24"/>
    </row>
    <row r="76" spans="1:12" x14ac:dyDescent="0.25">
      <c r="A76" s="1"/>
      <c r="B76" s="101" t="s">
        <v>48</v>
      </c>
      <c r="C76" s="7"/>
      <c r="D76" s="7"/>
      <c r="E76" s="24"/>
    </row>
    <row r="77" spans="1:12" x14ac:dyDescent="0.25">
      <c r="A77" s="1"/>
      <c r="B77" s="103" t="s">
        <v>11</v>
      </c>
      <c r="C77" s="7"/>
      <c r="D77" s="7"/>
      <c r="E77" s="24"/>
    </row>
    <row r="78" spans="1:12" x14ac:dyDescent="0.25">
      <c r="A78" s="1"/>
      <c r="B78" s="104" t="s">
        <v>148</v>
      </c>
      <c r="C78" s="7"/>
      <c r="D78" s="7"/>
      <c r="E78" s="24"/>
      <c r="I78"/>
      <c r="J78"/>
    </row>
    <row r="79" spans="1:12" x14ac:dyDescent="0.25">
      <c r="A79" s="1"/>
      <c r="B79" s="18" t="s">
        <v>106</v>
      </c>
      <c r="C79" s="7"/>
      <c r="E79" s="24"/>
      <c r="I79"/>
      <c r="J79"/>
    </row>
    <row r="80" spans="1:12" x14ac:dyDescent="0.25">
      <c r="A80" s="1"/>
      <c r="B80" s="18" t="s">
        <v>96</v>
      </c>
      <c r="C80" s="7"/>
      <c r="E80" s="24"/>
      <c r="I80"/>
      <c r="J80"/>
    </row>
    <row r="81" spans="1:6" x14ac:dyDescent="0.25">
      <c r="A81" s="1"/>
      <c r="B81" s="18" t="s">
        <v>73</v>
      </c>
      <c r="C81" s="7"/>
      <c r="E81" s="24"/>
    </row>
    <row r="82" spans="1:6" x14ac:dyDescent="0.25">
      <c r="A82" s="1"/>
      <c r="B82" s="18" t="s">
        <v>74</v>
      </c>
      <c r="C82" s="7"/>
      <c r="E82" s="24"/>
    </row>
    <row r="83" spans="1:6" x14ac:dyDescent="0.25">
      <c r="A83" s="1"/>
      <c r="B83" s="18" t="s">
        <v>75</v>
      </c>
      <c r="C83" s="7"/>
      <c r="D83" s="7"/>
      <c r="E83" s="24"/>
    </row>
    <row r="84" spans="1:6" x14ac:dyDescent="0.25">
      <c r="A84" s="1"/>
      <c r="B84" s="18" t="s">
        <v>76</v>
      </c>
      <c r="C84" s="7"/>
      <c r="D84" s="7"/>
      <c r="E84" s="24"/>
    </row>
    <row r="85" spans="1:6" x14ac:dyDescent="0.25">
      <c r="A85" s="1"/>
      <c r="B85" s="16"/>
      <c r="C85" s="28" t="s">
        <v>56</v>
      </c>
      <c r="D85" s="28" t="s">
        <v>145</v>
      </c>
      <c r="E85" s="28" t="s">
        <v>144</v>
      </c>
      <c r="F85" s="72" t="s">
        <v>147</v>
      </c>
    </row>
    <row r="86" spans="1:6" x14ac:dyDescent="0.25">
      <c r="A86" s="1"/>
      <c r="B86" s="19" t="s">
        <v>55</v>
      </c>
      <c r="C86" s="71">
        <f>SUM(D90:D96)</f>
        <v>0</v>
      </c>
      <c r="D86" s="24">
        <v>20</v>
      </c>
      <c r="E86" s="12">
        <v>2</v>
      </c>
      <c r="F86">
        <v>10</v>
      </c>
    </row>
    <row r="87" spans="1:6" x14ac:dyDescent="0.25">
      <c r="A87" s="1"/>
      <c r="B87" s="86" t="s">
        <v>47</v>
      </c>
      <c r="C87" s="22">
        <v>17</v>
      </c>
      <c r="D87" s="35">
        <v>0</v>
      </c>
      <c r="E87" s="70">
        <f t="shared" ref="E87:E92" si="29">D87+$E$86</f>
        <v>2</v>
      </c>
      <c r="F87">
        <f>F86-D46*2</f>
        <v>8</v>
      </c>
    </row>
    <row r="88" spans="1:6" x14ac:dyDescent="0.25">
      <c r="A88" s="1"/>
      <c r="B88" s="106" t="s">
        <v>45</v>
      </c>
      <c r="C88" s="41">
        <v>20</v>
      </c>
      <c r="D88" s="43">
        <v>0</v>
      </c>
      <c r="E88" s="70">
        <f t="shared" si="29"/>
        <v>2</v>
      </c>
      <c r="F88">
        <f>F86</f>
        <v>10</v>
      </c>
    </row>
    <row r="89" spans="1:6" x14ac:dyDescent="0.25">
      <c r="A89" s="1"/>
      <c r="B89" s="107" t="s">
        <v>46</v>
      </c>
      <c r="C89" s="41">
        <v>254</v>
      </c>
      <c r="D89" s="43">
        <v>0</v>
      </c>
      <c r="E89" s="70">
        <f t="shared" si="29"/>
        <v>2</v>
      </c>
      <c r="F89">
        <f>F86-D47*2</f>
        <v>8</v>
      </c>
    </row>
    <row r="90" spans="1:6" x14ac:dyDescent="0.25">
      <c r="A90" s="1"/>
      <c r="B90" s="87" t="s">
        <v>4</v>
      </c>
      <c r="C90" s="37">
        <v>0.05</v>
      </c>
      <c r="D90" s="43">
        <v>0</v>
      </c>
      <c r="E90" s="70">
        <f t="shared" si="29"/>
        <v>2</v>
      </c>
      <c r="F90">
        <f>F86-D48*2</f>
        <v>8</v>
      </c>
    </row>
    <row r="91" spans="1:6" x14ac:dyDescent="0.25">
      <c r="A91" s="1"/>
      <c r="B91" s="88" t="s">
        <v>22</v>
      </c>
      <c r="C91" s="37">
        <v>6.2E-2</v>
      </c>
      <c r="D91" s="43">
        <v>0</v>
      </c>
      <c r="E91" s="70">
        <f t="shared" si="29"/>
        <v>2</v>
      </c>
      <c r="F91">
        <f>F86-D49*2</f>
        <v>10</v>
      </c>
    </row>
    <row r="92" spans="1:6" x14ac:dyDescent="0.25">
      <c r="A92" s="1"/>
      <c r="B92" s="89" t="s">
        <v>40</v>
      </c>
      <c r="C92" s="25">
        <v>0.05</v>
      </c>
      <c r="D92" s="43">
        <v>0</v>
      </c>
      <c r="E92" s="70">
        <f t="shared" si="29"/>
        <v>2</v>
      </c>
      <c r="F92">
        <f>F86-D50*2</f>
        <v>10</v>
      </c>
    </row>
    <row r="93" spans="1:6" x14ac:dyDescent="0.25">
      <c r="A93" s="1"/>
      <c r="B93" s="90" t="s">
        <v>3</v>
      </c>
      <c r="C93" s="37">
        <v>3.3000000000000002E-2</v>
      </c>
      <c r="D93" s="35">
        <v>0</v>
      </c>
      <c r="E93" s="70">
        <f t="shared" ref="E93:E96" si="30">D93+$E$86</f>
        <v>2</v>
      </c>
      <c r="F93">
        <f>F86-D51*2</f>
        <v>8</v>
      </c>
    </row>
    <row r="94" spans="1:6" x14ac:dyDescent="0.25">
      <c r="A94" s="1"/>
      <c r="B94" s="91" t="s">
        <v>2</v>
      </c>
      <c r="C94" s="37">
        <v>6.6000000000000003E-2</v>
      </c>
      <c r="D94" s="43">
        <v>0</v>
      </c>
      <c r="E94" s="70">
        <f t="shared" si="30"/>
        <v>2</v>
      </c>
      <c r="F94">
        <f>F86-D52*2</f>
        <v>10</v>
      </c>
    </row>
    <row r="95" spans="1:6" x14ac:dyDescent="0.25">
      <c r="A95" s="1"/>
      <c r="B95" s="92" t="s">
        <v>1</v>
      </c>
      <c r="C95" s="41">
        <v>20</v>
      </c>
      <c r="D95" s="43">
        <v>0</v>
      </c>
      <c r="E95" s="70">
        <f t="shared" si="30"/>
        <v>2</v>
      </c>
      <c r="F95">
        <f>F86-D53*2</f>
        <v>10</v>
      </c>
    </row>
    <row r="96" spans="1:6" x14ac:dyDescent="0.25">
      <c r="A96" s="1"/>
      <c r="B96" s="105" t="s">
        <v>11</v>
      </c>
      <c r="C96" s="44">
        <v>5.8000000000000003E-2</v>
      </c>
      <c r="D96" s="43">
        <v>0</v>
      </c>
      <c r="E96" s="70">
        <f t="shared" si="30"/>
        <v>2</v>
      </c>
      <c r="F96">
        <f>F86-D57*2</f>
        <v>10</v>
      </c>
    </row>
    <row r="97" spans="1:6" ht="26.25" x14ac:dyDescent="0.4">
      <c r="A97" s="1"/>
      <c r="B97" s="1"/>
      <c r="C97" s="9"/>
      <c r="D97" s="9"/>
      <c r="E97" s="82" t="s">
        <v>134</v>
      </c>
      <c r="F97" s="83">
        <f>SUM(J27:AC27)+SUM(V9:AD9)</f>
        <v>0</v>
      </c>
    </row>
    <row r="98" spans="1:6" ht="26.25" x14ac:dyDescent="0.4">
      <c r="A98" s="167" t="s">
        <v>117</v>
      </c>
      <c r="B98" s="167"/>
      <c r="C98" s="167"/>
      <c r="D98" s="167"/>
      <c r="E98" s="82" t="s">
        <v>119</v>
      </c>
      <c r="F98" s="83" t="s">
        <v>171</v>
      </c>
    </row>
    <row r="99" spans="1:6" ht="26.25" x14ac:dyDescent="0.4">
      <c r="A99" s="167"/>
      <c r="B99" s="167"/>
      <c r="C99" s="167"/>
      <c r="D99" s="167"/>
      <c r="E99" s="82" t="s">
        <v>120</v>
      </c>
      <c r="F99" s="83" t="str">
        <f>IFERROR(IF(F98&gt;=0,F97/H1017,"-"),"-")</f>
        <v>-</v>
      </c>
    </row>
    <row r="100" spans="1:6" x14ac:dyDescent="0.25">
      <c r="A100" s="167"/>
      <c r="B100" s="167"/>
      <c r="C100" s="167"/>
      <c r="D100" s="167"/>
    </row>
    <row r="101" spans="1:6" x14ac:dyDescent="0.25">
      <c r="A101" s="167"/>
      <c r="B101" s="167"/>
      <c r="C101" s="167"/>
      <c r="D101" s="167"/>
    </row>
    <row r="102" spans="1:6" x14ac:dyDescent="0.25">
      <c r="A102" s="167"/>
      <c r="B102" s="167"/>
      <c r="C102" s="167"/>
      <c r="D102" s="167"/>
    </row>
    <row r="103" spans="1:6" ht="14.65" customHeight="1" x14ac:dyDescent="0.25"/>
    <row r="113" spans="1:35" x14ac:dyDescent="0.25">
      <c r="A113" s="1"/>
      <c r="B113" s="1"/>
      <c r="C113" s="1"/>
      <c r="D113" s="1"/>
      <c r="E113" s="1"/>
      <c r="F113" s="1"/>
      <c r="G113" s="1"/>
      <c r="H113" s="1"/>
      <c r="I113" s="46"/>
      <c r="J113" s="46"/>
      <c r="K113" s="1"/>
      <c r="L113" s="1"/>
      <c r="M113" s="1"/>
      <c r="N113" s="1"/>
      <c r="O113" s="1"/>
      <c r="P113" t="s">
        <v>6</v>
      </c>
      <c r="Q113" t="s">
        <v>132</v>
      </c>
      <c r="R113" t="s">
        <v>39</v>
      </c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s="12" customFormat="1" x14ac:dyDescent="0.25">
      <c r="A114" s="2"/>
      <c r="B114" s="2"/>
      <c r="C114" s="2" t="s">
        <v>47</v>
      </c>
      <c r="D114" s="2" t="s">
        <v>45</v>
      </c>
      <c r="E114" s="2" t="s">
        <v>46</v>
      </c>
      <c r="F114" s="2"/>
      <c r="G114" s="2"/>
      <c r="H114" s="2" t="s">
        <v>124</v>
      </c>
      <c r="I114" s="11" t="s">
        <v>103</v>
      </c>
      <c r="J114" s="11" t="s">
        <v>191</v>
      </c>
      <c r="K114" s="2" t="s">
        <v>125</v>
      </c>
      <c r="L114" s="2" t="s">
        <v>126</v>
      </c>
      <c r="M114" s="2" t="s">
        <v>127</v>
      </c>
      <c r="N114" s="2" t="s">
        <v>128</v>
      </c>
      <c r="O114" s="2" t="s">
        <v>129</v>
      </c>
      <c r="P114" s="2" t="s">
        <v>130</v>
      </c>
      <c r="Q114" s="2" t="s">
        <v>131</v>
      </c>
      <c r="R114" s="2" t="s">
        <v>133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1"/>
    </row>
    <row r="115" spans="1:35" s="12" customFormat="1" x14ac:dyDescent="0.25">
      <c r="A115" s="2"/>
      <c r="B115" s="2" t="s">
        <v>43</v>
      </c>
      <c r="C115" s="2">
        <v>19.551000595092699</v>
      </c>
      <c r="D115" s="2">
        <v>68.206199645996094</v>
      </c>
      <c r="E115" s="2">
        <v>1029.58557128906</v>
      </c>
      <c r="F115" s="2"/>
      <c r="G115" s="2">
        <v>5</v>
      </c>
      <c r="H115" s="2">
        <v>1</v>
      </c>
      <c r="I115" s="53">
        <v>1</v>
      </c>
      <c r="J115" s="53">
        <v>1</v>
      </c>
      <c r="K115" s="54">
        <v>1</v>
      </c>
      <c r="L115" s="2">
        <v>1</v>
      </c>
      <c r="M115" s="2">
        <v>1</v>
      </c>
      <c r="N115" s="2">
        <v>1</v>
      </c>
      <c r="O115" s="2">
        <v>1</v>
      </c>
      <c r="P115" s="2">
        <v>1</v>
      </c>
      <c r="Q115" s="2">
        <v>1</v>
      </c>
      <c r="R115" s="2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1"/>
    </row>
    <row r="116" spans="1:35" s="12" customFormat="1" x14ac:dyDescent="0.25">
      <c r="A116" s="2"/>
      <c r="B116" s="2" t="s">
        <v>42</v>
      </c>
      <c r="C116" s="2">
        <v>18.698400497436499</v>
      </c>
      <c r="D116" s="2">
        <v>50.358001708984297</v>
      </c>
      <c r="E116" s="2">
        <v>793.25817871093705</v>
      </c>
      <c r="F116" s="2"/>
      <c r="G116" s="2">
        <v>4</v>
      </c>
      <c r="H116" s="2">
        <v>2</v>
      </c>
      <c r="I116" s="53">
        <v>1.081</v>
      </c>
      <c r="J116" s="53">
        <v>1.081</v>
      </c>
      <c r="K116" s="54">
        <v>1.0680000000000001</v>
      </c>
      <c r="L116" s="2">
        <v>1.075</v>
      </c>
      <c r="M116" s="2">
        <v>1.075</v>
      </c>
      <c r="N116" s="2">
        <v>1.06</v>
      </c>
      <c r="O116" s="2">
        <v>1.1000000000000001</v>
      </c>
      <c r="P116" s="2">
        <v>1.1080000000000001</v>
      </c>
      <c r="Q116" s="2">
        <v>1.016</v>
      </c>
      <c r="R116" s="2">
        <v>1.05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1"/>
    </row>
    <row r="117" spans="1:35" s="12" customFormat="1" x14ac:dyDescent="0.25">
      <c r="A117" s="2"/>
      <c r="B117" s="2" t="s">
        <v>41</v>
      </c>
      <c r="C117" s="2">
        <v>13.355999946594199</v>
      </c>
      <c r="D117" s="2">
        <v>56.080501556396399</v>
      </c>
      <c r="E117" s="2">
        <v>820.61187744140602</v>
      </c>
      <c r="F117" s="2"/>
      <c r="G117" s="2">
        <v>4</v>
      </c>
      <c r="H117" s="2">
        <v>3</v>
      </c>
      <c r="I117" s="53">
        <v>1.163</v>
      </c>
      <c r="J117" s="53">
        <v>1.163</v>
      </c>
      <c r="K117" s="54">
        <v>1.1359999999999999</v>
      </c>
      <c r="L117" s="2">
        <v>1.1499999999999999</v>
      </c>
      <c r="M117" s="2">
        <v>1.1499999999999999</v>
      </c>
      <c r="N117" s="2">
        <v>1.1200000000000001</v>
      </c>
      <c r="O117" s="2">
        <v>1.208</v>
      </c>
      <c r="P117" s="2">
        <v>1.216</v>
      </c>
      <c r="Q117" s="2">
        <v>1.0329999999999999</v>
      </c>
      <c r="R117" s="2">
        <v>1.1000000000000001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1"/>
    </row>
    <row r="118" spans="1:35" s="12" customFormat="1" x14ac:dyDescent="0.25">
      <c r="A118" s="2"/>
      <c r="B118" s="2" t="s">
        <v>39</v>
      </c>
      <c r="C118" s="2">
        <v>18.876480102538999</v>
      </c>
      <c r="D118" s="2">
        <v>54.363750457763601</v>
      </c>
      <c r="E118" s="2">
        <v>1094.14916992187</v>
      </c>
      <c r="F118" s="2"/>
      <c r="G118" s="2">
        <v>4</v>
      </c>
      <c r="H118" s="2">
        <v>4</v>
      </c>
      <c r="I118" s="53">
        <v>1.2789999999999999</v>
      </c>
      <c r="J118" s="53">
        <v>1.2789999999999999</v>
      </c>
      <c r="K118" s="54">
        <v>1.2270000000000001</v>
      </c>
      <c r="L118" s="2">
        <v>1.25</v>
      </c>
      <c r="M118" s="2">
        <v>1.25</v>
      </c>
      <c r="N118" s="2">
        <v>1.198</v>
      </c>
      <c r="O118" s="2">
        <v>1.325</v>
      </c>
      <c r="P118" s="2">
        <v>1.351</v>
      </c>
      <c r="Q118" s="2">
        <v>1.054</v>
      </c>
      <c r="R118" s="2">
        <v>1.2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1"/>
    </row>
    <row r="119" spans="1:35" s="12" customFormat="1" x14ac:dyDescent="0.25">
      <c r="A119" s="2"/>
      <c r="B119" s="2" t="s">
        <v>38</v>
      </c>
      <c r="C119" s="2">
        <v>16.0272006988525</v>
      </c>
      <c r="D119" s="2">
        <v>64.664253234863196</v>
      </c>
      <c r="E119" s="2">
        <v>1039.44177246093</v>
      </c>
      <c r="F119" s="2"/>
      <c r="G119" s="2">
        <v>4</v>
      </c>
      <c r="H119" s="2">
        <v>5</v>
      </c>
      <c r="I119" s="53">
        <v>1.36</v>
      </c>
      <c r="J119" s="53">
        <v>1.36</v>
      </c>
      <c r="K119" s="54">
        <v>1.2949999999999999</v>
      </c>
      <c r="L119" s="2">
        <v>1.325</v>
      </c>
      <c r="M119" s="2">
        <v>1.325</v>
      </c>
      <c r="N119" s="2">
        <v>1.2569999999999999</v>
      </c>
      <c r="O119" s="2">
        <v>1.45</v>
      </c>
      <c r="P119" s="2">
        <v>1.4730000000000001</v>
      </c>
      <c r="Q119" s="2">
        <v>1.071</v>
      </c>
      <c r="R119" s="2">
        <v>1.25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1"/>
    </row>
    <row r="120" spans="1:35" s="12" customFormat="1" x14ac:dyDescent="0.25">
      <c r="A120" s="2"/>
      <c r="B120" s="2" t="s">
        <v>37</v>
      </c>
      <c r="C120" s="2">
        <v>18.698400497436499</v>
      </c>
      <c r="D120" s="2">
        <v>54.363750457763601</v>
      </c>
      <c r="E120" s="2">
        <v>920.908935546875</v>
      </c>
      <c r="F120" s="2"/>
      <c r="G120" s="2">
        <v>4</v>
      </c>
      <c r="H120" s="2">
        <v>6</v>
      </c>
      <c r="I120" s="53">
        <v>1.4530000000000001</v>
      </c>
      <c r="J120" s="53">
        <v>1.4530000000000001</v>
      </c>
      <c r="K120" s="54">
        <v>1.375</v>
      </c>
      <c r="L120" s="2">
        <v>1.4</v>
      </c>
      <c r="M120" s="2">
        <v>1.4</v>
      </c>
      <c r="N120" s="2">
        <v>1.3169999999999999</v>
      </c>
      <c r="O120" s="2">
        <v>1.583</v>
      </c>
      <c r="P120" s="2">
        <v>1.595</v>
      </c>
      <c r="Q120" s="2">
        <v>1.087</v>
      </c>
      <c r="R120" s="2">
        <v>1.3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1"/>
    </row>
    <row r="121" spans="1:35" s="12" customFormat="1" x14ac:dyDescent="0.25">
      <c r="A121" s="2"/>
      <c r="B121" s="2" t="s">
        <v>36</v>
      </c>
      <c r="C121" s="2">
        <v>26.068000793456999</v>
      </c>
      <c r="D121" s="2">
        <v>61.026599884033203</v>
      </c>
      <c r="E121" s="2">
        <v>1010.51922607421</v>
      </c>
      <c r="F121" s="2"/>
      <c r="G121" s="2">
        <v>5</v>
      </c>
      <c r="H121" s="2">
        <v>7</v>
      </c>
      <c r="I121" s="53">
        <v>1.581</v>
      </c>
      <c r="J121" s="53">
        <v>1.581</v>
      </c>
      <c r="K121" s="54">
        <v>1.4770000000000001</v>
      </c>
      <c r="L121" s="2">
        <v>1.5</v>
      </c>
      <c r="M121" s="2">
        <v>1.5</v>
      </c>
      <c r="N121" s="2">
        <v>1.395</v>
      </c>
      <c r="O121" s="2">
        <v>1.7250000000000001</v>
      </c>
      <c r="P121" s="2">
        <v>1.7569999999999999</v>
      </c>
      <c r="Q121" s="2">
        <v>1.109</v>
      </c>
      <c r="R121" s="2">
        <v>1.4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1"/>
    </row>
    <row r="122" spans="1:35" s="12" customFormat="1" x14ac:dyDescent="0.25">
      <c r="A122" s="2"/>
      <c r="B122" s="2" t="s">
        <v>35</v>
      </c>
      <c r="C122" s="2">
        <v>17.808000564575099</v>
      </c>
      <c r="D122" s="2">
        <v>50.358001708984297</v>
      </c>
      <c r="E122" s="2">
        <v>802.37609863281205</v>
      </c>
      <c r="F122" s="2"/>
      <c r="G122" s="2">
        <v>4</v>
      </c>
      <c r="H122" s="2">
        <v>8</v>
      </c>
      <c r="I122" s="53">
        <v>1.7090000000000001</v>
      </c>
      <c r="J122" s="53">
        <v>1.7090000000000001</v>
      </c>
      <c r="K122" s="54">
        <v>1.58</v>
      </c>
      <c r="L122" s="2">
        <v>1.6</v>
      </c>
      <c r="M122" s="2">
        <v>1.6</v>
      </c>
      <c r="N122" s="2">
        <v>1.4730000000000001</v>
      </c>
      <c r="O122" s="2">
        <v>1.875</v>
      </c>
      <c r="P122" s="2">
        <v>1.919</v>
      </c>
      <c r="Q122" s="2">
        <v>1.1299999999999999</v>
      </c>
      <c r="R122" s="2">
        <v>1.5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1"/>
    </row>
    <row r="123" spans="1:35" s="12" customFormat="1" x14ac:dyDescent="0.25">
      <c r="A123" s="2"/>
      <c r="B123" s="2" t="s">
        <v>34</v>
      </c>
      <c r="C123" s="2">
        <v>26.626600265502901</v>
      </c>
      <c r="D123" s="2">
        <v>58.453910827636697</v>
      </c>
      <c r="E123" s="2">
        <v>1029.58557128906</v>
      </c>
      <c r="F123" s="2"/>
      <c r="G123" s="2">
        <v>5</v>
      </c>
      <c r="H123" s="2">
        <v>9</v>
      </c>
      <c r="I123" s="53">
        <v>1.837</v>
      </c>
      <c r="J123" s="53">
        <v>1.837</v>
      </c>
      <c r="K123" s="54">
        <v>1.6819999999999999</v>
      </c>
      <c r="L123" s="2">
        <v>1.7</v>
      </c>
      <c r="M123" s="2">
        <v>1.7</v>
      </c>
      <c r="N123" s="2">
        <v>1.5509999999999999</v>
      </c>
      <c r="O123" s="2">
        <v>2.0329999999999999</v>
      </c>
      <c r="P123" s="2">
        <v>2.081</v>
      </c>
      <c r="Q123" s="2">
        <v>1.151</v>
      </c>
      <c r="R123" s="2">
        <v>1.6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1"/>
    </row>
    <row r="124" spans="1:35" s="12" customFormat="1" x14ac:dyDescent="0.25">
      <c r="A124" s="2"/>
      <c r="B124" s="2" t="s">
        <v>33</v>
      </c>
      <c r="C124" s="2">
        <v>20.479200363159102</v>
      </c>
      <c r="D124" s="2">
        <v>49.785751342773402</v>
      </c>
      <c r="E124" s="2">
        <v>770.46337890625</v>
      </c>
      <c r="F124" s="2"/>
      <c r="G124" s="2">
        <v>4</v>
      </c>
      <c r="H124" s="2">
        <v>10</v>
      </c>
      <c r="I124" s="53">
        <v>1.9770000000000001</v>
      </c>
      <c r="J124" s="53">
        <v>1.9770000000000001</v>
      </c>
      <c r="K124" s="54">
        <v>1.784</v>
      </c>
      <c r="L124" s="2">
        <v>1.8</v>
      </c>
      <c r="M124" s="2">
        <v>1.8</v>
      </c>
      <c r="N124" s="2">
        <v>1.629</v>
      </c>
      <c r="O124" s="2">
        <v>2.2000000000000002</v>
      </c>
      <c r="P124" s="2">
        <v>2.2429999999999999</v>
      </c>
      <c r="Q124" s="2">
        <v>1.173</v>
      </c>
      <c r="R124" s="2">
        <v>1.7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1"/>
    </row>
    <row r="125" spans="1:35" s="12" customFormat="1" x14ac:dyDescent="0.25">
      <c r="A125" s="2"/>
      <c r="B125" s="2" t="s">
        <v>32</v>
      </c>
      <c r="C125" s="2">
        <v>26.068000793456999</v>
      </c>
      <c r="D125" s="2">
        <v>49.060600280761697</v>
      </c>
      <c r="E125" s="2">
        <v>762.656005859375</v>
      </c>
      <c r="F125" s="2"/>
      <c r="G125" s="2">
        <v>5</v>
      </c>
      <c r="H125" s="2">
        <v>11</v>
      </c>
      <c r="I125" s="53">
        <v>2.1160000000000001</v>
      </c>
      <c r="J125" s="53">
        <v>2.137</v>
      </c>
      <c r="K125" s="54">
        <v>1.8859999999999999</v>
      </c>
      <c r="L125" s="2">
        <v>1.9</v>
      </c>
      <c r="M125" s="2">
        <v>1.9039999999999999</v>
      </c>
      <c r="N125" s="2">
        <v>1.7070000000000001</v>
      </c>
      <c r="O125" s="2">
        <v>2.375</v>
      </c>
      <c r="P125" s="2">
        <v>2.4049999999999998</v>
      </c>
      <c r="Q125" s="2">
        <v>1.194</v>
      </c>
      <c r="R125" s="2">
        <v>1.75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1"/>
    </row>
    <row r="126" spans="1:35" s="12" customFormat="1" x14ac:dyDescent="0.25">
      <c r="A126" s="2"/>
      <c r="B126" s="2" t="s">
        <v>31</v>
      </c>
      <c r="C126" s="2">
        <v>8.2859001159667898</v>
      </c>
      <c r="D126" s="2">
        <v>68.206199645996094</v>
      </c>
      <c r="E126" s="2">
        <v>1210.71643066406</v>
      </c>
      <c r="F126" s="2"/>
      <c r="G126" s="2">
        <v>5</v>
      </c>
      <c r="H126" s="2">
        <v>12</v>
      </c>
      <c r="I126" s="53">
        <v>2.2559999999999998</v>
      </c>
      <c r="J126" s="53">
        <v>2.3250000000000002</v>
      </c>
      <c r="K126" s="54">
        <v>1.9890000000000001</v>
      </c>
      <c r="L126" s="2">
        <v>2</v>
      </c>
      <c r="M126" s="2">
        <v>2.04</v>
      </c>
      <c r="N126" s="2">
        <v>1.784</v>
      </c>
      <c r="O126" s="2">
        <v>2.5590000000000002</v>
      </c>
      <c r="P126" s="2">
        <v>2.5680000000000001</v>
      </c>
      <c r="Q126" s="2">
        <v>1.216</v>
      </c>
      <c r="R126" s="2">
        <v>1.8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1"/>
    </row>
    <row r="127" spans="1:35" s="12" customFormat="1" x14ac:dyDescent="0.25">
      <c r="A127" s="2"/>
      <c r="B127" s="2" t="s">
        <v>30</v>
      </c>
      <c r="C127" s="2">
        <v>18.620000839233398</v>
      </c>
      <c r="D127" s="2">
        <v>59.830001831054602</v>
      </c>
      <c r="E127" s="2">
        <v>1143.98400878906</v>
      </c>
      <c r="F127" s="2"/>
      <c r="G127" s="2">
        <v>5</v>
      </c>
      <c r="H127" s="56">
        <v>13</v>
      </c>
      <c r="I127" s="55">
        <v>2.395</v>
      </c>
      <c r="J127" s="53">
        <v>2.5129999999999999</v>
      </c>
      <c r="K127" s="54">
        <v>2.0910000000000002</v>
      </c>
      <c r="L127" s="2">
        <v>2.125</v>
      </c>
      <c r="M127" s="2">
        <v>2.1760000000000002</v>
      </c>
      <c r="N127" s="2">
        <v>1.8620000000000001</v>
      </c>
      <c r="O127" s="2">
        <v>2.75</v>
      </c>
      <c r="P127" s="2">
        <v>2.7029999999999998</v>
      </c>
      <c r="Q127" s="2">
        <v>1.2370000000000001</v>
      </c>
      <c r="R127" s="2">
        <v>1.85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1"/>
    </row>
    <row r="128" spans="1:35" s="12" customFormat="1" x14ac:dyDescent="0.25">
      <c r="A128" s="2"/>
      <c r="B128" s="2" t="s">
        <v>29</v>
      </c>
      <c r="C128" s="2">
        <v>18.698400497436499</v>
      </c>
      <c r="D128" s="2">
        <v>66.380996704101506</v>
      </c>
      <c r="E128" s="2">
        <v>975.61639404296795</v>
      </c>
      <c r="F128" s="2"/>
      <c r="G128" s="2">
        <v>4</v>
      </c>
      <c r="H128" s="2">
        <v>14</v>
      </c>
      <c r="I128" s="53">
        <v>2.5350000000000001</v>
      </c>
      <c r="J128" s="53">
        <v>2.7010000000000001</v>
      </c>
      <c r="K128" s="54">
        <v>2.1930000000000001</v>
      </c>
      <c r="L128" s="2">
        <v>2.25</v>
      </c>
      <c r="M128" s="2">
        <v>2.3119999999999998</v>
      </c>
      <c r="N128" s="2">
        <v>1.94</v>
      </c>
      <c r="O128" s="2">
        <v>2.95</v>
      </c>
      <c r="P128" s="2">
        <v>2.8380000000000001</v>
      </c>
      <c r="Q128" s="2">
        <v>1.258</v>
      </c>
      <c r="R128" s="2">
        <v>1.9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1"/>
    </row>
    <row r="129" spans="1:35" s="12" customFormat="1" x14ac:dyDescent="0.25">
      <c r="A129" s="2"/>
      <c r="B129" s="2" t="s">
        <v>28</v>
      </c>
      <c r="C129" s="2">
        <v>25.136999130248999</v>
      </c>
      <c r="D129" s="2">
        <v>62.223201751708899</v>
      </c>
      <c r="E129" s="2">
        <v>1020.05242919921</v>
      </c>
      <c r="F129" s="2"/>
      <c r="G129" s="2">
        <v>5</v>
      </c>
      <c r="H129" s="2">
        <v>15</v>
      </c>
      <c r="I129" s="53">
        <v>2.6739999999999999</v>
      </c>
      <c r="J129" s="53">
        <v>2.9060000000000001</v>
      </c>
      <c r="K129" s="54">
        <v>2.2949999999999999</v>
      </c>
      <c r="L129" s="2">
        <v>2.375</v>
      </c>
      <c r="M129" s="2">
        <v>2.448</v>
      </c>
      <c r="N129" s="2">
        <v>2.0179999999999998</v>
      </c>
      <c r="O129" s="2">
        <v>3.1589999999999998</v>
      </c>
      <c r="P129" s="2">
        <v>2.9729999999999999</v>
      </c>
      <c r="Q129" s="2">
        <v>1.28</v>
      </c>
      <c r="R129" s="2">
        <v>1.95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1"/>
    </row>
    <row r="130" spans="1:35" s="12" customFormat="1" x14ac:dyDescent="0.25">
      <c r="A130" s="2"/>
      <c r="B130" s="2" t="s">
        <v>27</v>
      </c>
      <c r="C130" s="2">
        <v>24.205999374389599</v>
      </c>
      <c r="D130" s="2">
        <v>47.863998413085902</v>
      </c>
      <c r="E130" s="2">
        <v>800.788818359375</v>
      </c>
      <c r="F130" s="2"/>
      <c r="G130" s="2">
        <v>5</v>
      </c>
      <c r="H130" s="2"/>
      <c r="I130" s="11"/>
      <c r="J130" s="11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1"/>
    </row>
    <row r="131" spans="1:35" s="12" customFormat="1" x14ac:dyDescent="0.25">
      <c r="A131" s="2"/>
      <c r="B131" s="2" t="s">
        <v>26</v>
      </c>
      <c r="C131" s="2">
        <v>19.410720825195298</v>
      </c>
      <c r="D131" s="2">
        <v>48.069000244140597</v>
      </c>
      <c r="E131" s="2">
        <v>802.37609863281205</v>
      </c>
      <c r="F131" s="2"/>
      <c r="G131" s="2">
        <v>4</v>
      </c>
      <c r="H131" s="2"/>
      <c r="I131" s="11"/>
      <c r="J131" s="11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1"/>
    </row>
    <row r="132" spans="1:35" s="12" customFormat="1" x14ac:dyDescent="0.25">
      <c r="A132" s="2"/>
      <c r="B132" s="2" t="s">
        <v>25</v>
      </c>
      <c r="C132" s="2">
        <v>22.343999862670898</v>
      </c>
      <c r="D132" s="2">
        <v>50.855499267578097</v>
      </c>
      <c r="E132" s="2">
        <v>810.322021484375</v>
      </c>
      <c r="F132" s="2"/>
      <c r="G132" s="2">
        <v>5</v>
      </c>
      <c r="H132" s="2"/>
      <c r="I132" s="11"/>
      <c r="J132" s="11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1"/>
    </row>
    <row r="133" spans="1:35" s="12" customFormat="1" x14ac:dyDescent="0.25">
      <c r="A133" s="2"/>
      <c r="B133" s="2" t="s">
        <v>24</v>
      </c>
      <c r="C133" s="2">
        <v>17.808000564575099</v>
      </c>
      <c r="D133" s="2">
        <v>48.069000244140597</v>
      </c>
      <c r="E133" s="2">
        <v>820.61187744140602</v>
      </c>
      <c r="F133" s="2"/>
      <c r="G133" s="2">
        <v>4</v>
      </c>
      <c r="H133" s="2"/>
      <c r="I133" s="11"/>
      <c r="J133" s="11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1"/>
    </row>
    <row r="134" spans="1:35" s="12" customFormat="1" x14ac:dyDescent="0.25">
      <c r="A134" s="2"/>
      <c r="B134" s="2" t="s">
        <v>23</v>
      </c>
      <c r="C134" s="2">
        <v>16.0272006988525</v>
      </c>
      <c r="D134" s="2">
        <v>66.9532470703125</v>
      </c>
      <c r="E134" s="2">
        <v>1012.08801269531</v>
      </c>
      <c r="F134" s="2"/>
      <c r="G134" s="2">
        <v>4</v>
      </c>
      <c r="H134" s="2"/>
      <c r="I134" s="11"/>
      <c r="J134" s="11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1"/>
    </row>
    <row r="135" spans="1:35" s="12" customFormat="1" x14ac:dyDescent="0.25">
      <c r="A135" s="2"/>
      <c r="B135" s="2" t="s">
        <v>21</v>
      </c>
      <c r="C135" s="2">
        <v>22.343999862670898</v>
      </c>
      <c r="D135" s="2">
        <v>71.795997619628906</v>
      </c>
      <c r="E135" s="2">
        <v>962.85321044921795</v>
      </c>
      <c r="F135" s="2"/>
      <c r="G135" s="2">
        <v>5</v>
      </c>
      <c r="H135" s="2"/>
      <c r="I135" s="11"/>
      <c r="J135" s="11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1"/>
    </row>
    <row r="136" spans="1:35" s="12" customFormat="1" x14ac:dyDescent="0.25">
      <c r="A136" s="2"/>
      <c r="B136" s="2" t="s">
        <v>19</v>
      </c>
      <c r="C136" s="2">
        <v>19.588800430297798</v>
      </c>
      <c r="D136" s="2">
        <v>62.947498321533203</v>
      </c>
      <c r="E136" s="2">
        <v>1002.97009277343</v>
      </c>
      <c r="F136" s="2"/>
      <c r="G136" s="2">
        <v>4</v>
      </c>
      <c r="H136" s="2"/>
      <c r="I136" s="11"/>
      <c r="J136" s="11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1"/>
    </row>
    <row r="137" spans="1:35" s="12" customFormat="1" x14ac:dyDescent="0.25">
      <c r="A137" s="2"/>
      <c r="B137" s="2" t="s">
        <v>17</v>
      </c>
      <c r="C137" s="2">
        <v>20.123039245605401</v>
      </c>
      <c r="D137" s="2">
        <v>59.513999938964801</v>
      </c>
      <c r="E137" s="2">
        <v>1030.32385253906</v>
      </c>
      <c r="F137" s="2"/>
      <c r="G137" s="2">
        <v>4</v>
      </c>
      <c r="H137" s="2"/>
      <c r="I137" s="11"/>
      <c r="J137" s="11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1"/>
    </row>
    <row r="138" spans="1:35" s="12" customFormat="1" x14ac:dyDescent="0.25">
      <c r="A138" s="2"/>
      <c r="B138" s="2" t="s">
        <v>16</v>
      </c>
      <c r="C138" s="2">
        <v>14.246399879455501</v>
      </c>
      <c r="D138" s="2">
        <v>58.941749572753899</v>
      </c>
      <c r="E138" s="2">
        <v>775.02233886718705</v>
      </c>
      <c r="F138" s="2"/>
      <c r="G138" s="2">
        <v>4</v>
      </c>
      <c r="H138" s="2"/>
      <c r="I138" s="11"/>
      <c r="J138" s="11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1"/>
    </row>
    <row r="139" spans="1:35" s="12" customFormat="1" x14ac:dyDescent="0.25">
      <c r="A139" s="2"/>
      <c r="B139" s="2" t="s">
        <v>15</v>
      </c>
      <c r="C139" s="2">
        <v>23.4612007141113</v>
      </c>
      <c r="D139" s="2">
        <v>63.4197998046875</v>
      </c>
      <c r="E139" s="2">
        <v>1020.05242919921</v>
      </c>
      <c r="F139" s="2"/>
      <c r="G139" s="2">
        <v>5</v>
      </c>
      <c r="H139" s="2"/>
      <c r="I139" s="11"/>
      <c r="J139" s="11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1"/>
    </row>
    <row r="140" spans="1:35" s="12" customFormat="1" x14ac:dyDescent="0.25">
      <c r="A140" s="2"/>
      <c r="B140" s="2" t="s">
        <v>14</v>
      </c>
      <c r="C140" s="2">
        <v>17.808000564575099</v>
      </c>
      <c r="D140" s="2">
        <v>57.224998474121001</v>
      </c>
      <c r="E140" s="2">
        <v>911.791015625</v>
      </c>
      <c r="F140" s="2"/>
      <c r="G140" s="2">
        <v>4</v>
      </c>
      <c r="H140" s="2"/>
      <c r="I140" s="11"/>
      <c r="J140" s="11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1"/>
    </row>
    <row r="141" spans="1:35" s="12" customFormat="1" x14ac:dyDescent="0.25">
      <c r="A141" s="2"/>
      <c r="B141" s="2" t="s">
        <v>13</v>
      </c>
      <c r="C141" s="2">
        <v>17.808000564575099</v>
      </c>
      <c r="D141" s="2">
        <v>57.224998474121001</v>
      </c>
      <c r="E141" s="2">
        <v>911.791015625</v>
      </c>
      <c r="F141" s="2"/>
      <c r="G141" s="2">
        <v>4</v>
      </c>
      <c r="H141" s="2"/>
      <c r="I141" s="11"/>
      <c r="J141" s="11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1"/>
    </row>
    <row r="142" spans="1:35" s="12" customFormat="1" x14ac:dyDescent="0.25">
      <c r="A142" s="2"/>
      <c r="B142" s="2" t="s">
        <v>12</v>
      </c>
      <c r="C142" s="2">
        <v>20.482000350952099</v>
      </c>
      <c r="D142" s="2">
        <v>52.052101135253899</v>
      </c>
      <c r="E142" s="2">
        <v>819.855224609375</v>
      </c>
      <c r="F142" s="2"/>
      <c r="G142" s="2">
        <v>5</v>
      </c>
      <c r="H142" s="2"/>
      <c r="I142" s="11"/>
      <c r="J142" s="1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1"/>
    </row>
    <row r="143" spans="1:35" s="12" customFormat="1" x14ac:dyDescent="0.25">
      <c r="A143" s="2"/>
      <c r="B143" s="2" t="s">
        <v>10</v>
      </c>
      <c r="C143" s="2">
        <v>18.876480102538999</v>
      </c>
      <c r="D143" s="2">
        <v>56.080501556396399</v>
      </c>
      <c r="E143" s="2">
        <v>911.791015625</v>
      </c>
      <c r="F143" s="2"/>
      <c r="G143" s="2">
        <v>4</v>
      </c>
      <c r="H143" s="2"/>
      <c r="I143" s="11"/>
      <c r="J143" s="1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1"/>
    </row>
    <row r="144" spans="1:35" s="12" customFormat="1" x14ac:dyDescent="0.25">
      <c r="A144" s="2"/>
      <c r="B144" s="2" t="s">
        <v>9</v>
      </c>
      <c r="C144" s="2">
        <v>27.1851997375488</v>
      </c>
      <c r="D144" s="2">
        <v>62.223201751708899</v>
      </c>
      <c r="E144" s="2">
        <v>991.45281982421795</v>
      </c>
      <c r="F144" s="2"/>
      <c r="G144" s="2">
        <v>5</v>
      </c>
      <c r="H144" s="2"/>
      <c r="I144" s="11"/>
      <c r="J144" s="11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1"/>
    </row>
    <row r="145" spans="1:35" s="12" customFormat="1" x14ac:dyDescent="0.25">
      <c r="A145" s="2"/>
      <c r="B145" s="2" t="s">
        <v>8</v>
      </c>
      <c r="C145" s="2">
        <v>16.9176006317138</v>
      </c>
      <c r="D145" s="2">
        <v>63.519748687744098</v>
      </c>
      <c r="E145" s="2">
        <v>857.08355712890602</v>
      </c>
      <c r="F145" s="2"/>
      <c r="G145" s="2">
        <v>4</v>
      </c>
      <c r="H145" s="2"/>
      <c r="I145" s="11"/>
      <c r="J145" s="11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1"/>
    </row>
    <row r="146" spans="1:35" s="12" customFormat="1" x14ac:dyDescent="0.25">
      <c r="A146" s="2"/>
      <c r="B146" s="2" t="s">
        <v>7</v>
      </c>
      <c r="C146" s="2">
        <v>20.123039245605401</v>
      </c>
      <c r="D146" s="2">
        <v>49.2135009765625</v>
      </c>
      <c r="E146" s="2">
        <v>784.14025878906205</v>
      </c>
      <c r="F146" s="2"/>
      <c r="G146" s="2">
        <v>4</v>
      </c>
      <c r="H146" s="2"/>
      <c r="I146" s="11"/>
      <c r="J146" s="11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1"/>
    </row>
    <row r="147" spans="1:35" s="12" customFormat="1" x14ac:dyDescent="0.25">
      <c r="A147" s="2"/>
      <c r="B147" s="2" t="s">
        <v>6</v>
      </c>
      <c r="C147" s="2">
        <v>19.551000595092699</v>
      </c>
      <c r="D147" s="2">
        <v>57.436798095703097</v>
      </c>
      <c r="E147" s="2">
        <v>1143.98400878906</v>
      </c>
      <c r="F147" s="2"/>
      <c r="G147" s="2">
        <v>5</v>
      </c>
      <c r="H147" s="2"/>
      <c r="I147" s="11"/>
      <c r="J147" s="1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1"/>
    </row>
    <row r="148" spans="1:35" s="12" customFormat="1" x14ac:dyDescent="0.25">
      <c r="A148" s="2"/>
      <c r="B148" s="2" t="s">
        <v>65</v>
      </c>
      <c r="C148" s="2">
        <v>23.088800430297798</v>
      </c>
      <c r="D148" s="2">
        <v>62.821498870849602</v>
      </c>
      <c r="E148" s="2">
        <v>1039.11877441406</v>
      </c>
      <c r="F148" s="2"/>
      <c r="G148" s="2">
        <v>5</v>
      </c>
      <c r="H148" s="2"/>
      <c r="I148" s="11"/>
      <c r="J148" s="1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1"/>
    </row>
    <row r="149" spans="1:35" s="12" customFormat="1" x14ac:dyDescent="0.25">
      <c r="A149" s="2"/>
      <c r="B149" s="2" t="s">
        <v>66</v>
      </c>
      <c r="C149" s="2">
        <v>20.479200363159102</v>
      </c>
      <c r="D149" s="2">
        <v>62.432476043701101</v>
      </c>
      <c r="E149" s="2">
        <v>993.85217285156205</v>
      </c>
      <c r="F149" s="2"/>
      <c r="G149" s="2">
        <v>4</v>
      </c>
      <c r="H149" s="2"/>
      <c r="I149" s="11"/>
      <c r="J149" s="11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1"/>
    </row>
    <row r="150" spans="1:35" s="12" customFormat="1" x14ac:dyDescent="0.25">
      <c r="A150" s="2"/>
      <c r="B150" s="2" t="s">
        <v>67</v>
      </c>
      <c r="C150" s="2">
        <v>25.136999130248999</v>
      </c>
      <c r="D150" s="2">
        <v>47.863998413085902</v>
      </c>
      <c r="E150" s="2">
        <v>791.255615234375</v>
      </c>
      <c r="F150" s="2"/>
      <c r="G150" s="2">
        <v>5</v>
      </c>
      <c r="H150" s="2"/>
      <c r="I150" s="11"/>
      <c r="J150" s="11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1"/>
    </row>
    <row r="151" spans="1:35" s="12" customFormat="1" x14ac:dyDescent="0.25">
      <c r="A151" s="2"/>
      <c r="B151" s="2" t="s">
        <v>123</v>
      </c>
      <c r="C151" s="2">
        <v>26.626600270000001</v>
      </c>
      <c r="D151" s="2">
        <v>61.026599879999999</v>
      </c>
      <c r="E151" s="2">
        <v>1000.986023</v>
      </c>
      <c r="F151" s="2"/>
      <c r="G151" s="2">
        <v>5</v>
      </c>
      <c r="H151" s="2"/>
      <c r="I151" s="11"/>
      <c r="J151" s="11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1"/>
    </row>
    <row r="152" spans="1:35" s="12" customFormat="1" x14ac:dyDescent="0.25">
      <c r="A152" s="2"/>
      <c r="B152" s="2" t="s">
        <v>69</v>
      </c>
      <c r="C152" s="2">
        <v>26.2541999816894</v>
      </c>
      <c r="D152" s="2">
        <v>61.445411682128899</v>
      </c>
      <c r="E152" s="2">
        <v>1004.79925537109</v>
      </c>
      <c r="F152" s="2"/>
      <c r="G152" s="2">
        <v>5</v>
      </c>
      <c r="H152" s="2"/>
      <c r="I152" s="11"/>
      <c r="J152" s="1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1"/>
    </row>
    <row r="153" spans="1:35" s="12" customFormat="1" x14ac:dyDescent="0.25">
      <c r="A153" s="2"/>
      <c r="B153" s="2" t="s">
        <v>70</v>
      </c>
      <c r="C153" s="2">
        <v>18.247600555419901</v>
      </c>
      <c r="D153" s="2">
        <v>51.154651641845703</v>
      </c>
      <c r="E153" s="2">
        <v>1048.65197753906</v>
      </c>
      <c r="F153" s="2"/>
      <c r="G153" s="2">
        <v>5</v>
      </c>
      <c r="H153" s="2"/>
      <c r="I153" s="11"/>
      <c r="J153" s="11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1"/>
    </row>
    <row r="154" spans="1:35" s="12" customFormat="1" x14ac:dyDescent="0.25">
      <c r="A154" s="2"/>
      <c r="B154" s="2" t="s">
        <v>121</v>
      </c>
      <c r="C154" s="2">
        <v>20.835359573364201</v>
      </c>
      <c r="D154" s="2">
        <v>66.9532470703125</v>
      </c>
      <c r="E154" s="2">
        <v>939.14471435546795</v>
      </c>
      <c r="F154" s="2"/>
      <c r="G154" s="2">
        <v>4</v>
      </c>
      <c r="H154" s="2"/>
      <c r="I154" s="11"/>
      <c r="J154" s="11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1"/>
    </row>
    <row r="155" spans="1:35" s="12" customFormat="1" x14ac:dyDescent="0.25">
      <c r="A155" s="2"/>
      <c r="B155" s="2" t="s">
        <v>122</v>
      </c>
      <c r="C155" s="2">
        <v>16.383359909057599</v>
      </c>
      <c r="D155" s="2">
        <v>52.646999359130803</v>
      </c>
      <c r="E155" s="2">
        <v>802.37609863281205</v>
      </c>
      <c r="F155" s="2"/>
      <c r="G155" s="2">
        <v>4</v>
      </c>
      <c r="H155" s="2"/>
      <c r="I155" s="11"/>
      <c r="J155" s="11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1"/>
    </row>
    <row r="156" spans="1:35" s="12" customFormat="1" x14ac:dyDescent="0.25">
      <c r="A156" s="52"/>
      <c r="B156" s="52" t="s">
        <v>183</v>
      </c>
      <c r="C156" s="52">
        <v>16.9176006317138</v>
      </c>
      <c r="D156" s="52">
        <v>62.947498321533203</v>
      </c>
      <c r="E156" s="52">
        <v>866.20147705078102</v>
      </c>
      <c r="F156" s="52"/>
      <c r="G156" s="52">
        <v>4</v>
      </c>
      <c r="H156" s="2"/>
      <c r="I156" s="11"/>
      <c r="J156" s="11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1"/>
    </row>
    <row r="157" spans="1:35" s="12" customFormat="1" x14ac:dyDescent="0.25">
      <c r="A157" s="52"/>
      <c r="B157" s="52"/>
      <c r="C157" s="52"/>
      <c r="D157" s="52"/>
      <c r="E157" s="52"/>
      <c r="F157" s="52"/>
      <c r="G157" s="52"/>
      <c r="H157" s="2"/>
      <c r="I157" s="11"/>
      <c r="J157" s="11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1"/>
    </row>
    <row r="158" spans="1:35" s="12" customFormat="1" x14ac:dyDescent="0.25">
      <c r="A158" s="52"/>
      <c r="B158" s="52"/>
      <c r="C158" s="52"/>
      <c r="D158" s="52"/>
      <c r="E158" s="52"/>
      <c r="F158" s="52"/>
      <c r="G158" s="52"/>
      <c r="H158" s="2"/>
      <c r="I158" s="11"/>
      <c r="J158" s="11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1"/>
    </row>
    <row r="159" spans="1:35" s="12" customFormat="1" x14ac:dyDescent="0.25">
      <c r="A159" s="52"/>
      <c r="B159" s="52"/>
      <c r="C159" s="52"/>
      <c r="D159" s="52"/>
      <c r="E159" s="52"/>
      <c r="F159" s="52"/>
      <c r="G159" s="52"/>
      <c r="H159" s="2"/>
      <c r="I159" s="11"/>
      <c r="J159" s="11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1"/>
    </row>
    <row r="160" spans="1:35" s="12" customFormat="1" ht="14.65" customHeight="1" x14ac:dyDescent="0.25">
      <c r="A160" s="2"/>
      <c r="B160" s="2">
        <v>10</v>
      </c>
      <c r="C160" s="2"/>
      <c r="D160" s="2"/>
      <c r="E160" s="2"/>
      <c r="F160" s="2">
        <v>20</v>
      </c>
      <c r="G160" s="2"/>
      <c r="H160" s="2"/>
      <c r="I160" s="11"/>
      <c r="J160" s="11">
        <v>30</v>
      </c>
      <c r="K160" s="2"/>
      <c r="L160" s="2"/>
      <c r="M160" s="2"/>
      <c r="N160" s="2">
        <v>40</v>
      </c>
      <c r="O160" s="2"/>
      <c r="P160" s="2"/>
      <c r="Q160" s="2"/>
      <c r="R160" s="2">
        <v>50</v>
      </c>
      <c r="S160" s="2"/>
      <c r="T160" s="2"/>
      <c r="U160" s="2"/>
      <c r="V160" s="2">
        <v>60</v>
      </c>
      <c r="W160" s="2"/>
      <c r="X160" s="2"/>
      <c r="Y160" s="2"/>
      <c r="Z160" s="2">
        <v>70</v>
      </c>
      <c r="AA160" s="2"/>
      <c r="AB160" s="2"/>
      <c r="AC160" s="2"/>
      <c r="AD160" s="2">
        <v>80</v>
      </c>
      <c r="AE160" s="2"/>
      <c r="AF160" s="2"/>
      <c r="AG160" s="2"/>
      <c r="AH160" s="2"/>
      <c r="AI160" s="1"/>
    </row>
    <row r="161" spans="1:35" s="12" customFormat="1" x14ac:dyDescent="0.25">
      <c r="A161" s="2"/>
      <c r="B161" s="2" t="s">
        <v>47</v>
      </c>
      <c r="C161" s="2" t="s">
        <v>46</v>
      </c>
      <c r="D161" s="2" t="s">
        <v>45</v>
      </c>
      <c r="E161" s="2" t="s">
        <v>44</v>
      </c>
      <c r="F161" s="2" t="s">
        <v>47</v>
      </c>
      <c r="G161" s="2" t="s">
        <v>46</v>
      </c>
      <c r="H161" s="2" t="s">
        <v>45</v>
      </c>
      <c r="I161" s="11" t="s">
        <v>44</v>
      </c>
      <c r="J161" s="11" t="s">
        <v>47</v>
      </c>
      <c r="K161" s="2" t="s">
        <v>46</v>
      </c>
      <c r="L161" s="2" t="s">
        <v>45</v>
      </c>
      <c r="M161" s="2" t="s">
        <v>44</v>
      </c>
      <c r="N161" s="2" t="s">
        <v>47</v>
      </c>
      <c r="O161" s="2" t="s">
        <v>46</v>
      </c>
      <c r="P161" s="2" t="s">
        <v>45</v>
      </c>
      <c r="Q161" s="2" t="s">
        <v>44</v>
      </c>
      <c r="R161" s="2" t="s">
        <v>47</v>
      </c>
      <c r="S161" s="2" t="s">
        <v>46</v>
      </c>
      <c r="T161" s="2" t="s">
        <v>45</v>
      </c>
      <c r="U161" s="2" t="s">
        <v>44</v>
      </c>
      <c r="V161" s="2" t="s">
        <v>47</v>
      </c>
      <c r="W161" s="2" t="s">
        <v>46</v>
      </c>
      <c r="X161" s="2" t="s">
        <v>45</v>
      </c>
      <c r="Y161" s="2" t="s">
        <v>44</v>
      </c>
      <c r="Z161" s="2" t="s">
        <v>47</v>
      </c>
      <c r="AA161" s="2" t="s">
        <v>46</v>
      </c>
      <c r="AB161" s="2" t="s">
        <v>45</v>
      </c>
      <c r="AC161" s="2" t="s">
        <v>44</v>
      </c>
      <c r="AD161" s="2" t="s">
        <v>47</v>
      </c>
      <c r="AE161" s="2" t="s">
        <v>46</v>
      </c>
      <c r="AF161" s="2" t="s">
        <v>45</v>
      </c>
      <c r="AG161" s="2" t="s">
        <v>44</v>
      </c>
      <c r="AH161" s="2"/>
      <c r="AI161" s="1"/>
    </row>
    <row r="162" spans="1:35" s="12" customFormat="1" x14ac:dyDescent="0.25">
      <c r="A162" s="2" t="s">
        <v>43</v>
      </c>
      <c r="B162" s="2">
        <v>0</v>
      </c>
      <c r="C162" s="2">
        <v>0</v>
      </c>
      <c r="D162" s="2">
        <v>0</v>
      </c>
      <c r="E162" s="2">
        <v>0</v>
      </c>
      <c r="F162" s="2">
        <v>16.761989589999999</v>
      </c>
      <c r="G162" s="2">
        <v>882.77655030000005</v>
      </c>
      <c r="H162" s="2">
        <v>58.481998439999998</v>
      </c>
      <c r="I162" s="11">
        <v>0</v>
      </c>
      <c r="J162" s="11">
        <v>16.761989589999999</v>
      </c>
      <c r="K162" s="2">
        <v>882.77655030000005</v>
      </c>
      <c r="L162" s="5">
        <v>58.481998439999998</v>
      </c>
      <c r="M162" s="5">
        <v>0</v>
      </c>
      <c r="N162" s="5">
        <v>28.67182541</v>
      </c>
      <c r="O162" s="5">
        <v>1510.012573</v>
      </c>
      <c r="P162" s="5">
        <v>100.0350037</v>
      </c>
      <c r="Q162" s="5">
        <v>7.1999996900000002E-2</v>
      </c>
      <c r="R162" s="5">
        <v>44.551605219999999</v>
      </c>
      <c r="S162" s="5">
        <v>2346.3271479999999</v>
      </c>
      <c r="T162" s="5">
        <v>155.43899540000001</v>
      </c>
      <c r="U162" s="5">
        <v>0.1439999938</v>
      </c>
      <c r="V162" s="5">
        <v>56.461441039999997</v>
      </c>
      <c r="W162" s="5">
        <v>2973.563232</v>
      </c>
      <c r="X162" s="5">
        <v>196.99200440000001</v>
      </c>
      <c r="Y162" s="5">
        <v>0.1439999938</v>
      </c>
      <c r="Z162" s="5">
        <v>68.371276859999995</v>
      </c>
      <c r="AA162" s="5">
        <v>3600.7990719999998</v>
      </c>
      <c r="AB162" s="5">
        <v>238.54499820000001</v>
      </c>
      <c r="AC162" s="5">
        <v>0.21600000559999999</v>
      </c>
      <c r="AD162" s="5">
        <v>80.281112669999999</v>
      </c>
      <c r="AE162" s="5">
        <v>4228.0351559999999</v>
      </c>
      <c r="AF162" s="5">
        <v>280.09799190000001</v>
      </c>
      <c r="AG162" s="5">
        <v>0.28799998760000001</v>
      </c>
      <c r="AH162" s="5" t="s">
        <v>5</v>
      </c>
      <c r="AI162" s="47"/>
    </row>
    <row r="163" spans="1:35" s="12" customFormat="1" x14ac:dyDescent="0.25">
      <c r="A163" s="2" t="s">
        <v>42</v>
      </c>
      <c r="B163" s="2">
        <v>0</v>
      </c>
      <c r="C163" s="2">
        <v>0</v>
      </c>
      <c r="D163" s="2">
        <v>0</v>
      </c>
      <c r="E163" s="2">
        <v>0</v>
      </c>
      <c r="F163" s="6">
        <v>13.968990325927701</v>
      </c>
      <c r="G163" s="6">
        <v>592.6044921875</v>
      </c>
      <c r="H163" s="6">
        <v>37.619998931884702</v>
      </c>
      <c r="I163" s="48">
        <v>0</v>
      </c>
      <c r="J163" s="48">
        <v>13.968990325927701</v>
      </c>
      <c r="K163" s="6">
        <v>592.6044921875</v>
      </c>
      <c r="L163" s="5">
        <v>37.619998931884702</v>
      </c>
      <c r="M163" s="5">
        <v>0</v>
      </c>
      <c r="N163" s="5">
        <v>23.894325256347599</v>
      </c>
      <c r="O163" s="5">
        <v>1013.66552734375</v>
      </c>
      <c r="P163" s="5">
        <v>64.349998474121094</v>
      </c>
      <c r="Q163" s="5">
        <v>5.9999998658895402E-2</v>
      </c>
      <c r="R163" s="5">
        <v>37.128105163574197</v>
      </c>
      <c r="S163" s="5">
        <v>1575.08032226562</v>
      </c>
      <c r="T163" s="5">
        <v>99.989997863769503</v>
      </c>
      <c r="U163" s="5">
        <v>0.11999999731779</v>
      </c>
      <c r="V163" s="5">
        <v>47.053440093994098</v>
      </c>
      <c r="W163" s="5">
        <v>1996.14135742187</v>
      </c>
      <c r="X163" s="5">
        <v>126.720001220703</v>
      </c>
      <c r="Y163" s="5">
        <v>0.11999999731779</v>
      </c>
      <c r="Z163" s="5">
        <v>56.978775024413999</v>
      </c>
      <c r="AA163" s="5">
        <v>2417.20239257812</v>
      </c>
      <c r="AB163" s="5">
        <v>153.44999694824199</v>
      </c>
      <c r="AC163" s="5">
        <v>0.18000000715255701</v>
      </c>
      <c r="AD163" s="5">
        <v>66.904113769531193</v>
      </c>
      <c r="AE163" s="5">
        <v>2838.26342773437</v>
      </c>
      <c r="AF163" s="5">
        <v>180.17999267578099</v>
      </c>
      <c r="AG163" s="5">
        <v>0.239999994635581</v>
      </c>
      <c r="AH163" s="5" t="s">
        <v>4</v>
      </c>
      <c r="AI163" s="47"/>
    </row>
    <row r="164" spans="1:35" s="12" customFormat="1" x14ac:dyDescent="0.25">
      <c r="A164" s="2" t="s">
        <v>41</v>
      </c>
      <c r="B164" s="2">
        <v>0</v>
      </c>
      <c r="C164" s="2">
        <v>0</v>
      </c>
      <c r="D164" s="2">
        <v>0</v>
      </c>
      <c r="E164" s="2">
        <v>0</v>
      </c>
      <c r="F164" s="6">
        <v>9.9778499603271396</v>
      </c>
      <c r="G164" s="6">
        <v>613.03912353515602</v>
      </c>
      <c r="H164" s="6">
        <v>41.895000457763601</v>
      </c>
      <c r="I164" s="48">
        <v>0</v>
      </c>
      <c r="J164" s="48">
        <v>9.9778499603271396</v>
      </c>
      <c r="K164" s="6">
        <v>613.03912353515602</v>
      </c>
      <c r="L164" s="5">
        <v>41.895000457763601</v>
      </c>
      <c r="M164" s="5">
        <v>0</v>
      </c>
      <c r="N164" s="5">
        <v>17.067375183105401</v>
      </c>
      <c r="O164" s="5">
        <v>1048.61950683593</v>
      </c>
      <c r="P164" s="5">
        <v>71.662498474121094</v>
      </c>
      <c r="Q164" s="5">
        <v>5.9999998658895402E-2</v>
      </c>
      <c r="R164" s="5">
        <v>26.520074844360298</v>
      </c>
      <c r="S164" s="5">
        <v>1629.39343261718</v>
      </c>
      <c r="T164" s="5">
        <v>111.352500915527</v>
      </c>
      <c r="U164" s="5">
        <v>0.11999999731779</v>
      </c>
      <c r="V164" s="5">
        <v>33.609600067138601</v>
      </c>
      <c r="W164" s="5">
        <v>2064.97387695312</v>
      </c>
      <c r="X164" s="5">
        <v>141.11999511718699</v>
      </c>
      <c r="Y164" s="5">
        <v>0.11999999731779</v>
      </c>
      <c r="Z164" s="5">
        <v>40.699123382568303</v>
      </c>
      <c r="AA164" s="5">
        <v>2500.55419921875</v>
      </c>
      <c r="AB164" s="5">
        <v>170.88749694824199</v>
      </c>
      <c r="AC164" s="5">
        <v>0.18000000715255701</v>
      </c>
      <c r="AD164" s="5">
        <v>47.788650512695298</v>
      </c>
      <c r="AE164" s="5">
        <v>2936.134765625</v>
      </c>
      <c r="AF164" s="5">
        <v>200.65499877929599</v>
      </c>
      <c r="AG164" s="5">
        <v>0.239999994635581</v>
      </c>
      <c r="AH164" s="5" t="s">
        <v>40</v>
      </c>
      <c r="AI164" s="47"/>
    </row>
    <row r="165" spans="1:35" s="12" customFormat="1" x14ac:dyDescent="0.25">
      <c r="A165" s="2" t="s">
        <v>39</v>
      </c>
      <c r="B165" s="2">
        <v>0</v>
      </c>
      <c r="C165" s="2">
        <v>0</v>
      </c>
      <c r="D165" s="2">
        <v>0</v>
      </c>
      <c r="E165" s="2">
        <v>0</v>
      </c>
      <c r="F165" s="6">
        <v>14.102027893066399</v>
      </c>
      <c r="G165" s="6">
        <v>817.385498046875</v>
      </c>
      <c r="H165" s="6">
        <v>40.612499237060497</v>
      </c>
      <c r="I165" s="48">
        <v>0</v>
      </c>
      <c r="J165" s="48">
        <v>14.102027893066399</v>
      </c>
      <c r="K165" s="6">
        <v>817.385498046875</v>
      </c>
      <c r="L165" s="5">
        <v>40.612499237060497</v>
      </c>
      <c r="M165" s="5">
        <v>0</v>
      </c>
      <c r="N165" s="5">
        <v>24.121889114379801</v>
      </c>
      <c r="O165" s="5">
        <v>1398.15930175781</v>
      </c>
      <c r="P165" s="5">
        <v>69.46875</v>
      </c>
      <c r="Q165" s="5">
        <v>5.9999998658895402E-2</v>
      </c>
      <c r="R165" s="5">
        <v>37.481704711913999</v>
      </c>
      <c r="S165" s="5">
        <v>2172.52465820312</v>
      </c>
      <c r="T165" s="5">
        <v>107.94374847412099</v>
      </c>
      <c r="U165" s="5">
        <v>0.11999999731779</v>
      </c>
      <c r="V165" s="5">
        <v>47.501567840576101</v>
      </c>
      <c r="W165" s="5">
        <v>2753.29833984375</v>
      </c>
      <c r="X165" s="5">
        <v>136.80000305175699</v>
      </c>
      <c r="Y165" s="5">
        <v>0.11999999731779</v>
      </c>
      <c r="Z165" s="5">
        <v>57.521430969238203</v>
      </c>
      <c r="AA165" s="5">
        <v>3334.072265625</v>
      </c>
      <c r="AB165" s="5">
        <v>165.65625</v>
      </c>
      <c r="AC165" s="5">
        <v>0.18000000715255701</v>
      </c>
      <c r="AD165" s="5">
        <v>67.541290283203097</v>
      </c>
      <c r="AE165" s="5">
        <v>3914.84619140625</v>
      </c>
      <c r="AF165" s="5">
        <v>194.51249694824199</v>
      </c>
      <c r="AG165" s="5">
        <v>0.239999994635581</v>
      </c>
      <c r="AH165" s="5" t="s">
        <v>5</v>
      </c>
      <c r="AI165" s="47"/>
    </row>
    <row r="166" spans="1:35" s="12" customFormat="1" x14ac:dyDescent="0.25">
      <c r="A166" s="2" t="s">
        <v>38</v>
      </c>
      <c r="B166" s="2">
        <v>0</v>
      </c>
      <c r="C166" s="2">
        <v>0</v>
      </c>
      <c r="D166" s="2">
        <v>0</v>
      </c>
      <c r="E166" s="2">
        <v>0</v>
      </c>
      <c r="F166" s="6">
        <v>11.973420143127401</v>
      </c>
      <c r="G166" s="6">
        <v>776.51617431640602</v>
      </c>
      <c r="H166" s="6">
        <v>48.307498931884702</v>
      </c>
      <c r="I166" s="48">
        <v>0</v>
      </c>
      <c r="J166" s="48">
        <v>11.973420143127401</v>
      </c>
      <c r="K166" s="6">
        <v>776.51617431640602</v>
      </c>
      <c r="L166" s="5">
        <v>48.307498931884702</v>
      </c>
      <c r="M166" s="5">
        <v>0</v>
      </c>
      <c r="N166" s="5">
        <v>20.480850219726499</v>
      </c>
      <c r="O166" s="5">
        <v>1328.25134277343</v>
      </c>
      <c r="P166" s="5">
        <v>82.631248474121094</v>
      </c>
      <c r="Q166" s="5">
        <v>6.6699996590614305E-2</v>
      </c>
      <c r="R166" s="5">
        <v>31.824089050292901</v>
      </c>
      <c r="S166" s="5">
        <v>2063.8984375</v>
      </c>
      <c r="T166" s="5">
        <v>128.39625549316401</v>
      </c>
      <c r="U166" s="5">
        <v>0.133300006389617</v>
      </c>
      <c r="V166" s="5">
        <v>40.331520080566399</v>
      </c>
      <c r="W166" s="5">
        <v>2615.63354492187</v>
      </c>
      <c r="X166" s="5">
        <v>162.72000122070301</v>
      </c>
      <c r="Y166" s="5">
        <v>0.133300006389617</v>
      </c>
      <c r="Z166" s="5">
        <v>48.838951110839801</v>
      </c>
      <c r="AA166" s="5">
        <v>3167.36865234375</v>
      </c>
      <c r="AB166" s="5">
        <v>197.04374694824199</v>
      </c>
      <c r="AC166" s="5">
        <v>0.20000000298023199</v>
      </c>
      <c r="AD166" s="5">
        <v>57.346378326416001</v>
      </c>
      <c r="AE166" s="5">
        <v>3719.10400390625</v>
      </c>
      <c r="AF166" s="5">
        <v>231.36749267578099</v>
      </c>
      <c r="AG166" s="5">
        <v>0.266699999570846</v>
      </c>
      <c r="AH166" s="5" t="s">
        <v>11</v>
      </c>
      <c r="AI166" s="47"/>
    </row>
    <row r="167" spans="1:35" s="12" customFormat="1" x14ac:dyDescent="0.25">
      <c r="A167" s="2" t="s">
        <v>37</v>
      </c>
      <c r="B167" s="2">
        <v>0</v>
      </c>
      <c r="C167" s="2">
        <v>0</v>
      </c>
      <c r="D167" s="2">
        <v>0</v>
      </c>
      <c r="E167" s="2">
        <v>0</v>
      </c>
      <c r="F167" s="6">
        <v>13.968990325927701</v>
      </c>
      <c r="G167" s="6">
        <v>687.96612548828102</v>
      </c>
      <c r="H167" s="6">
        <v>40.612499237060497</v>
      </c>
      <c r="I167" s="48">
        <v>0</v>
      </c>
      <c r="J167" s="48">
        <v>13.968990325927701</v>
      </c>
      <c r="K167" s="6">
        <v>687.96612548828102</v>
      </c>
      <c r="L167" s="5">
        <v>40.612499237060497</v>
      </c>
      <c r="M167" s="5">
        <v>0</v>
      </c>
      <c r="N167" s="5">
        <v>23.894325256347599</v>
      </c>
      <c r="O167" s="5">
        <v>1176.7841796875</v>
      </c>
      <c r="P167" s="5">
        <v>69.46875</v>
      </c>
      <c r="Q167" s="5">
        <v>5.9999998658895402E-2</v>
      </c>
      <c r="R167" s="5">
        <v>37.128105163574197</v>
      </c>
      <c r="S167" s="5">
        <v>1828.54150390625</v>
      </c>
      <c r="T167" s="5">
        <v>107.94374847412099</v>
      </c>
      <c r="U167" s="5">
        <v>0.11999999731779</v>
      </c>
      <c r="V167" s="5">
        <v>47.053440093994098</v>
      </c>
      <c r="W167" s="5">
        <v>2317.35961914062</v>
      </c>
      <c r="X167" s="5">
        <v>136.80000305175699</v>
      </c>
      <c r="Y167" s="5">
        <v>0.11999999731779</v>
      </c>
      <c r="Z167" s="5">
        <v>56.978775024413999</v>
      </c>
      <c r="AA167" s="5">
        <v>2806.17749023437</v>
      </c>
      <c r="AB167" s="5">
        <v>165.65625</v>
      </c>
      <c r="AC167" s="5">
        <v>0.18000000715255701</v>
      </c>
      <c r="AD167" s="5">
        <v>66.904113769531193</v>
      </c>
      <c r="AE167" s="5">
        <v>3294.99560546875</v>
      </c>
      <c r="AF167" s="5">
        <v>194.51249694824199</v>
      </c>
      <c r="AG167" s="5">
        <v>0.239999994635581</v>
      </c>
      <c r="AH167" s="5" t="s">
        <v>4</v>
      </c>
      <c r="AI167" s="47"/>
    </row>
    <row r="168" spans="1:35" s="12" customFormat="1" x14ac:dyDescent="0.25">
      <c r="A168" s="2" t="s">
        <v>36</v>
      </c>
      <c r="B168" s="2">
        <v>0</v>
      </c>
      <c r="C168" s="2">
        <v>0</v>
      </c>
      <c r="D168" s="2">
        <v>0</v>
      </c>
      <c r="E168" s="2">
        <v>0</v>
      </c>
      <c r="F168" s="6">
        <v>22.349319458007798</v>
      </c>
      <c r="G168" s="6">
        <v>866.42883300781205</v>
      </c>
      <c r="H168" s="6">
        <v>52.326000213622997</v>
      </c>
      <c r="I168" s="48">
        <v>0</v>
      </c>
      <c r="J168" s="48">
        <v>22.349319458007798</v>
      </c>
      <c r="K168" s="6">
        <v>866.42883300781205</v>
      </c>
      <c r="L168" s="5">
        <v>52.326000213622997</v>
      </c>
      <c r="M168" s="5">
        <v>0</v>
      </c>
      <c r="N168" s="5">
        <v>38.229099273681598</v>
      </c>
      <c r="O168" s="5">
        <v>1482.04931640625</v>
      </c>
      <c r="P168" s="5">
        <v>89.504997253417898</v>
      </c>
      <c r="Q168" s="5">
        <v>4.80000004172325E-2</v>
      </c>
      <c r="R168" s="5">
        <v>59.402141571044901</v>
      </c>
      <c r="S168" s="5">
        <v>2302.87670898437</v>
      </c>
      <c r="T168" s="5">
        <v>139.07699584960901</v>
      </c>
      <c r="U168" s="5">
        <v>9.6000000834464999E-2</v>
      </c>
      <c r="V168" s="5">
        <v>75.281921386718693</v>
      </c>
      <c r="W168" s="5">
        <v>2918.4970703125</v>
      </c>
      <c r="X168" s="5">
        <v>176.25599670410099</v>
      </c>
      <c r="Y168" s="5">
        <v>9.6000000834464999E-2</v>
      </c>
      <c r="Z168" s="5">
        <v>91.161697387695298</v>
      </c>
      <c r="AA168" s="5">
        <v>3534.11767578125</v>
      </c>
      <c r="AB168" s="5">
        <v>213.43499755859301</v>
      </c>
      <c r="AC168" s="5">
        <v>0.143999993801116</v>
      </c>
      <c r="AD168" s="5">
        <v>107.04148101806599</v>
      </c>
      <c r="AE168" s="5">
        <v>4149.73828125</v>
      </c>
      <c r="AF168" s="5">
        <v>250.613998413085</v>
      </c>
      <c r="AG168" s="5">
        <v>0.19200000166893</v>
      </c>
      <c r="AH168" s="5" t="s">
        <v>3</v>
      </c>
      <c r="AI168" s="47"/>
    </row>
    <row r="169" spans="1:35" s="12" customFormat="1" x14ac:dyDescent="0.25">
      <c r="A169" s="2" t="s">
        <v>35</v>
      </c>
      <c r="B169" s="2">
        <v>0</v>
      </c>
      <c r="C169" s="2">
        <v>0</v>
      </c>
      <c r="D169" s="2">
        <v>0</v>
      </c>
      <c r="E169" s="2">
        <v>0</v>
      </c>
      <c r="F169" s="6">
        <v>13.303799629211399</v>
      </c>
      <c r="G169" s="6">
        <v>599.416015625</v>
      </c>
      <c r="H169" s="6">
        <v>37.619998931884702</v>
      </c>
      <c r="I169" s="48">
        <v>0</v>
      </c>
      <c r="J169" s="48">
        <v>13.303799629211399</v>
      </c>
      <c r="K169" s="6">
        <v>599.416015625</v>
      </c>
      <c r="L169" s="5">
        <v>37.619998931884702</v>
      </c>
      <c r="M169" s="5">
        <v>0</v>
      </c>
      <c r="N169" s="5">
        <v>22.7565002441406</v>
      </c>
      <c r="O169" s="5">
        <v>1025.31689453125</v>
      </c>
      <c r="P169" s="5">
        <v>64.349998474121094</v>
      </c>
      <c r="Q169" s="5">
        <v>5.9999998658895402E-2</v>
      </c>
      <c r="R169" s="5">
        <v>35.360099792480398</v>
      </c>
      <c r="S169" s="5">
        <v>1593.18469238281</v>
      </c>
      <c r="T169" s="5">
        <v>99.989997863769503</v>
      </c>
      <c r="U169" s="5">
        <v>0.11999999731779</v>
      </c>
      <c r="V169" s="5">
        <v>44.812801361083899</v>
      </c>
      <c r="W169" s="5">
        <v>2019.08544921875</v>
      </c>
      <c r="X169" s="5">
        <v>126.720001220703</v>
      </c>
      <c r="Y169" s="5">
        <v>0.11999999731779</v>
      </c>
      <c r="Z169" s="5">
        <v>54.265499114990199</v>
      </c>
      <c r="AA169" s="5">
        <v>2444.986328125</v>
      </c>
      <c r="AB169" s="5">
        <v>153.44999694824199</v>
      </c>
      <c r="AC169" s="5">
        <v>0.18000000715255701</v>
      </c>
      <c r="AD169" s="5">
        <v>63.7182006835937</v>
      </c>
      <c r="AE169" s="5">
        <v>2870.88720703125</v>
      </c>
      <c r="AF169" s="5">
        <v>180.17999267578099</v>
      </c>
      <c r="AG169" s="5">
        <v>0.239999994635581</v>
      </c>
      <c r="AH169" s="5" t="s">
        <v>5</v>
      </c>
      <c r="AI169" s="47"/>
    </row>
    <row r="170" spans="1:35" s="12" customFormat="1" x14ac:dyDescent="0.25">
      <c r="A170" s="2" t="s">
        <v>34</v>
      </c>
      <c r="B170" s="2">
        <v>0</v>
      </c>
      <c r="C170" s="2">
        <v>0</v>
      </c>
      <c r="D170" s="2">
        <v>0</v>
      </c>
      <c r="E170" s="2">
        <v>0</v>
      </c>
      <c r="F170" s="6">
        <v>22.828233718871999</v>
      </c>
      <c r="G170" s="6">
        <v>882.77655029296795</v>
      </c>
      <c r="H170" s="6">
        <v>50.120098114013601</v>
      </c>
      <c r="I170" s="48">
        <v>0</v>
      </c>
      <c r="J170" s="48">
        <v>22.828233718871999</v>
      </c>
      <c r="K170" s="6">
        <v>882.77655029296795</v>
      </c>
      <c r="L170" s="5">
        <v>50.120098114013601</v>
      </c>
      <c r="M170" s="5">
        <v>0</v>
      </c>
      <c r="N170" s="5">
        <v>39.048294067382798</v>
      </c>
      <c r="O170" s="5">
        <v>1510.01257324218</v>
      </c>
      <c r="P170" s="5">
        <v>85.731750488281193</v>
      </c>
      <c r="Q170" s="5">
        <v>9.6000000834464999E-2</v>
      </c>
      <c r="R170" s="5">
        <v>60.675041198730398</v>
      </c>
      <c r="S170" s="5">
        <v>2346.3271484375</v>
      </c>
      <c r="T170" s="5">
        <v>133.213943481445</v>
      </c>
      <c r="U170" s="5">
        <v>0.19200000166893</v>
      </c>
      <c r="V170" s="5">
        <v>76.895103454589801</v>
      </c>
      <c r="W170" s="5">
        <v>2973.56323242187</v>
      </c>
      <c r="X170" s="5">
        <v>168.82560729980401</v>
      </c>
      <c r="Y170" s="5">
        <v>0.19200000166893</v>
      </c>
      <c r="Z170" s="5">
        <v>93.115165710449205</v>
      </c>
      <c r="AA170" s="5">
        <v>3600.79907226562</v>
      </c>
      <c r="AB170" s="5">
        <v>204.437255859375</v>
      </c>
      <c r="AC170" s="5">
        <v>0.287999987602233</v>
      </c>
      <c r="AD170" s="5">
        <v>109.335227966308</v>
      </c>
      <c r="AE170" s="5">
        <v>4228.03515625</v>
      </c>
      <c r="AF170" s="5">
        <v>240.048904418945</v>
      </c>
      <c r="AG170" s="5">
        <v>0.38400000333786</v>
      </c>
      <c r="AH170" s="5" t="s">
        <v>2</v>
      </c>
      <c r="AI170" s="47"/>
    </row>
    <row r="171" spans="1:35" s="12" customFormat="1" x14ac:dyDescent="0.25">
      <c r="A171" s="2" t="s">
        <v>33</v>
      </c>
      <c r="B171" s="2">
        <v>0</v>
      </c>
      <c r="C171" s="2">
        <v>0</v>
      </c>
      <c r="D171" s="2">
        <v>0</v>
      </c>
      <c r="E171" s="2">
        <v>0</v>
      </c>
      <c r="F171" s="6">
        <v>15.299369812011699</v>
      </c>
      <c r="G171" s="6">
        <v>575.57562255859295</v>
      </c>
      <c r="H171" s="6">
        <v>37.192501068115199</v>
      </c>
      <c r="I171" s="48">
        <v>0</v>
      </c>
      <c r="J171" s="48">
        <v>15.299369812011699</v>
      </c>
      <c r="K171" s="6">
        <v>575.57562255859295</v>
      </c>
      <c r="L171" s="5">
        <v>37.192501068115199</v>
      </c>
      <c r="M171" s="5">
        <v>0</v>
      </c>
      <c r="N171" s="5">
        <v>26.169975280761701</v>
      </c>
      <c r="O171" s="5">
        <v>984.53723144531205</v>
      </c>
      <c r="P171" s="5">
        <v>63.618751525878899</v>
      </c>
      <c r="Q171" s="5">
        <v>5.9999998658895402E-2</v>
      </c>
      <c r="R171" s="5">
        <v>40.664115905761697</v>
      </c>
      <c r="S171" s="5">
        <v>1529.8193359375</v>
      </c>
      <c r="T171" s="5">
        <v>98.853752136230398</v>
      </c>
      <c r="U171" s="5">
        <v>0.11999999731779</v>
      </c>
      <c r="V171" s="5">
        <v>51.534721374511697</v>
      </c>
      <c r="W171" s="5">
        <v>1938.78100585937</v>
      </c>
      <c r="X171" s="5">
        <v>125.27999877929599</v>
      </c>
      <c r="Y171" s="5">
        <v>0.11999999731779</v>
      </c>
      <c r="Z171" s="5">
        <v>62.405326843261697</v>
      </c>
      <c r="AA171" s="5">
        <v>2347.74267578125</v>
      </c>
      <c r="AB171" s="5">
        <v>151.70625305175699</v>
      </c>
      <c r="AC171" s="5">
        <v>0.18000000715255701</v>
      </c>
      <c r="AD171" s="5">
        <v>73.275932312011705</v>
      </c>
      <c r="AE171" s="5">
        <v>2756.7041015625</v>
      </c>
      <c r="AF171" s="5">
        <v>178.13250732421801</v>
      </c>
      <c r="AG171" s="5">
        <v>0.239999994635581</v>
      </c>
      <c r="AH171" s="5" t="s">
        <v>4</v>
      </c>
      <c r="AI171" s="47"/>
    </row>
    <row r="172" spans="1:35" s="12" customFormat="1" x14ac:dyDescent="0.25">
      <c r="A172" s="2" t="s">
        <v>32</v>
      </c>
      <c r="B172" s="2">
        <v>0</v>
      </c>
      <c r="C172" s="2">
        <v>0</v>
      </c>
      <c r="D172" s="2">
        <v>0</v>
      </c>
      <c r="E172" s="2">
        <v>0</v>
      </c>
      <c r="F172" s="6">
        <v>22.349319458007798</v>
      </c>
      <c r="G172" s="6">
        <v>653.90856933593705</v>
      </c>
      <c r="H172" s="6">
        <v>42.066001892089801</v>
      </c>
      <c r="I172" s="48">
        <v>0</v>
      </c>
      <c r="J172" s="48">
        <v>22.349319458007798</v>
      </c>
      <c r="K172" s="6">
        <v>653.90856933593705</v>
      </c>
      <c r="L172" s="5">
        <v>42.066001892089801</v>
      </c>
      <c r="M172" s="5">
        <v>0</v>
      </c>
      <c r="N172" s="5">
        <v>38.229099273681598</v>
      </c>
      <c r="O172" s="5">
        <v>1118.52783203125</v>
      </c>
      <c r="P172" s="5">
        <v>71.955001831054602</v>
      </c>
      <c r="Q172" s="5">
        <v>9.6000000834464999E-2</v>
      </c>
      <c r="R172" s="5">
        <v>59.402141571044901</v>
      </c>
      <c r="S172" s="5">
        <v>1738.02014160156</v>
      </c>
      <c r="T172" s="5">
        <v>111.806999206542</v>
      </c>
      <c r="U172" s="5">
        <v>0.19200000166893</v>
      </c>
      <c r="V172" s="5">
        <v>75.281921386718693</v>
      </c>
      <c r="W172" s="5">
        <v>2202.63940429687</v>
      </c>
      <c r="X172" s="5">
        <v>141.69599914550699</v>
      </c>
      <c r="Y172" s="5">
        <v>0.19200000166893</v>
      </c>
      <c r="Z172" s="5">
        <v>91.161697387695298</v>
      </c>
      <c r="AA172" s="5">
        <v>2667.25854492187</v>
      </c>
      <c r="AB172" s="5">
        <v>171.58500671386699</v>
      </c>
      <c r="AC172" s="5">
        <v>0.287999987602233</v>
      </c>
      <c r="AD172" s="5">
        <v>107.04148101806599</v>
      </c>
      <c r="AE172" s="5">
        <v>3131.8779296875</v>
      </c>
      <c r="AF172" s="5">
        <v>201.47399902343699</v>
      </c>
      <c r="AG172" s="5">
        <v>0.38400000333786</v>
      </c>
      <c r="AH172" s="5" t="s">
        <v>2</v>
      </c>
      <c r="AI172" s="47"/>
    </row>
    <row r="173" spans="1:35" s="12" customFormat="1" x14ac:dyDescent="0.25">
      <c r="A173" s="2" t="s">
        <v>31</v>
      </c>
      <c r="B173" s="2">
        <v>0</v>
      </c>
      <c r="C173" s="2">
        <v>0</v>
      </c>
      <c r="D173" s="2">
        <v>0</v>
      </c>
      <c r="E173" s="2">
        <v>0</v>
      </c>
      <c r="F173" s="6">
        <v>7.1038908958434996</v>
      </c>
      <c r="G173" s="6">
        <v>1038.07983398437</v>
      </c>
      <c r="H173" s="6">
        <v>58.481998443603501</v>
      </c>
      <c r="I173" s="48">
        <v>0</v>
      </c>
      <c r="J173" s="48">
        <v>7.1038908958434996</v>
      </c>
      <c r="K173" s="6">
        <v>1038.07983398437</v>
      </c>
      <c r="L173" s="5">
        <v>58.481998443603501</v>
      </c>
      <c r="M173" s="5">
        <v>0</v>
      </c>
      <c r="N173" s="5">
        <v>12.1513929367065</v>
      </c>
      <c r="O173" s="5">
        <v>1775.66284179687</v>
      </c>
      <c r="P173" s="5">
        <v>100.03500366210901</v>
      </c>
      <c r="Q173" s="5">
        <v>9.6000000834464999E-2</v>
      </c>
      <c r="R173" s="5">
        <v>18.881393432617099</v>
      </c>
      <c r="S173" s="5">
        <v>2759.10693359375</v>
      </c>
      <c r="T173" s="5">
        <v>155.43899536132801</v>
      </c>
      <c r="U173" s="5">
        <v>0.19200000166893</v>
      </c>
      <c r="V173" s="5">
        <v>23.928895950317301</v>
      </c>
      <c r="W173" s="5">
        <v>3496.68994140625</v>
      </c>
      <c r="X173" s="5">
        <v>196.99200439453099</v>
      </c>
      <c r="Y173" s="5">
        <v>0.19200000166893</v>
      </c>
      <c r="Z173" s="5">
        <v>28.9763984680175</v>
      </c>
      <c r="AA173" s="5">
        <v>4234.27294921875</v>
      </c>
      <c r="AB173" s="5">
        <v>238.544998168945</v>
      </c>
      <c r="AC173" s="5">
        <v>0.287999987602233</v>
      </c>
      <c r="AD173" s="5">
        <v>34.023899078369098</v>
      </c>
      <c r="AE173" s="5">
        <v>4971.85595703125</v>
      </c>
      <c r="AF173" s="5">
        <v>280.09799194335898</v>
      </c>
      <c r="AG173" s="5">
        <v>0.38400000333786</v>
      </c>
      <c r="AH173" s="5" t="s">
        <v>2</v>
      </c>
      <c r="AI173" s="47"/>
    </row>
    <row r="174" spans="1:35" s="12" customFormat="1" x14ac:dyDescent="0.25">
      <c r="A174" s="2" t="s">
        <v>30</v>
      </c>
      <c r="B174" s="2">
        <v>0</v>
      </c>
      <c r="C174" s="2">
        <v>0</v>
      </c>
      <c r="D174" s="2">
        <v>0</v>
      </c>
      <c r="E174" s="2">
        <v>0</v>
      </c>
      <c r="F174" s="6">
        <v>15.9638004302978</v>
      </c>
      <c r="G174" s="6">
        <v>980.86285400390602</v>
      </c>
      <c r="H174" s="6">
        <v>51.299999237060497</v>
      </c>
      <c r="I174" s="48">
        <v>0</v>
      </c>
      <c r="J174" s="48">
        <v>15.9638004302978</v>
      </c>
      <c r="K174" s="6">
        <v>980.86285400390602</v>
      </c>
      <c r="L174" s="5">
        <v>51.299999237060497</v>
      </c>
      <c r="M174" s="5">
        <v>0</v>
      </c>
      <c r="N174" s="5">
        <v>27.306499481201101</v>
      </c>
      <c r="O174" s="5">
        <v>1677.79174804687</v>
      </c>
      <c r="P174" s="5">
        <v>87.75</v>
      </c>
      <c r="Q174" s="5">
        <v>5.5399999022483798E-2</v>
      </c>
      <c r="R174" s="5">
        <v>42.430099487304602</v>
      </c>
      <c r="S174" s="5">
        <v>2607.0302734375</v>
      </c>
      <c r="T174" s="5">
        <v>136.350006103515</v>
      </c>
      <c r="U174" s="5">
        <v>0.110799998044967</v>
      </c>
      <c r="V174" s="5">
        <v>53.772800445556598</v>
      </c>
      <c r="W174" s="5">
        <v>3303.958984375</v>
      </c>
      <c r="X174" s="5">
        <v>172.80000305175699</v>
      </c>
      <c r="Y174" s="5">
        <v>0.110799998044967</v>
      </c>
      <c r="Z174" s="5">
        <v>65.115501403808594</v>
      </c>
      <c r="AA174" s="5">
        <v>4000.88793945312</v>
      </c>
      <c r="AB174" s="5">
        <v>209.25</v>
      </c>
      <c r="AC174" s="5">
        <v>0.16619999706745101</v>
      </c>
      <c r="AD174" s="5">
        <v>76.458198547363196</v>
      </c>
      <c r="AE174" s="5">
        <v>4697.81689453125</v>
      </c>
      <c r="AF174" s="5">
        <v>245.69999694824199</v>
      </c>
      <c r="AG174" s="5">
        <v>0.221499994397163</v>
      </c>
      <c r="AH174" s="5" t="s">
        <v>20</v>
      </c>
      <c r="AI174" s="47"/>
    </row>
    <row r="175" spans="1:35" s="12" customFormat="1" x14ac:dyDescent="0.25">
      <c r="A175" s="2" t="s">
        <v>29</v>
      </c>
      <c r="B175" s="2">
        <v>0</v>
      </c>
      <c r="C175" s="2">
        <v>0</v>
      </c>
      <c r="D175" s="2">
        <v>0</v>
      </c>
      <c r="E175" s="2">
        <v>0</v>
      </c>
      <c r="F175" s="6">
        <v>13.968990325927701</v>
      </c>
      <c r="G175" s="6">
        <v>728.83538818359295</v>
      </c>
      <c r="H175" s="6">
        <v>49.590000152587798</v>
      </c>
      <c r="I175" s="48">
        <v>0</v>
      </c>
      <c r="J175" s="48">
        <v>13.968990325927701</v>
      </c>
      <c r="K175" s="6">
        <v>728.83538818359295</v>
      </c>
      <c r="L175" s="5">
        <v>49.590000152587798</v>
      </c>
      <c r="M175" s="5">
        <v>0</v>
      </c>
      <c r="N175" s="5">
        <v>23.894325256347599</v>
      </c>
      <c r="O175" s="5">
        <v>1246.69213867187</v>
      </c>
      <c r="P175" s="5">
        <v>84.824996948242102</v>
      </c>
      <c r="Q175" s="5">
        <v>6.6699996590614305E-2</v>
      </c>
      <c r="R175" s="5">
        <v>37.128105163574197</v>
      </c>
      <c r="S175" s="5">
        <v>1937.16772460937</v>
      </c>
      <c r="T175" s="5">
        <v>131.80499267578099</v>
      </c>
      <c r="U175" s="5">
        <v>0.133300006389617</v>
      </c>
      <c r="V175" s="5">
        <v>47.053440093994098</v>
      </c>
      <c r="W175" s="5">
        <v>2455.0244140625</v>
      </c>
      <c r="X175" s="5">
        <v>167.03999328613199</v>
      </c>
      <c r="Y175" s="5">
        <v>0.133300006389617</v>
      </c>
      <c r="Z175" s="5">
        <v>56.978775024413999</v>
      </c>
      <c r="AA175" s="5">
        <v>2972.88110351562</v>
      </c>
      <c r="AB175" s="5">
        <v>202.27499389648401</v>
      </c>
      <c r="AC175" s="5">
        <v>0.20000000298023199</v>
      </c>
      <c r="AD175" s="5">
        <v>66.904113769531193</v>
      </c>
      <c r="AE175" s="5">
        <v>3490.73779296875</v>
      </c>
      <c r="AF175" s="5">
        <v>237.509994506835</v>
      </c>
      <c r="AG175" s="5">
        <v>0.266699999570846</v>
      </c>
      <c r="AH175" s="5" t="s">
        <v>11</v>
      </c>
      <c r="AI175" s="47"/>
    </row>
    <row r="176" spans="1:35" s="12" customFormat="1" x14ac:dyDescent="0.25">
      <c r="A176" s="2" t="s">
        <v>28</v>
      </c>
      <c r="B176" s="2">
        <v>0</v>
      </c>
      <c r="C176" s="2">
        <v>0</v>
      </c>
      <c r="D176" s="2">
        <v>0</v>
      </c>
      <c r="E176" s="2">
        <v>0</v>
      </c>
      <c r="F176" s="6">
        <v>21.551130294799801</v>
      </c>
      <c r="G176" s="6">
        <v>874.60272216796795</v>
      </c>
      <c r="H176" s="6">
        <v>53.352001190185497</v>
      </c>
      <c r="I176" s="48">
        <v>0</v>
      </c>
      <c r="J176" s="48">
        <v>21.551130294799801</v>
      </c>
      <c r="K176" s="6">
        <v>874.60272216796795</v>
      </c>
      <c r="L176" s="5">
        <v>53.352001190185497</v>
      </c>
      <c r="M176" s="5">
        <v>0</v>
      </c>
      <c r="N176" s="5">
        <v>36.863773345947202</v>
      </c>
      <c r="O176" s="5">
        <v>1496.03088378906</v>
      </c>
      <c r="P176" s="5">
        <v>91.260002136230398</v>
      </c>
      <c r="Q176" s="5">
        <v>9.6000000834464999E-2</v>
      </c>
      <c r="R176" s="5">
        <v>57.280635833740199</v>
      </c>
      <c r="S176" s="5">
        <v>2324.60180664062</v>
      </c>
      <c r="T176" s="5">
        <v>141.80400085449199</v>
      </c>
      <c r="U176" s="5">
        <v>0.19200000166893</v>
      </c>
      <c r="V176" s="5">
        <v>72.593276977539006</v>
      </c>
      <c r="W176" s="5">
        <v>2946.03002929687</v>
      </c>
      <c r="X176" s="5">
        <v>179.71200561523401</v>
      </c>
      <c r="Y176" s="5">
        <v>0.19200000166893</v>
      </c>
      <c r="Z176" s="5">
        <v>87.905921936035099</v>
      </c>
      <c r="AA176" s="5">
        <v>3567.45849609375</v>
      </c>
      <c r="AB176" s="5">
        <v>217.61999511718699</v>
      </c>
      <c r="AC176" s="5">
        <v>0.287999987602233</v>
      </c>
      <c r="AD176" s="5">
        <v>103.21856689453099</v>
      </c>
      <c r="AE176" s="5">
        <v>4188.88671875</v>
      </c>
      <c r="AF176" s="5">
        <v>255.52799987792901</v>
      </c>
      <c r="AG176" s="5">
        <v>0.38400000333786</v>
      </c>
      <c r="AH176" s="5" t="s">
        <v>2</v>
      </c>
      <c r="AI176" s="47"/>
    </row>
    <row r="177" spans="1:35" s="12" customFormat="1" x14ac:dyDescent="0.25">
      <c r="A177" s="2" t="s">
        <v>27</v>
      </c>
      <c r="B177" s="2">
        <v>0</v>
      </c>
      <c r="C177" s="2">
        <v>0</v>
      </c>
      <c r="D177" s="2">
        <v>0</v>
      </c>
      <c r="E177" s="2">
        <v>0</v>
      </c>
      <c r="F177" s="6">
        <v>20.7529392242431</v>
      </c>
      <c r="G177" s="6">
        <v>686.60400390625</v>
      </c>
      <c r="H177" s="6">
        <v>41.040000915527301</v>
      </c>
      <c r="I177" s="48">
        <v>0</v>
      </c>
      <c r="J177" s="48">
        <v>20.7529392242431</v>
      </c>
      <c r="K177" s="6">
        <v>686.60400390625</v>
      </c>
      <c r="L177" s="5">
        <v>41.040000915527301</v>
      </c>
      <c r="M177" s="5">
        <v>0</v>
      </c>
      <c r="N177" s="5">
        <v>35.498451232910099</v>
      </c>
      <c r="O177" s="5">
        <v>1174.45422363281</v>
      </c>
      <c r="P177" s="5">
        <v>70.199996948242102</v>
      </c>
      <c r="Q177" s="5">
        <v>7.1999996900558402E-2</v>
      </c>
      <c r="R177" s="5">
        <v>55.159130096435497</v>
      </c>
      <c r="S177" s="5">
        <v>1824.92114257812</v>
      </c>
      <c r="T177" s="5">
        <v>109.08000183105401</v>
      </c>
      <c r="U177" s="5">
        <v>0.143999993801116</v>
      </c>
      <c r="V177" s="5">
        <v>69.904640197753906</v>
      </c>
      <c r="W177" s="5">
        <v>2312.77124023437</v>
      </c>
      <c r="X177" s="5">
        <v>138.24000549316401</v>
      </c>
      <c r="Y177" s="5">
        <v>0.143999993801116</v>
      </c>
      <c r="Z177" s="5">
        <v>84.650146484375</v>
      </c>
      <c r="AA177" s="5">
        <v>2800.62158203125</v>
      </c>
      <c r="AB177" s="5">
        <v>167.39999389648401</v>
      </c>
      <c r="AC177" s="5">
        <v>0.216000005602836</v>
      </c>
      <c r="AD177" s="5">
        <v>99.395660400390597</v>
      </c>
      <c r="AE177" s="5">
        <v>3288.4716796875</v>
      </c>
      <c r="AF177" s="5">
        <v>196.55999755859301</v>
      </c>
      <c r="AG177" s="5">
        <v>0.287999987602233</v>
      </c>
      <c r="AH177" s="5" t="s">
        <v>5</v>
      </c>
      <c r="AI177" s="47"/>
    </row>
    <row r="178" spans="1:35" s="12" customFormat="1" x14ac:dyDescent="0.25">
      <c r="A178" s="2" t="s">
        <v>26</v>
      </c>
      <c r="B178" s="2">
        <v>0</v>
      </c>
      <c r="C178" s="2">
        <v>0</v>
      </c>
      <c r="D178" s="2">
        <v>0</v>
      </c>
      <c r="E178" s="2">
        <v>0</v>
      </c>
      <c r="F178" s="6">
        <v>14.501141548156699</v>
      </c>
      <c r="G178" s="6">
        <v>599.416015625</v>
      </c>
      <c r="H178" s="6">
        <v>35.909999847412102</v>
      </c>
      <c r="I178" s="48">
        <v>0</v>
      </c>
      <c r="J178" s="48">
        <v>14.501141548156699</v>
      </c>
      <c r="K178" s="6">
        <v>599.416015625</v>
      </c>
      <c r="L178" s="5">
        <v>35.909999847412102</v>
      </c>
      <c r="M178" s="5">
        <v>0</v>
      </c>
      <c r="N178" s="5">
        <v>24.8045845031738</v>
      </c>
      <c r="O178" s="5">
        <v>1025.31689453125</v>
      </c>
      <c r="P178" s="5">
        <v>61.424999237060497</v>
      </c>
      <c r="Q178" s="5">
        <v>24</v>
      </c>
      <c r="R178" s="5">
        <v>38.542507171630803</v>
      </c>
      <c r="S178" s="5">
        <v>1593.18469238281</v>
      </c>
      <c r="T178" s="5">
        <v>95.444999694824205</v>
      </c>
      <c r="U178" s="5">
        <v>48</v>
      </c>
      <c r="V178" s="5">
        <v>48.845951080322202</v>
      </c>
      <c r="W178" s="5">
        <v>2019.08557128906</v>
      </c>
      <c r="X178" s="5">
        <v>120.959999084472</v>
      </c>
      <c r="Y178" s="5">
        <v>48</v>
      </c>
      <c r="Z178" s="5">
        <v>59.149394989013601</v>
      </c>
      <c r="AA178" s="5">
        <v>2444.986328125</v>
      </c>
      <c r="AB178" s="5">
        <v>146.475006103515</v>
      </c>
      <c r="AC178" s="5">
        <v>72</v>
      </c>
      <c r="AD178" s="5">
        <v>69.452835083007798</v>
      </c>
      <c r="AE178" s="5">
        <v>2870.88720703125</v>
      </c>
      <c r="AF178" s="5">
        <v>171.99000549316401</v>
      </c>
      <c r="AG178" s="5">
        <v>96</v>
      </c>
      <c r="AH178" s="5" t="s">
        <v>1</v>
      </c>
      <c r="AI178" s="47"/>
    </row>
    <row r="179" spans="1:35" s="12" customFormat="1" x14ac:dyDescent="0.25">
      <c r="A179" s="2" t="s">
        <v>25</v>
      </c>
      <c r="B179" s="2">
        <v>0</v>
      </c>
      <c r="C179" s="2">
        <v>0</v>
      </c>
      <c r="D179" s="2">
        <v>0</v>
      </c>
      <c r="E179" s="2">
        <v>0</v>
      </c>
      <c r="F179" s="2">
        <v>19.156560897827099</v>
      </c>
      <c r="G179" s="2">
        <v>694.77783203125</v>
      </c>
      <c r="H179" s="2">
        <v>43.6049995422363</v>
      </c>
      <c r="I179" s="11">
        <v>0</v>
      </c>
      <c r="J179" s="11">
        <v>19.156560897827099</v>
      </c>
      <c r="K179" s="2">
        <v>694.77783203125</v>
      </c>
      <c r="L179" s="2">
        <v>43.6049995422363</v>
      </c>
      <c r="M179" s="2">
        <v>0</v>
      </c>
      <c r="N179" s="2">
        <v>32.767799377441399</v>
      </c>
      <c r="O179" s="2">
        <v>1188.43579101562</v>
      </c>
      <c r="P179" s="2">
        <v>74.587501525878906</v>
      </c>
      <c r="Q179" s="2">
        <v>7.9999998211860601E-2</v>
      </c>
      <c r="R179" s="2">
        <v>50.916118621826101</v>
      </c>
      <c r="S179" s="2">
        <v>1846.64636230468</v>
      </c>
      <c r="T179" s="2">
        <v>115.897499084472</v>
      </c>
      <c r="U179" s="2">
        <v>0.15999999642372101</v>
      </c>
      <c r="V179" s="2">
        <v>64.527359008789006</v>
      </c>
      <c r="W179" s="2">
        <v>2340.30419921875</v>
      </c>
      <c r="X179" s="2">
        <v>146.88000488281199</v>
      </c>
      <c r="Y179" s="2">
        <v>0.15999999642372101</v>
      </c>
      <c r="Z179" s="2">
        <v>78.138603210449205</v>
      </c>
      <c r="AA179" s="2">
        <v>2833.96215820312</v>
      </c>
      <c r="AB179" s="2">
        <v>177.86250305175699</v>
      </c>
      <c r="AC179" s="2">
        <v>0.239999994635581</v>
      </c>
      <c r="AD179" s="2">
        <v>91.749839782714801</v>
      </c>
      <c r="AE179" s="2">
        <v>3327.6201171875</v>
      </c>
      <c r="AF179" s="2">
        <v>208.84500122070301</v>
      </c>
      <c r="AG179" s="4">
        <v>0.31999999284744202</v>
      </c>
      <c r="AH179" s="2" t="s">
        <v>11</v>
      </c>
      <c r="AI179" s="1"/>
    </row>
    <row r="180" spans="1:35" s="12" customFormat="1" x14ac:dyDescent="0.25">
      <c r="A180" s="2" t="s">
        <v>24</v>
      </c>
      <c r="B180" s="2">
        <v>0</v>
      </c>
      <c r="C180" s="2">
        <v>0</v>
      </c>
      <c r="D180" s="2">
        <v>0</v>
      </c>
      <c r="E180" s="2">
        <v>0</v>
      </c>
      <c r="F180" s="2">
        <v>13.303799629211399</v>
      </c>
      <c r="G180" s="2">
        <v>613.03912353515602</v>
      </c>
      <c r="H180" s="2">
        <v>35.909999847412102</v>
      </c>
      <c r="I180" s="11">
        <v>0</v>
      </c>
      <c r="J180" s="11">
        <v>13.303799629211399</v>
      </c>
      <c r="K180" s="2">
        <v>613.03912353515602</v>
      </c>
      <c r="L180" s="2">
        <v>35.909999847412102</v>
      </c>
      <c r="M180" s="2">
        <v>0</v>
      </c>
      <c r="N180" s="2">
        <v>22.7565002441406</v>
      </c>
      <c r="O180" s="2">
        <v>1048.61950683593</v>
      </c>
      <c r="P180" s="2">
        <v>61.424999237060497</v>
      </c>
      <c r="Q180" s="2">
        <v>5.9999998658895402E-2</v>
      </c>
      <c r="R180" s="2">
        <v>35.360099792480398</v>
      </c>
      <c r="S180" s="2">
        <v>1629.39343261718</v>
      </c>
      <c r="T180" s="2">
        <v>95.444999694824205</v>
      </c>
      <c r="U180" s="2">
        <v>0.11999999731779</v>
      </c>
      <c r="V180" s="2">
        <v>44.812801361083899</v>
      </c>
      <c r="W180" s="2">
        <v>2064.97387695312</v>
      </c>
      <c r="X180" s="2">
        <v>120.959999084472</v>
      </c>
      <c r="Y180" s="2">
        <v>0.11999999731779</v>
      </c>
      <c r="Z180" s="2">
        <v>54.265499114990199</v>
      </c>
      <c r="AA180" s="2">
        <v>2500.55419921875</v>
      </c>
      <c r="AB180" s="2">
        <v>146.475006103515</v>
      </c>
      <c r="AC180" s="2">
        <v>0.18000000715255701</v>
      </c>
      <c r="AD180" s="2">
        <v>63.7182006835937</v>
      </c>
      <c r="AE180" s="2">
        <v>2936.134765625</v>
      </c>
      <c r="AF180" s="2">
        <v>171.99000549316401</v>
      </c>
      <c r="AG180" s="2">
        <v>0.239999994635581</v>
      </c>
      <c r="AH180" s="2" t="s">
        <v>5</v>
      </c>
      <c r="AI180" s="1"/>
    </row>
    <row r="181" spans="1:35" s="12" customFormat="1" x14ac:dyDescent="0.25">
      <c r="A181" s="2" t="s">
        <v>23</v>
      </c>
      <c r="B181" s="2">
        <v>0</v>
      </c>
      <c r="C181" s="2">
        <v>0</v>
      </c>
      <c r="D181" s="2">
        <v>0</v>
      </c>
      <c r="E181" s="2">
        <v>0</v>
      </c>
      <c r="F181" s="2">
        <v>11.973420143127401</v>
      </c>
      <c r="G181" s="2">
        <v>756.08154296875</v>
      </c>
      <c r="H181" s="2">
        <v>50.017501831054602</v>
      </c>
      <c r="I181" s="11">
        <v>0</v>
      </c>
      <c r="J181" s="11">
        <v>11.973420143127401</v>
      </c>
      <c r="K181" s="2">
        <v>756.08154296875</v>
      </c>
      <c r="L181" s="2">
        <v>50.017501831054602</v>
      </c>
      <c r="M181" s="2">
        <v>0</v>
      </c>
      <c r="N181" s="2">
        <v>20.480850219726499</v>
      </c>
      <c r="O181" s="2">
        <v>11.973420143127401</v>
      </c>
      <c r="P181" s="2">
        <v>85.556251525878906</v>
      </c>
      <c r="Q181" s="2">
        <v>7.5000002980232197E-2</v>
      </c>
      <c r="R181" s="2">
        <v>31.824089050292901</v>
      </c>
      <c r="S181" s="2">
        <v>2009.58520507812</v>
      </c>
      <c r="T181" s="2">
        <v>132.94125366210901</v>
      </c>
      <c r="U181" s="2">
        <v>0.15000000596046401</v>
      </c>
      <c r="V181" s="2">
        <v>40.331520080566399</v>
      </c>
      <c r="W181" s="2">
        <v>2546.80102539062</v>
      </c>
      <c r="X181" s="2">
        <v>168.47999572753901</v>
      </c>
      <c r="Y181" s="2">
        <v>0.15000000596046401</v>
      </c>
      <c r="Z181" s="2">
        <v>48.838951110839801</v>
      </c>
      <c r="AA181" s="2">
        <v>3084.01684570312</v>
      </c>
      <c r="AB181" s="2">
        <v>204.01875305175699</v>
      </c>
      <c r="AC181" s="2">
        <v>0.224999994039535</v>
      </c>
      <c r="AD181" s="2">
        <v>57.346378326416001</v>
      </c>
      <c r="AE181" s="2">
        <v>3621.23266601562</v>
      </c>
      <c r="AF181" s="2">
        <v>239.55749511718699</v>
      </c>
      <c r="AG181" s="2">
        <v>0.30000001192092801</v>
      </c>
      <c r="AH181" s="2" t="s">
        <v>22</v>
      </c>
      <c r="AI181" s="1"/>
    </row>
    <row r="182" spans="1:35" s="12" customFormat="1" x14ac:dyDescent="0.25">
      <c r="A182" s="2" t="s">
        <v>21</v>
      </c>
      <c r="B182" s="2">
        <v>0</v>
      </c>
      <c r="C182" s="2">
        <v>0</v>
      </c>
      <c r="D182" s="2">
        <v>0</v>
      </c>
      <c r="E182" s="2">
        <v>0</v>
      </c>
      <c r="F182" s="2">
        <v>19.156560897827099</v>
      </c>
      <c r="G182" s="2">
        <v>825.5595703125</v>
      </c>
      <c r="H182" s="2">
        <v>61.560001373291001</v>
      </c>
      <c r="I182" s="11">
        <v>0</v>
      </c>
      <c r="J182" s="11">
        <v>19.156560897827099</v>
      </c>
      <c r="K182" s="2">
        <v>825.5595703125</v>
      </c>
      <c r="L182" s="2">
        <v>61.560001373291001</v>
      </c>
      <c r="M182" s="2">
        <v>0</v>
      </c>
      <c r="N182" s="2">
        <v>32.767799377441399</v>
      </c>
      <c r="O182" s="2">
        <v>1412.14135742187</v>
      </c>
      <c r="P182" s="2">
        <v>105.300003051757</v>
      </c>
      <c r="Q182" s="2">
        <v>5.5399999022483798E-2</v>
      </c>
      <c r="R182" s="2">
        <v>50.916118621826101</v>
      </c>
      <c r="S182" s="2">
        <v>2194.25048828125</v>
      </c>
      <c r="T182" s="2">
        <v>163.61999511718699</v>
      </c>
      <c r="U182" s="2">
        <v>0.110799998044967</v>
      </c>
      <c r="V182" s="2">
        <v>64.527359008789006</v>
      </c>
      <c r="W182" s="2">
        <v>2780.83227539062</v>
      </c>
      <c r="X182" s="2">
        <v>207.36000061035099</v>
      </c>
      <c r="Y182" s="2">
        <v>0.110799998044967</v>
      </c>
      <c r="Z182" s="2">
        <v>78.138603210449205</v>
      </c>
      <c r="AA182" s="2">
        <v>3367.4140625</v>
      </c>
      <c r="AB182" s="2">
        <v>251.100006103515</v>
      </c>
      <c r="AC182" s="2">
        <v>0.16619999706745101</v>
      </c>
      <c r="AD182" s="2">
        <v>91.749839782714801</v>
      </c>
      <c r="AE182" s="2">
        <v>3953.99584960937</v>
      </c>
      <c r="AF182" s="2">
        <v>294.83999633789</v>
      </c>
      <c r="AG182" s="2">
        <v>0.221499994397163</v>
      </c>
      <c r="AH182" s="2" t="s">
        <v>20</v>
      </c>
      <c r="AI182" s="1"/>
    </row>
    <row r="183" spans="1:35" s="12" customFormat="1" x14ac:dyDescent="0.25">
      <c r="A183" s="2" t="s">
        <v>19</v>
      </c>
      <c r="B183" s="2">
        <v>0</v>
      </c>
      <c r="C183" s="2">
        <v>0</v>
      </c>
      <c r="D183" s="2">
        <v>0</v>
      </c>
      <c r="E183" s="2">
        <v>0</v>
      </c>
      <c r="F183" s="2">
        <v>14.6341800689697</v>
      </c>
      <c r="G183" s="2">
        <v>749.27001953125</v>
      </c>
      <c r="H183" s="2">
        <v>47.025001525878899</v>
      </c>
      <c r="I183" s="11">
        <v>0</v>
      </c>
      <c r="J183" s="11">
        <v>14.6341800689697</v>
      </c>
      <c r="K183" s="2">
        <v>749.27001953125</v>
      </c>
      <c r="L183" s="2">
        <v>47.025001525878899</v>
      </c>
      <c r="M183" s="2">
        <v>0</v>
      </c>
      <c r="N183" s="2">
        <v>25.032150268554599</v>
      </c>
      <c r="O183" s="2">
        <v>1281.64611816406</v>
      </c>
      <c r="P183" s="2">
        <v>80.4375</v>
      </c>
      <c r="Q183" s="2">
        <v>7.5000002980232197E-2</v>
      </c>
      <c r="R183" s="2">
        <v>38.896110534667898</v>
      </c>
      <c r="S183" s="2">
        <v>1991.48083496093</v>
      </c>
      <c r="T183" s="2">
        <v>124.987503051757</v>
      </c>
      <c r="U183" s="2">
        <v>0.15000000596046401</v>
      </c>
      <c r="V183" s="2">
        <v>49.294078826904297</v>
      </c>
      <c r="W183" s="2">
        <v>2523.85693359375</v>
      </c>
      <c r="X183" s="2">
        <v>158.39999389648401</v>
      </c>
      <c r="Y183" s="2">
        <v>0.15000000596046401</v>
      </c>
      <c r="Z183" s="2">
        <v>59.692050933837798</v>
      </c>
      <c r="AA183" s="2">
        <v>3056.23291015625</v>
      </c>
      <c r="AB183" s="2">
        <v>191.8125</v>
      </c>
      <c r="AC183" s="2">
        <v>0.224999994039535</v>
      </c>
      <c r="AD183" s="2">
        <v>70.090019226074205</v>
      </c>
      <c r="AE183" s="2">
        <v>3588.60913085937</v>
      </c>
      <c r="AF183" s="2">
        <v>225.225006103515</v>
      </c>
      <c r="AG183" s="2">
        <v>0.30000001192092801</v>
      </c>
      <c r="AH183" s="2" t="s">
        <v>18</v>
      </c>
      <c r="AI183" s="1"/>
    </row>
    <row r="184" spans="1:35" s="12" customFormat="1" x14ac:dyDescent="0.25">
      <c r="A184" s="2" t="s">
        <v>17</v>
      </c>
      <c r="B184" s="2">
        <v>0</v>
      </c>
      <c r="C184" s="2">
        <v>0</v>
      </c>
      <c r="D184" s="2">
        <v>0</v>
      </c>
      <c r="E184" s="2">
        <v>0</v>
      </c>
      <c r="F184" s="2">
        <v>15.03329372406</v>
      </c>
      <c r="G184" s="2">
        <v>769.70465087890602</v>
      </c>
      <c r="H184" s="2">
        <v>44.459999084472599</v>
      </c>
      <c r="I184" s="11">
        <v>0</v>
      </c>
      <c r="J184" s="11">
        <v>15.03329372406</v>
      </c>
      <c r="K184" s="2">
        <v>769.70465087890602</v>
      </c>
      <c r="L184" s="2">
        <v>44.459999084472599</v>
      </c>
      <c r="M184" s="2">
        <v>0</v>
      </c>
      <c r="N184" s="2">
        <v>25.714845657348601</v>
      </c>
      <c r="O184" s="2">
        <v>1316.60009765625</v>
      </c>
      <c r="P184" s="2">
        <v>76.050003051757798</v>
      </c>
      <c r="Q184" s="2">
        <v>5.9999998658895402E-2</v>
      </c>
      <c r="R184" s="2">
        <v>39.956912994384702</v>
      </c>
      <c r="S184" s="2">
        <v>2045.7939453125</v>
      </c>
      <c r="T184" s="2">
        <v>118.169998168945</v>
      </c>
      <c r="U184" s="2">
        <v>0.11999999731779</v>
      </c>
      <c r="V184" s="2">
        <v>50.638465881347599</v>
      </c>
      <c r="W184" s="2">
        <v>2592.689453125</v>
      </c>
      <c r="X184" s="2">
        <v>149.759994506835</v>
      </c>
      <c r="Y184" s="2">
        <v>0.11999999731779</v>
      </c>
      <c r="Z184" s="2">
        <v>61.320014953613203</v>
      </c>
      <c r="AA184" s="2">
        <v>3139.58471679687</v>
      </c>
      <c r="AB184" s="2">
        <v>181.350006103515</v>
      </c>
      <c r="AC184" s="2">
        <v>0.18000000715255701</v>
      </c>
      <c r="AD184" s="2">
        <v>72.001564025878906</v>
      </c>
      <c r="AE184" s="2">
        <v>3686.48022460937</v>
      </c>
      <c r="AF184" s="2">
        <v>212.94000244140599</v>
      </c>
      <c r="AG184" s="2">
        <v>0.239999994635581</v>
      </c>
      <c r="AH184" s="2" t="s">
        <v>4</v>
      </c>
      <c r="AI184" s="1"/>
    </row>
    <row r="185" spans="1:35" s="12" customFormat="1" x14ac:dyDescent="0.25">
      <c r="A185" s="2" t="s">
        <v>16</v>
      </c>
      <c r="B185" s="2">
        <v>0</v>
      </c>
      <c r="C185" s="2">
        <v>0</v>
      </c>
      <c r="D185" s="2">
        <v>0</v>
      </c>
      <c r="E185" s="2">
        <v>0</v>
      </c>
      <c r="F185" s="2">
        <v>10.6430397033691</v>
      </c>
      <c r="G185" s="2">
        <v>578.98138427734295</v>
      </c>
      <c r="H185" s="2">
        <v>44.032501220703097</v>
      </c>
      <c r="I185" s="11">
        <v>0</v>
      </c>
      <c r="J185" s="11">
        <v>10.6430397033691</v>
      </c>
      <c r="K185" s="2">
        <v>578.98138427734295</v>
      </c>
      <c r="L185" s="2">
        <v>44.032501220703097</v>
      </c>
      <c r="M185" s="2">
        <v>0</v>
      </c>
      <c r="N185" s="2">
        <v>18.2052001953125</v>
      </c>
      <c r="O185" s="2">
        <v>990.36285400390602</v>
      </c>
      <c r="P185" s="2">
        <v>75.318748474121094</v>
      </c>
      <c r="Q185" s="2">
        <v>5.9999998658895402E-2</v>
      </c>
      <c r="R185" s="2">
        <v>28.288080215454102</v>
      </c>
      <c r="S185" s="2">
        <v>1538.87158203125</v>
      </c>
      <c r="T185" s="2">
        <v>117.03375244140599</v>
      </c>
      <c r="U185" s="2">
        <v>0.11999999731779</v>
      </c>
      <c r="V185" s="2">
        <v>35.8502388000488</v>
      </c>
      <c r="W185" s="2">
        <v>1950.25305175781</v>
      </c>
      <c r="X185" s="2">
        <v>148.32000732421801</v>
      </c>
      <c r="Y185" s="2">
        <v>0.11999999731779</v>
      </c>
      <c r="Z185" s="2">
        <v>43.412399291992102</v>
      </c>
      <c r="AA185" s="2">
        <v>2361.63452148437</v>
      </c>
      <c r="AB185" s="2">
        <v>179.60624694824199</v>
      </c>
      <c r="AC185" s="2">
        <v>0.18000000715255701</v>
      </c>
      <c r="AD185" s="2">
        <v>50.974559783935497</v>
      </c>
      <c r="AE185" s="2">
        <v>2773.01611328125</v>
      </c>
      <c r="AF185" s="2">
        <v>210.89250183105401</v>
      </c>
      <c r="AG185" s="2">
        <v>0.239999994635581</v>
      </c>
      <c r="AH185" s="2" t="s">
        <v>5</v>
      </c>
      <c r="AI185" s="1"/>
    </row>
    <row r="186" spans="1:35" s="12" customFormat="1" x14ac:dyDescent="0.25">
      <c r="A186" s="2" t="s">
        <v>15</v>
      </c>
      <c r="B186" s="2">
        <v>0</v>
      </c>
      <c r="C186" s="2">
        <v>0</v>
      </c>
      <c r="D186" s="2">
        <v>0</v>
      </c>
      <c r="E186" s="2">
        <v>0</v>
      </c>
      <c r="F186" s="2">
        <v>20.114387512206999</v>
      </c>
      <c r="G186" s="2">
        <v>874.60272216796795</v>
      </c>
      <c r="H186" s="2">
        <v>54.377998352050703</v>
      </c>
      <c r="I186" s="11">
        <v>0</v>
      </c>
      <c r="J186" s="11">
        <v>20.114387512206999</v>
      </c>
      <c r="K186" s="2">
        <v>874.60272216796795</v>
      </c>
      <c r="L186" s="2">
        <v>54.377998352050703</v>
      </c>
      <c r="M186" s="2">
        <v>0</v>
      </c>
      <c r="N186" s="2">
        <v>34.4061889648437</v>
      </c>
      <c r="O186" s="2">
        <v>1496.03088378906</v>
      </c>
      <c r="P186" s="2">
        <v>93.014999389648395</v>
      </c>
      <c r="Q186" s="2">
        <v>7.1999996900558402E-2</v>
      </c>
      <c r="R186" s="2">
        <v>53.461925506591797</v>
      </c>
      <c r="S186" s="2">
        <v>2324.60180664062</v>
      </c>
      <c r="T186" s="2">
        <v>144.531005859375</v>
      </c>
      <c r="U186" s="2">
        <v>0.143999993801116</v>
      </c>
      <c r="V186" s="2">
        <v>67.753730773925696</v>
      </c>
      <c r="W186" s="2">
        <v>2946.03002929687</v>
      </c>
      <c r="X186" s="2">
        <v>183.16799926757801</v>
      </c>
      <c r="Y186" s="2">
        <v>0.143999993801116</v>
      </c>
      <c r="Z186" s="2">
        <v>82.0455322265625</v>
      </c>
      <c r="AA186" s="2">
        <v>3567.45849609375</v>
      </c>
      <c r="AB186" s="2">
        <v>221.80499267578099</v>
      </c>
      <c r="AC186" s="2">
        <v>0.216000005602836</v>
      </c>
      <c r="AD186" s="2">
        <v>96.337333679199205</v>
      </c>
      <c r="AE186" s="2">
        <v>4188.88671875</v>
      </c>
      <c r="AF186" s="2">
        <v>260.44198608398398</v>
      </c>
      <c r="AG186" s="2">
        <v>0.287999987602233</v>
      </c>
      <c r="AH186" s="2" t="s">
        <v>5</v>
      </c>
      <c r="AI186" s="1"/>
    </row>
    <row r="187" spans="1:35" s="12" customFormat="1" x14ac:dyDescent="0.25">
      <c r="A187" s="2" t="s">
        <v>14</v>
      </c>
      <c r="B187" s="2">
        <v>0</v>
      </c>
      <c r="C187" s="2">
        <v>0</v>
      </c>
      <c r="D187" s="2">
        <v>0</v>
      </c>
      <c r="E187" s="2">
        <v>0</v>
      </c>
      <c r="F187" s="2">
        <v>13.303799629211399</v>
      </c>
      <c r="G187" s="2">
        <v>681.154541015625</v>
      </c>
      <c r="H187" s="2">
        <v>42.75</v>
      </c>
      <c r="I187" s="11">
        <v>0</v>
      </c>
      <c r="J187" s="11">
        <v>13.303799629211399</v>
      </c>
      <c r="K187" s="2">
        <v>681.154541015625</v>
      </c>
      <c r="L187" s="2">
        <v>42.75</v>
      </c>
      <c r="M187" s="2">
        <v>0</v>
      </c>
      <c r="N187" s="2">
        <v>22.7565002441406</v>
      </c>
      <c r="O187" s="2">
        <v>1165.1328125</v>
      </c>
      <c r="P187" s="2">
        <v>73.125</v>
      </c>
      <c r="Q187" s="2">
        <v>5.9999998658895402E-2</v>
      </c>
      <c r="R187" s="2">
        <v>35.360099792480398</v>
      </c>
      <c r="S187" s="2">
        <v>1810.43713378906</v>
      </c>
      <c r="T187" s="2">
        <v>113.625</v>
      </c>
      <c r="U187" s="2">
        <v>0.11999999731779</v>
      </c>
      <c r="V187" s="2">
        <v>44.812801361083899</v>
      </c>
      <c r="W187" s="2">
        <v>2294.41528320312</v>
      </c>
      <c r="X187" s="2">
        <v>144</v>
      </c>
      <c r="Y187" s="2">
        <v>0.11999999731779</v>
      </c>
      <c r="Z187" s="2">
        <v>54.265499114990199</v>
      </c>
      <c r="AA187" s="2">
        <v>2778.3935546875</v>
      </c>
      <c r="AB187" s="2">
        <v>174.375</v>
      </c>
      <c r="AC187" s="2">
        <v>0.18000000715255701</v>
      </c>
      <c r="AD187" s="2">
        <v>63.7182006835937</v>
      </c>
      <c r="AE187" s="2">
        <v>3262.37182617187</v>
      </c>
      <c r="AF187" s="2">
        <v>204.75</v>
      </c>
      <c r="AG187" s="2">
        <v>0.239999994635581</v>
      </c>
      <c r="AH187" s="2" t="s">
        <v>4</v>
      </c>
      <c r="AI187" s="1"/>
    </row>
    <row r="188" spans="1:35" s="12" customFormat="1" x14ac:dyDescent="0.25">
      <c r="A188" s="2" t="s">
        <v>13</v>
      </c>
      <c r="B188" s="2">
        <v>0</v>
      </c>
      <c r="C188" s="2">
        <v>0</v>
      </c>
      <c r="D188" s="2">
        <v>0</v>
      </c>
      <c r="E188" s="2">
        <v>0</v>
      </c>
      <c r="F188" s="2">
        <v>13.303799629211399</v>
      </c>
      <c r="G188" s="2">
        <v>681.154541015625</v>
      </c>
      <c r="H188" s="2">
        <v>42.75</v>
      </c>
      <c r="I188" s="11">
        <v>0</v>
      </c>
      <c r="J188" s="11">
        <v>13.303799629211399</v>
      </c>
      <c r="K188" s="2">
        <v>681.154541015625</v>
      </c>
      <c r="L188" s="2">
        <v>42.75</v>
      </c>
      <c r="M188" s="2">
        <v>0</v>
      </c>
      <c r="N188" s="2">
        <v>22.7565002441406</v>
      </c>
      <c r="O188" s="2">
        <v>1165.1328125</v>
      </c>
      <c r="P188" s="2">
        <v>73.125</v>
      </c>
      <c r="Q188" s="2">
        <v>5.9999998658895402E-2</v>
      </c>
      <c r="R188" s="2">
        <v>35.360099792480398</v>
      </c>
      <c r="S188" s="2">
        <v>1810.43713378906</v>
      </c>
      <c r="T188" s="2">
        <v>113.625</v>
      </c>
      <c r="U188" s="2">
        <v>0.11999999731779</v>
      </c>
      <c r="V188" s="2">
        <v>44.812801361083899</v>
      </c>
      <c r="W188" s="2">
        <v>2294.41528320312</v>
      </c>
      <c r="X188" s="2">
        <v>144</v>
      </c>
      <c r="Y188" s="2">
        <v>0.11999999731779</v>
      </c>
      <c r="Z188" s="2">
        <v>54.265499114990199</v>
      </c>
      <c r="AA188" s="2">
        <v>2778.3935546875</v>
      </c>
      <c r="AB188" s="2">
        <v>174.375</v>
      </c>
      <c r="AC188" s="2">
        <v>0.18000000715255701</v>
      </c>
      <c r="AD188" s="2">
        <v>63.7182006835937</v>
      </c>
      <c r="AE188" s="2">
        <v>3262.37182617187</v>
      </c>
      <c r="AF188" s="2">
        <v>204.75</v>
      </c>
      <c r="AG188" s="2">
        <v>0.239999994635581</v>
      </c>
      <c r="AH188" s="2" t="s">
        <v>4</v>
      </c>
      <c r="AI188" s="1"/>
    </row>
    <row r="189" spans="1:35" s="12" customFormat="1" x14ac:dyDescent="0.25">
      <c r="A189" s="2" t="s">
        <v>12</v>
      </c>
      <c r="B189" s="2">
        <v>0</v>
      </c>
      <c r="C189" s="2">
        <v>0</v>
      </c>
      <c r="D189" s="2">
        <v>0</v>
      </c>
      <c r="E189" s="2">
        <v>0</v>
      </c>
      <c r="F189" s="2">
        <v>17.5601806640625</v>
      </c>
      <c r="G189" s="2">
        <v>702.95172119140602</v>
      </c>
      <c r="H189" s="2">
        <v>44.6310005187988</v>
      </c>
      <c r="I189" s="11">
        <v>0</v>
      </c>
      <c r="J189" s="11">
        <v>17.5601806640625</v>
      </c>
      <c r="K189" s="2">
        <v>702.95172119140602</v>
      </c>
      <c r="L189" s="2">
        <v>44.6310005187988</v>
      </c>
      <c r="M189" s="2">
        <v>0</v>
      </c>
      <c r="N189" s="2">
        <v>30.0371494293212</v>
      </c>
      <c r="O189" s="2">
        <v>1202.41735839843</v>
      </c>
      <c r="P189" s="2">
        <v>76.342498779296804</v>
      </c>
      <c r="Q189" s="2">
        <v>7.9999998211860601E-2</v>
      </c>
      <c r="R189" s="2">
        <v>46.673110961913999</v>
      </c>
      <c r="S189" s="2">
        <v>1868.37158203125</v>
      </c>
      <c r="T189" s="2">
        <v>118.62449645996</v>
      </c>
      <c r="U189" s="2">
        <v>0.15999999642372101</v>
      </c>
      <c r="V189" s="2">
        <v>59.150081634521399</v>
      </c>
      <c r="W189" s="2">
        <v>2367.83740234375</v>
      </c>
      <c r="X189" s="2">
        <v>150.33599853515599</v>
      </c>
      <c r="Y189" s="2">
        <v>0.15999999642372101</v>
      </c>
      <c r="Z189" s="2">
        <v>71.627052307128906</v>
      </c>
      <c r="AA189" s="2">
        <v>2867.30297851562</v>
      </c>
      <c r="AB189" s="2">
        <v>182.04750061035099</v>
      </c>
      <c r="AC189" s="2">
        <v>0.239999994635581</v>
      </c>
      <c r="AD189" s="2">
        <v>84.104019165039006</v>
      </c>
      <c r="AE189" s="2">
        <v>3366.76879882812</v>
      </c>
      <c r="AF189" s="2">
        <v>213.75900268554599</v>
      </c>
      <c r="AG189" s="2">
        <v>0.31999999284744202</v>
      </c>
      <c r="AH189" s="2" t="s">
        <v>11</v>
      </c>
      <c r="AI189" s="1"/>
    </row>
    <row r="190" spans="1:35" s="12" customFormat="1" x14ac:dyDescent="0.25">
      <c r="A190" s="2" t="s">
        <v>10</v>
      </c>
      <c r="B190" s="2">
        <v>0</v>
      </c>
      <c r="C190" s="2">
        <v>0</v>
      </c>
      <c r="D190" s="2">
        <v>0</v>
      </c>
      <c r="E190" s="2">
        <v>0</v>
      </c>
      <c r="F190" s="2">
        <v>14.102027893066399</v>
      </c>
      <c r="G190" s="2">
        <v>681.154541015625</v>
      </c>
      <c r="H190" s="2">
        <v>41.895000457763601</v>
      </c>
      <c r="I190" s="11">
        <v>0</v>
      </c>
      <c r="J190" s="11">
        <v>14.102027893066399</v>
      </c>
      <c r="K190" s="2">
        <v>681.154541015625</v>
      </c>
      <c r="L190" s="2">
        <v>41.895000457763601</v>
      </c>
      <c r="M190" s="2">
        <v>0</v>
      </c>
      <c r="N190" s="2">
        <v>24.121889114379801</v>
      </c>
      <c r="O190" s="2">
        <v>1165.1328125</v>
      </c>
      <c r="P190" s="2">
        <v>71.662498474121094</v>
      </c>
      <c r="Q190" s="2">
        <v>24</v>
      </c>
      <c r="R190" s="2">
        <v>37.481704711913999</v>
      </c>
      <c r="S190" s="2">
        <v>1810.43713378906</v>
      </c>
      <c r="T190" s="2">
        <v>111.352500915527</v>
      </c>
      <c r="U190" s="2">
        <v>48</v>
      </c>
      <c r="V190" s="2">
        <v>47.501567840576101</v>
      </c>
      <c r="W190" s="2">
        <v>2294.41528320312</v>
      </c>
      <c r="X190" s="2">
        <v>141.11999511718699</v>
      </c>
      <c r="Y190" s="2">
        <v>48</v>
      </c>
      <c r="Z190" s="2">
        <v>57.521430969238203</v>
      </c>
      <c r="AA190" s="2">
        <v>2778.3935546875</v>
      </c>
      <c r="AB190" s="2">
        <v>170.88749694824199</v>
      </c>
      <c r="AC190" s="2">
        <v>72</v>
      </c>
      <c r="AD190" s="2">
        <v>67.541290283203097</v>
      </c>
      <c r="AE190" s="2">
        <v>3262.37182617187</v>
      </c>
      <c r="AF190" s="2">
        <v>200.65499877929599</v>
      </c>
      <c r="AG190" s="2">
        <v>96</v>
      </c>
      <c r="AH190" s="2" t="s">
        <v>1</v>
      </c>
      <c r="AI190" s="1"/>
    </row>
    <row r="191" spans="1:35" s="12" customFormat="1" x14ac:dyDescent="0.25">
      <c r="A191" s="2" t="s">
        <v>9</v>
      </c>
      <c r="B191" s="2">
        <v>0</v>
      </c>
      <c r="C191" s="2">
        <v>0</v>
      </c>
      <c r="D191" s="2">
        <v>0</v>
      </c>
      <c r="E191" s="2">
        <v>0</v>
      </c>
      <c r="F191" s="2">
        <v>23.3071479797363</v>
      </c>
      <c r="G191" s="2">
        <v>850.08111572265602</v>
      </c>
      <c r="H191" s="2">
        <v>53.352001190185497</v>
      </c>
      <c r="I191" s="11">
        <v>0</v>
      </c>
      <c r="J191" s="11">
        <v>23.3071479797363</v>
      </c>
      <c r="K191" s="2">
        <v>850.08111572265602</v>
      </c>
      <c r="L191" s="2">
        <v>53.352001190185497</v>
      </c>
      <c r="M191" s="2">
        <v>0</v>
      </c>
      <c r="N191" s="2">
        <v>39.867488861083899</v>
      </c>
      <c r="O191" s="2">
        <v>1454.08618164062</v>
      </c>
      <c r="P191" s="2">
        <v>91.260002136230398</v>
      </c>
      <c r="Q191" s="2">
        <v>4.80000004172325E-2</v>
      </c>
      <c r="R191" s="2">
        <v>61.947944641113203</v>
      </c>
      <c r="S191" s="2">
        <v>2259.42626953125</v>
      </c>
      <c r="T191" s="2">
        <v>141.80400085449199</v>
      </c>
      <c r="U191" s="2">
        <v>9.6000000834464999E-2</v>
      </c>
      <c r="V191" s="2">
        <v>78.508285522460895</v>
      </c>
      <c r="W191" s="2">
        <v>2863.43115234375</v>
      </c>
      <c r="X191" s="2">
        <v>179.71200561523401</v>
      </c>
      <c r="Y191" s="2">
        <v>9.6000000834464999E-2</v>
      </c>
      <c r="Z191" s="2">
        <v>95.068626403808594</v>
      </c>
      <c r="AA191" s="2">
        <v>3467.43627929687</v>
      </c>
      <c r="AB191" s="2">
        <v>217.61999511718699</v>
      </c>
      <c r="AC191" s="2">
        <v>0.143999993801116</v>
      </c>
      <c r="AD191" s="2">
        <v>111.62897491455</v>
      </c>
      <c r="AE191" s="2">
        <v>4071.44116210937</v>
      </c>
      <c r="AF191" s="2">
        <v>255.52799987792901</v>
      </c>
      <c r="AG191" s="2">
        <v>0.19200000166893</v>
      </c>
      <c r="AH191" s="2" t="s">
        <v>3</v>
      </c>
      <c r="AI191" s="1"/>
    </row>
    <row r="192" spans="1:35" s="12" customFormat="1" x14ac:dyDescent="0.25">
      <c r="A192" s="2" t="s">
        <v>8</v>
      </c>
      <c r="B192" s="2">
        <v>0</v>
      </c>
      <c r="C192" s="2">
        <v>0</v>
      </c>
      <c r="D192" s="2">
        <v>0</v>
      </c>
      <c r="E192" s="2">
        <v>0</v>
      </c>
      <c r="F192" s="2">
        <v>12.6386098861694</v>
      </c>
      <c r="G192" s="2">
        <v>640.28527832031205</v>
      </c>
      <c r="H192" s="2">
        <v>47.452499389648402</v>
      </c>
      <c r="I192" s="11">
        <v>0</v>
      </c>
      <c r="J192" s="11">
        <v>12.6386098861694</v>
      </c>
      <c r="K192" s="2">
        <v>640.28527832031205</v>
      </c>
      <c r="L192" s="2">
        <v>47.452499389648402</v>
      </c>
      <c r="M192" s="2">
        <v>0</v>
      </c>
      <c r="N192" s="2">
        <v>21.618675231933501</v>
      </c>
      <c r="O192" s="2">
        <v>1095.22485351562</v>
      </c>
      <c r="P192" s="2">
        <v>81.168746948242102</v>
      </c>
      <c r="Q192" s="2">
        <v>5.9999998658895402E-2</v>
      </c>
      <c r="R192" s="2">
        <v>33.592094421386697</v>
      </c>
      <c r="S192" s="2">
        <v>1701.81091308593</v>
      </c>
      <c r="T192" s="2">
        <v>126.12374877929599</v>
      </c>
      <c r="U192" s="2">
        <v>0.11999999731779</v>
      </c>
      <c r="V192" s="2">
        <v>42.572158813476499</v>
      </c>
      <c r="W192" s="2">
        <v>2156.75048828125</v>
      </c>
      <c r="X192" s="2">
        <v>159.83999633789</v>
      </c>
      <c r="Y192" s="2">
        <v>0.11999999731779</v>
      </c>
      <c r="Z192" s="2">
        <v>51.552223205566399</v>
      </c>
      <c r="AA192" s="2">
        <v>2611.68994140625</v>
      </c>
      <c r="AB192" s="2">
        <v>193.55624389648401</v>
      </c>
      <c r="AC192" s="2">
        <v>0.18000000715255701</v>
      </c>
      <c r="AD192" s="2">
        <v>60.532291412353501</v>
      </c>
      <c r="AE192" s="2">
        <v>3066.62963867187</v>
      </c>
      <c r="AF192" s="2">
        <v>227.27250671386699</v>
      </c>
      <c r="AG192" s="2">
        <v>0.239999994635581</v>
      </c>
      <c r="AH192" s="2" t="s">
        <v>4</v>
      </c>
      <c r="AI192" s="1"/>
    </row>
    <row r="193" spans="1:35" s="12" customFormat="1" x14ac:dyDescent="0.25">
      <c r="A193" s="2" t="s">
        <v>7</v>
      </c>
      <c r="B193" s="2">
        <v>0</v>
      </c>
      <c r="C193" s="2">
        <v>0</v>
      </c>
      <c r="D193" s="2">
        <v>0</v>
      </c>
      <c r="E193" s="2">
        <v>0</v>
      </c>
      <c r="F193" s="2">
        <v>15.03329372406</v>
      </c>
      <c r="G193" s="2">
        <v>585.79290771484295</v>
      </c>
      <c r="H193" s="2">
        <v>36.764999389648402</v>
      </c>
      <c r="I193" s="11">
        <v>0</v>
      </c>
      <c r="J193" s="11">
        <v>15.03329372406</v>
      </c>
      <c r="K193" s="2">
        <v>585.79290771484295</v>
      </c>
      <c r="L193" s="2">
        <v>36.764999389648402</v>
      </c>
      <c r="M193" s="2">
        <v>0</v>
      </c>
      <c r="N193" s="2">
        <v>25.714845657348601</v>
      </c>
      <c r="O193" s="2">
        <v>1002.0142211914</v>
      </c>
      <c r="P193" s="2">
        <v>62.887500762939403</v>
      </c>
      <c r="Q193" s="2">
        <v>5.9999998658895402E-2</v>
      </c>
      <c r="R193" s="2">
        <v>39.956912994384702</v>
      </c>
      <c r="S193" s="2">
        <v>1556.97595214843</v>
      </c>
      <c r="T193" s="2">
        <v>97.717498779296804</v>
      </c>
      <c r="U193" s="2">
        <v>0.11999999731779</v>
      </c>
      <c r="V193" s="2">
        <v>50.638465881347599</v>
      </c>
      <c r="W193" s="2">
        <v>1973.197265625</v>
      </c>
      <c r="X193" s="2">
        <v>123.83999633789</v>
      </c>
      <c r="Y193" s="2">
        <v>0.11999999731779</v>
      </c>
      <c r="Z193" s="2">
        <v>61.320014953613203</v>
      </c>
      <c r="AA193" s="2">
        <v>2389.41845703125</v>
      </c>
      <c r="AB193" s="2">
        <v>149.96249389648401</v>
      </c>
      <c r="AC193" s="2">
        <v>0.18000000715255701</v>
      </c>
      <c r="AD193" s="2">
        <v>72.001564025878906</v>
      </c>
      <c r="AE193" s="2">
        <v>2805.63989257812</v>
      </c>
      <c r="AF193" s="2">
        <v>176.08500671386699</v>
      </c>
      <c r="AG193" s="2">
        <v>0.239999994635581</v>
      </c>
      <c r="AH193" s="2" t="s">
        <v>5</v>
      </c>
      <c r="AI193" s="1"/>
    </row>
    <row r="194" spans="1:35" s="12" customFormat="1" x14ac:dyDescent="0.25">
      <c r="A194" s="2" t="s">
        <v>6</v>
      </c>
      <c r="B194" s="2">
        <v>0</v>
      </c>
      <c r="C194" s="2">
        <v>0</v>
      </c>
      <c r="D194" s="2">
        <v>0</v>
      </c>
      <c r="E194" s="2">
        <v>0</v>
      </c>
      <c r="F194" s="2">
        <v>16.761999130248999</v>
      </c>
      <c r="G194" s="2">
        <v>980.86279296875</v>
      </c>
      <c r="H194" s="2">
        <v>49.248001098632798</v>
      </c>
      <c r="I194" s="11">
        <v>0</v>
      </c>
      <c r="J194" s="11">
        <v>16.761999130248999</v>
      </c>
      <c r="K194" s="2">
        <v>980.86279296875</v>
      </c>
      <c r="L194" s="2">
        <v>49.248001098632798</v>
      </c>
      <c r="M194" s="2">
        <v>0</v>
      </c>
      <c r="N194" s="2">
        <v>28.671800613403299</v>
      </c>
      <c r="O194" s="2">
        <v>1677.79174804687</v>
      </c>
      <c r="P194" s="2">
        <v>84.239997863769503</v>
      </c>
      <c r="Q194" s="2">
        <v>7.1999996900558402E-2</v>
      </c>
      <c r="R194" s="2">
        <v>44.551601409912102</v>
      </c>
      <c r="S194" s="2">
        <v>2607.0302734375</v>
      </c>
      <c r="T194" s="2">
        <v>130.89599609375</v>
      </c>
      <c r="U194" s="2">
        <v>0.143999993801116</v>
      </c>
      <c r="V194" s="2">
        <v>56.461399078369098</v>
      </c>
      <c r="W194" s="2">
        <v>3303.958984375</v>
      </c>
      <c r="X194" s="2">
        <v>165.88800048828099</v>
      </c>
      <c r="Y194" s="2">
        <v>0.143999993801116</v>
      </c>
      <c r="Z194" s="2">
        <v>68.371299743652301</v>
      </c>
      <c r="AA194" s="2">
        <v>4000.88793945312</v>
      </c>
      <c r="AB194" s="2">
        <v>200.88000488281199</v>
      </c>
      <c r="AC194" s="2">
        <v>0.216000005602836</v>
      </c>
      <c r="AD194" s="2">
        <v>80.281097412109304</v>
      </c>
      <c r="AE194" s="2">
        <v>4697.81689453125</v>
      </c>
      <c r="AF194" s="2">
        <v>235.87199401855401</v>
      </c>
      <c r="AG194" s="2">
        <v>0.287999987602233</v>
      </c>
      <c r="AH194" s="2" t="s">
        <v>5</v>
      </c>
      <c r="AI194" s="1"/>
    </row>
    <row r="195" spans="1:35" s="12" customFormat="1" x14ac:dyDescent="0.25">
      <c r="A195" s="2" t="s">
        <v>65</v>
      </c>
      <c r="B195" s="2">
        <v>0</v>
      </c>
      <c r="C195" s="2">
        <v>0</v>
      </c>
      <c r="D195" s="2">
        <v>0</v>
      </c>
      <c r="E195" s="2">
        <v>0</v>
      </c>
      <c r="F195" s="2">
        <v>19.7951126098632</v>
      </c>
      <c r="G195" s="2">
        <v>890.950439453125</v>
      </c>
      <c r="H195" s="2">
        <v>53.865001678466797</v>
      </c>
      <c r="I195" s="11">
        <v>0</v>
      </c>
      <c r="J195" s="11">
        <v>19.7951126098632</v>
      </c>
      <c r="K195" s="2">
        <v>890.950439453125</v>
      </c>
      <c r="L195" s="2">
        <v>53.865001678466797</v>
      </c>
      <c r="M195" s="3">
        <v>0</v>
      </c>
      <c r="N195" s="2">
        <v>33.860061645507798</v>
      </c>
      <c r="O195" s="2">
        <v>1523.994140625</v>
      </c>
      <c r="P195" s="2">
        <v>92.137496948242102</v>
      </c>
      <c r="Q195" s="2">
        <v>28.799999237060501</v>
      </c>
      <c r="R195" s="2">
        <v>52.613323211669901</v>
      </c>
      <c r="S195" s="2">
        <v>2368.05249023437</v>
      </c>
      <c r="T195" s="2">
        <v>143.16749572753901</v>
      </c>
      <c r="U195" s="2">
        <v>57.599998474121001</v>
      </c>
      <c r="V195" s="2">
        <v>66.678268432617102</v>
      </c>
      <c r="W195" s="2">
        <v>3001.09619140625</v>
      </c>
      <c r="X195" s="2">
        <v>181.44000244140599</v>
      </c>
      <c r="Y195" s="2">
        <v>57.599998474121001</v>
      </c>
      <c r="Z195" s="2">
        <v>80.743217468261705</v>
      </c>
      <c r="AA195" s="2">
        <v>3634.13989257812</v>
      </c>
      <c r="AB195" s="2">
        <v>219.71249389648401</v>
      </c>
      <c r="AC195" s="2">
        <v>86.400001525878906</v>
      </c>
      <c r="AD195" s="2">
        <v>94.808166503906193</v>
      </c>
      <c r="AE195" s="2">
        <v>4267.18359375</v>
      </c>
      <c r="AF195" s="2">
        <v>257.98498535156199</v>
      </c>
      <c r="AG195" s="2">
        <v>115.199996948242</v>
      </c>
      <c r="AH195" s="2" t="s">
        <v>1</v>
      </c>
      <c r="AI195" s="1"/>
    </row>
    <row r="196" spans="1:35" s="12" customFormat="1" x14ac:dyDescent="0.25">
      <c r="A196" s="2" t="s">
        <v>66</v>
      </c>
      <c r="B196" s="2">
        <v>0</v>
      </c>
      <c r="C196" s="2">
        <v>0</v>
      </c>
      <c r="D196" s="2">
        <v>0</v>
      </c>
      <c r="E196" s="2">
        <v>0</v>
      </c>
      <c r="F196" s="2">
        <v>15.299369812011699</v>
      </c>
      <c r="G196" s="2">
        <v>742.45849609375</v>
      </c>
      <c r="H196" s="2">
        <v>46.640251159667898</v>
      </c>
      <c r="I196" s="11">
        <v>0</v>
      </c>
      <c r="J196" s="11">
        <v>15.299369812011699</v>
      </c>
      <c r="K196" s="2">
        <v>742.45849609375</v>
      </c>
      <c r="L196" s="2">
        <v>46.640251159667898</v>
      </c>
      <c r="M196" s="3">
        <v>0</v>
      </c>
      <c r="N196" s="2">
        <v>26.169975280761701</v>
      </c>
      <c r="O196" s="2">
        <v>1269.99475097656</v>
      </c>
      <c r="P196" s="2">
        <v>79.779373168945298</v>
      </c>
      <c r="Q196" s="2">
        <v>24</v>
      </c>
      <c r="R196" s="2">
        <v>40.664115905761697</v>
      </c>
      <c r="S196" s="2">
        <v>1973.37646484375</v>
      </c>
      <c r="T196" s="2">
        <v>123.964874267578</v>
      </c>
      <c r="U196" s="2">
        <v>48</v>
      </c>
      <c r="V196" s="2">
        <v>51.534721374511697</v>
      </c>
      <c r="W196" s="2">
        <v>2500.91284179687</v>
      </c>
      <c r="X196" s="2">
        <v>157.10400390625</v>
      </c>
      <c r="Y196" s="2">
        <v>48</v>
      </c>
      <c r="Z196" s="2">
        <v>62.405326843261697</v>
      </c>
      <c r="AA196" s="2">
        <v>3028.44897460937</v>
      </c>
      <c r="AB196" s="2">
        <v>190.24311828613199</v>
      </c>
      <c r="AC196" s="2">
        <v>72</v>
      </c>
      <c r="AD196" s="2">
        <v>73.275932312011705</v>
      </c>
      <c r="AE196" s="2">
        <v>3555.9853515625</v>
      </c>
      <c r="AF196" s="2">
        <v>223.38224792480401</v>
      </c>
      <c r="AG196" s="2">
        <v>96</v>
      </c>
      <c r="AH196" s="2" t="s">
        <v>1</v>
      </c>
      <c r="AI196" s="1"/>
    </row>
    <row r="197" spans="1:35" s="12" customFormat="1" x14ac:dyDescent="0.25">
      <c r="A197" s="2" t="s">
        <v>67</v>
      </c>
      <c r="B197" s="2">
        <v>0</v>
      </c>
      <c r="C197" s="2">
        <v>0</v>
      </c>
      <c r="D197" s="2">
        <v>0</v>
      </c>
      <c r="E197" s="2">
        <v>0</v>
      </c>
      <c r="F197" s="2">
        <v>21.551130294799801</v>
      </c>
      <c r="G197" s="2">
        <v>678.43011474609295</v>
      </c>
      <c r="H197" s="2">
        <v>41.040000915527301</v>
      </c>
      <c r="I197" s="11">
        <v>0</v>
      </c>
      <c r="J197" s="11">
        <v>21.551130294799801</v>
      </c>
      <c r="K197" s="2">
        <v>678.43011474609295</v>
      </c>
      <c r="L197" s="2">
        <v>41.040000915527301</v>
      </c>
      <c r="M197" s="3">
        <v>0</v>
      </c>
      <c r="N197" s="2">
        <v>36.863773345947202</v>
      </c>
      <c r="O197" s="2">
        <v>1160.47253417968</v>
      </c>
      <c r="P197" s="2">
        <v>70.199996948242102</v>
      </c>
      <c r="Q197" s="2">
        <v>4.80000004172325E-2</v>
      </c>
      <c r="R197" s="2">
        <v>57.280635833740199</v>
      </c>
      <c r="S197" s="2">
        <v>1803.19592285156</v>
      </c>
      <c r="T197" s="2">
        <v>109.08000183105401</v>
      </c>
      <c r="U197" s="2">
        <v>9.6000000834464999E-2</v>
      </c>
      <c r="V197" s="2">
        <v>72.593276977539006</v>
      </c>
      <c r="W197" s="2">
        <v>2285.23828125</v>
      </c>
      <c r="X197" s="2">
        <v>138.24000549316401</v>
      </c>
      <c r="Y197" s="2">
        <v>9.6000000834464999E-2</v>
      </c>
      <c r="Z197" s="2">
        <v>87.905921936035099</v>
      </c>
      <c r="AA197" s="2">
        <v>2767.28076171875</v>
      </c>
      <c r="AB197" s="2">
        <v>167.39999389648401</v>
      </c>
      <c r="AC197" s="2">
        <v>0.143999993801116</v>
      </c>
      <c r="AD197" s="2">
        <v>103.21856689453099</v>
      </c>
      <c r="AE197" s="2">
        <v>3249.3232421875</v>
      </c>
      <c r="AF197" s="2">
        <v>196.55999755859301</v>
      </c>
      <c r="AG197" s="2">
        <v>0.19200000166893</v>
      </c>
      <c r="AH197" s="2" t="s">
        <v>3</v>
      </c>
      <c r="AI197" s="1"/>
    </row>
    <row r="198" spans="1:35" s="12" customFormat="1" x14ac:dyDescent="0.25">
      <c r="A198" s="2" t="s">
        <v>123</v>
      </c>
      <c r="B198" s="2">
        <v>0</v>
      </c>
      <c r="C198" s="2">
        <v>0</v>
      </c>
      <c r="D198" s="2">
        <v>0</v>
      </c>
      <c r="E198" s="2">
        <v>0</v>
      </c>
      <c r="F198" s="2">
        <v>22.82823372</v>
      </c>
      <c r="G198" s="2">
        <v>858.25500490000002</v>
      </c>
      <c r="H198" s="2">
        <v>52.326000209999997</v>
      </c>
      <c r="I198" s="11">
        <v>0</v>
      </c>
      <c r="J198" s="11">
        <v>22.82823372</v>
      </c>
      <c r="K198" s="2">
        <v>858.25500490000002</v>
      </c>
      <c r="L198" s="2">
        <v>52.326000209999997</v>
      </c>
      <c r="M198" s="11">
        <v>0</v>
      </c>
      <c r="N198" s="2">
        <v>39.048294069999997</v>
      </c>
      <c r="O198" s="2">
        <v>1468.067749</v>
      </c>
      <c r="P198" s="2">
        <v>89.504997250000002</v>
      </c>
      <c r="Q198" s="2">
        <v>9.6000000830000001E-2</v>
      </c>
      <c r="R198" s="2">
        <v>60.675041200000003</v>
      </c>
      <c r="S198" s="2">
        <v>2281.1513669999999</v>
      </c>
      <c r="T198" s="2">
        <v>139.07699579999999</v>
      </c>
      <c r="U198" s="2">
        <v>0.19200000170000001</v>
      </c>
      <c r="V198" s="2">
        <v>76.895103449999993</v>
      </c>
      <c r="W198" s="2">
        <v>2890.9641109999998</v>
      </c>
      <c r="X198" s="2">
        <v>176.2559967</v>
      </c>
      <c r="Y198" s="2">
        <v>0.19200000170000001</v>
      </c>
      <c r="Z198" s="2">
        <v>93.115165709999999</v>
      </c>
      <c r="AA198" s="2">
        <v>3500.7768550000001</v>
      </c>
      <c r="AB198" s="2">
        <v>213.4349976</v>
      </c>
      <c r="AC198" s="2">
        <v>0.28799998760000001</v>
      </c>
      <c r="AD198" s="2">
        <v>109.335228</v>
      </c>
      <c r="AE198" s="2">
        <v>4110.5898440000001</v>
      </c>
      <c r="AF198" s="2">
        <v>250.61399840000001</v>
      </c>
      <c r="AG198" s="2">
        <v>0.3840000033</v>
      </c>
      <c r="AH198" s="2" t="s">
        <v>2</v>
      </c>
      <c r="AI198" s="1"/>
    </row>
    <row r="199" spans="1:35" s="12" customFormat="1" x14ac:dyDescent="0.25">
      <c r="A199" s="2" t="s">
        <v>69</v>
      </c>
      <c r="B199" s="2">
        <v>0</v>
      </c>
      <c r="C199" s="2">
        <v>0</v>
      </c>
      <c r="D199" s="2">
        <v>0</v>
      </c>
      <c r="E199" s="2">
        <v>0</v>
      </c>
      <c r="F199" s="2">
        <v>22.508958816528299</v>
      </c>
      <c r="G199" s="2">
        <v>861.52453613281205</v>
      </c>
      <c r="H199" s="2">
        <v>52.685100555419901</v>
      </c>
      <c r="I199" s="11">
        <v>0</v>
      </c>
      <c r="J199" s="11">
        <v>22.508958816528299</v>
      </c>
      <c r="K199" s="2">
        <v>861.52453613281205</v>
      </c>
      <c r="L199" s="2">
        <v>52.685100555419901</v>
      </c>
      <c r="M199" s="3">
        <v>0</v>
      </c>
      <c r="N199" s="2">
        <v>38.502166748046797</v>
      </c>
      <c r="O199" s="2">
        <v>1473.66040039062</v>
      </c>
      <c r="P199" s="2">
        <v>90.119247436523395</v>
      </c>
      <c r="Q199" s="2">
        <v>7.9999998211860601E-2</v>
      </c>
      <c r="R199" s="2">
        <v>59.826442718505803</v>
      </c>
      <c r="S199" s="2">
        <v>2289.84155273437</v>
      </c>
      <c r="T199" s="2">
        <v>140.03144836425699</v>
      </c>
      <c r="U199" s="2">
        <v>0.15999999642372101</v>
      </c>
      <c r="V199" s="2">
        <v>75.819648742675696</v>
      </c>
      <c r="W199" s="2">
        <v>2901.97729492187</v>
      </c>
      <c r="X199" s="2">
        <v>177.46560668945301</v>
      </c>
      <c r="Y199" s="2">
        <v>0.15999999642372101</v>
      </c>
      <c r="Z199" s="2">
        <v>91.812858581542898</v>
      </c>
      <c r="AA199" s="2">
        <v>3514.11328125</v>
      </c>
      <c r="AB199" s="2">
        <v>214.89974975585901</v>
      </c>
      <c r="AC199" s="2">
        <v>0.239999994635581</v>
      </c>
      <c r="AD199" s="2">
        <v>107.806060791015</v>
      </c>
      <c r="AE199" s="2">
        <v>4126.2490234375</v>
      </c>
      <c r="AF199" s="2">
        <v>252.333892822265</v>
      </c>
      <c r="AG199" s="2">
        <v>0.31999999284744202</v>
      </c>
      <c r="AH199" s="2" t="s">
        <v>11</v>
      </c>
      <c r="AI199" s="1"/>
    </row>
    <row r="200" spans="1:35" s="12" customFormat="1" x14ac:dyDescent="0.25">
      <c r="A200" s="2" t="s">
        <v>70</v>
      </c>
      <c r="B200" s="2">
        <v>0</v>
      </c>
      <c r="C200" s="2">
        <v>0</v>
      </c>
      <c r="D200" s="2">
        <v>0</v>
      </c>
      <c r="E200" s="2">
        <v>0</v>
      </c>
      <c r="F200" s="2">
        <v>15.644523620605399</v>
      </c>
      <c r="G200" s="2">
        <v>899.124267578125</v>
      </c>
      <c r="H200" s="2">
        <v>43.861499786376903</v>
      </c>
      <c r="I200" s="11">
        <v>0</v>
      </c>
      <c r="J200" s="11">
        <v>15.644523620605399</v>
      </c>
      <c r="K200" s="2">
        <v>899.124267578125</v>
      </c>
      <c r="L200" s="2">
        <v>43.861499786376903</v>
      </c>
      <c r="M200" s="3">
        <v>0</v>
      </c>
      <c r="N200" s="2">
        <v>26.760370254516602</v>
      </c>
      <c r="O200" s="2">
        <v>1537.97570800781</v>
      </c>
      <c r="P200" s="2">
        <v>75.026252746582003</v>
      </c>
      <c r="Q200" s="2">
        <v>7.1999996900558402E-2</v>
      </c>
      <c r="R200" s="2">
        <v>41.581497192382798</v>
      </c>
      <c r="S200" s="2">
        <v>2389.77758789062</v>
      </c>
      <c r="T200" s="2">
        <v>116.57924652099599</v>
      </c>
      <c r="U200" s="2">
        <v>0.143999993801116</v>
      </c>
      <c r="V200" s="2">
        <v>52.6973457336425</v>
      </c>
      <c r="W200" s="2">
        <v>3028.62915039062</v>
      </c>
      <c r="X200" s="2">
        <v>147.74400329589801</v>
      </c>
      <c r="Y200" s="2">
        <v>0.143999993801116</v>
      </c>
      <c r="Z200" s="2">
        <v>63.813190460205</v>
      </c>
      <c r="AA200" s="2">
        <v>3667.48046875</v>
      </c>
      <c r="AB200" s="2">
        <v>178.90875244140599</v>
      </c>
      <c r="AC200" s="2">
        <v>0.216000005602836</v>
      </c>
      <c r="AD200" s="2">
        <v>74.929039001464801</v>
      </c>
      <c r="AE200" s="2">
        <v>4306.33203125</v>
      </c>
      <c r="AF200" s="2">
        <v>210.07350158691401</v>
      </c>
      <c r="AG200" s="2">
        <v>0.287999987602233</v>
      </c>
      <c r="AH200" s="2" t="s">
        <v>5</v>
      </c>
      <c r="AI200" s="1"/>
    </row>
    <row r="201" spans="1:35" s="12" customFormat="1" x14ac:dyDescent="0.25">
      <c r="A201" s="2" t="s">
        <v>121</v>
      </c>
      <c r="B201" s="2">
        <v>0</v>
      </c>
      <c r="C201" s="2">
        <v>0</v>
      </c>
      <c r="D201" s="2">
        <v>0</v>
      </c>
      <c r="E201" s="2">
        <v>0</v>
      </c>
      <c r="F201" s="2">
        <v>15.565445899963301</v>
      </c>
      <c r="G201" s="2">
        <v>701.58917236328102</v>
      </c>
      <c r="H201" s="2">
        <v>50.017501831054602</v>
      </c>
      <c r="I201" s="11">
        <v>0</v>
      </c>
      <c r="J201" s="2">
        <v>15.565445899963301</v>
      </c>
      <c r="K201" s="2">
        <v>701.58917236328102</v>
      </c>
      <c r="L201" s="2">
        <v>50.017501831054602</v>
      </c>
      <c r="M201" s="11">
        <v>0</v>
      </c>
      <c r="N201" s="2">
        <v>26.625104904174801</v>
      </c>
      <c r="O201" s="2">
        <v>1200.08679199218</v>
      </c>
      <c r="P201" s="2">
        <v>85.556251525878906</v>
      </c>
      <c r="Q201" s="2">
        <v>5.9999998658895402E-2</v>
      </c>
      <c r="R201" s="2">
        <v>41.371318817138601</v>
      </c>
      <c r="S201" s="2">
        <v>1864.75024414062</v>
      </c>
      <c r="T201" s="2">
        <v>132.94125366210901</v>
      </c>
      <c r="U201" s="2">
        <v>0.11999999731779</v>
      </c>
      <c r="V201" s="2">
        <v>52.430976867675703</v>
      </c>
      <c r="W201" s="2">
        <v>2363.24780273437</v>
      </c>
      <c r="X201" s="2">
        <v>168.47999572753901</v>
      </c>
      <c r="Y201" s="2">
        <v>0.11999999731779</v>
      </c>
      <c r="Z201" s="2">
        <v>63.490634918212798</v>
      </c>
      <c r="AA201" s="2">
        <v>2861.74536132812</v>
      </c>
      <c r="AB201" s="2">
        <v>204.01875305175699</v>
      </c>
      <c r="AC201" s="2">
        <v>0.18000000715255701</v>
      </c>
      <c r="AD201" s="2">
        <v>74.55029296875</v>
      </c>
      <c r="AE201" s="2">
        <v>3360.24291992187</v>
      </c>
      <c r="AF201" s="2">
        <v>239.55749511718699</v>
      </c>
      <c r="AG201" s="2">
        <v>0.239999994635581</v>
      </c>
      <c r="AH201" s="2" t="s">
        <v>4</v>
      </c>
      <c r="AI201" s="1"/>
    </row>
    <row r="202" spans="1:35" s="12" customFormat="1" x14ac:dyDescent="0.25">
      <c r="A202" s="2" t="s">
        <v>122</v>
      </c>
      <c r="B202" s="2">
        <v>0</v>
      </c>
      <c r="C202" s="2">
        <v>0</v>
      </c>
      <c r="D202" s="2">
        <v>0</v>
      </c>
      <c r="E202" s="2">
        <v>0</v>
      </c>
      <c r="F202" s="2">
        <v>12.2394962310791</v>
      </c>
      <c r="G202" s="2">
        <v>599.416015625</v>
      </c>
      <c r="H202" s="2">
        <v>39.330001831054602</v>
      </c>
      <c r="I202" s="2">
        <v>0</v>
      </c>
      <c r="J202" s="2">
        <v>12.2394962310791</v>
      </c>
      <c r="K202" s="2">
        <v>599.416015625</v>
      </c>
      <c r="L202" s="2">
        <v>39.330001831054602</v>
      </c>
      <c r="M202" s="2">
        <v>0</v>
      </c>
      <c r="N202" s="2">
        <v>20.935979843139599</v>
      </c>
      <c r="O202" s="2">
        <v>1025.31689453125</v>
      </c>
      <c r="P202" s="2">
        <v>67.275001525878906</v>
      </c>
      <c r="Q202" s="2">
        <v>5.9999998658895402E-2</v>
      </c>
      <c r="R202" s="2">
        <v>32.531291961669901</v>
      </c>
      <c r="S202" s="2">
        <v>1593.18469238281</v>
      </c>
      <c r="T202" s="2">
        <v>104.53500366210901</v>
      </c>
      <c r="U202" s="2">
        <v>0.11999999731779</v>
      </c>
      <c r="V202" s="2">
        <v>41.227775573730398</v>
      </c>
      <c r="W202" s="2">
        <v>2019.08557128906</v>
      </c>
      <c r="X202" s="2">
        <v>132.47999572753901</v>
      </c>
      <c r="Y202" s="2">
        <v>0.11999999731779</v>
      </c>
      <c r="Z202" s="2">
        <v>49.924259185791001</v>
      </c>
      <c r="AA202" s="2">
        <v>2444.986328125</v>
      </c>
      <c r="AB202" s="2">
        <v>160.42500305175699</v>
      </c>
      <c r="AC202" s="2">
        <v>0.18000000715255701</v>
      </c>
      <c r="AD202" s="2">
        <v>58.620742797851499</v>
      </c>
      <c r="AE202" s="2">
        <v>2870.88720703125</v>
      </c>
      <c r="AF202" s="2">
        <v>188.36999511718699</v>
      </c>
      <c r="AG202" s="2">
        <v>0.239999994635581</v>
      </c>
      <c r="AH202" s="2" t="s">
        <v>4</v>
      </c>
      <c r="AI202" s="1"/>
    </row>
    <row r="203" spans="1:35" s="12" customFormat="1" x14ac:dyDescent="0.25">
      <c r="A203" s="52" t="s">
        <v>183</v>
      </c>
      <c r="B203" s="52">
        <v>0</v>
      </c>
      <c r="C203" s="52">
        <v>0</v>
      </c>
      <c r="D203" s="52">
        <v>0</v>
      </c>
      <c r="E203" s="52">
        <v>0</v>
      </c>
      <c r="F203" s="52">
        <v>12.6386098861694</v>
      </c>
      <c r="G203" s="52">
        <v>647.09680175781205</v>
      </c>
      <c r="H203" s="52">
        <v>47.025001525878899</v>
      </c>
      <c r="I203" s="52">
        <v>0</v>
      </c>
      <c r="J203" s="52">
        <v>12.6386098861694</v>
      </c>
      <c r="K203" s="52">
        <v>647.09680175781205</v>
      </c>
      <c r="L203" s="52">
        <v>47.025001525878899</v>
      </c>
      <c r="M203" s="52">
        <v>0</v>
      </c>
      <c r="N203" s="52">
        <v>21.618675231933501</v>
      </c>
      <c r="O203" s="52">
        <v>1106.87622070312</v>
      </c>
      <c r="P203" s="52">
        <v>80.4375</v>
      </c>
      <c r="Q203" s="52">
        <v>5.9999998658895402E-2</v>
      </c>
      <c r="R203" s="52">
        <v>33.592094421386697</v>
      </c>
      <c r="S203" s="52">
        <v>1719.91528320312</v>
      </c>
      <c r="T203" s="52">
        <v>124.987503051757</v>
      </c>
      <c r="U203" s="52">
        <v>0.11999999731779</v>
      </c>
      <c r="V203" s="52">
        <v>42.572158813476499</v>
      </c>
      <c r="W203" s="52">
        <v>2179.69458007812</v>
      </c>
      <c r="X203" s="52">
        <v>158.39999389648401</v>
      </c>
      <c r="Y203" s="52">
        <v>0.11999999731779</v>
      </c>
      <c r="Z203" s="52">
        <v>51.552223205566399</v>
      </c>
      <c r="AA203" s="52">
        <v>2639.47387695312</v>
      </c>
      <c r="AB203" s="52">
        <v>191.8125</v>
      </c>
      <c r="AC203" s="52">
        <v>0.18000000715255701</v>
      </c>
      <c r="AD203" s="52">
        <v>60.532291412353501</v>
      </c>
      <c r="AE203" s="52">
        <v>3099.25317382812</v>
      </c>
      <c r="AF203" s="52">
        <v>225.225006103515</v>
      </c>
      <c r="AG203" s="52">
        <v>0.239999994635581</v>
      </c>
      <c r="AH203" s="52" t="s">
        <v>4</v>
      </c>
      <c r="AI203" s="1"/>
    </row>
    <row r="204" spans="1:35" s="12" customFormat="1" x14ac:dyDescent="0.25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1"/>
    </row>
    <row r="205" spans="1:35" s="12" customFormat="1" x14ac:dyDescent="0.2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1"/>
    </row>
    <row r="206" spans="1:35" s="12" customFormat="1" x14ac:dyDescent="0.25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1"/>
    </row>
    <row r="207" spans="1:35" s="12" customFormat="1" x14ac:dyDescent="0.25">
      <c r="A207" s="109"/>
      <c r="B207" s="109" t="s">
        <v>182</v>
      </c>
      <c r="C207" s="109"/>
      <c r="D207" s="109"/>
      <c r="E207" s="109"/>
      <c r="F207" s="109"/>
      <c r="G207" s="109"/>
      <c r="H207" s="109"/>
      <c r="I207" s="109"/>
      <c r="J207" s="109"/>
      <c r="K207" s="109"/>
      <c r="L207" s="109"/>
      <c r="M207" s="109"/>
      <c r="N207" s="109" t="s">
        <v>105</v>
      </c>
      <c r="O207" s="109"/>
      <c r="P207" s="109"/>
      <c r="Q207" s="109"/>
      <c r="R207" s="109"/>
      <c r="S207" s="109"/>
      <c r="T207" s="109"/>
      <c r="U207" s="109"/>
      <c r="V207" s="109" t="s">
        <v>72</v>
      </c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"/>
    </row>
    <row r="208" spans="1:35" s="12" customFormat="1" x14ac:dyDescent="0.25">
      <c r="A208" s="110" t="s">
        <v>43</v>
      </c>
      <c r="B208" s="111" t="s">
        <v>184</v>
      </c>
      <c r="C208" s="111" t="s">
        <v>185</v>
      </c>
      <c r="D208" s="112" t="s">
        <v>186</v>
      </c>
      <c r="E208" s="112" t="s">
        <v>187</v>
      </c>
      <c r="F208" s="112" t="s">
        <v>188</v>
      </c>
      <c r="G208" s="112" t="s">
        <v>190</v>
      </c>
      <c r="H208" s="112" t="s">
        <v>151</v>
      </c>
      <c r="I208" s="112" t="s">
        <v>195</v>
      </c>
      <c r="J208" s="112" t="s">
        <v>194</v>
      </c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"/>
    </row>
    <row r="209" spans="1:35" s="12" customFormat="1" x14ac:dyDescent="0.25">
      <c r="A209" s="24"/>
      <c r="B209" s="113" t="s">
        <v>191</v>
      </c>
      <c r="C209" s="113" t="s">
        <v>191</v>
      </c>
      <c r="D209" s="113" t="s">
        <v>191</v>
      </c>
      <c r="E209" s="113" t="s">
        <v>191</v>
      </c>
      <c r="F209" s="113" t="s">
        <v>191</v>
      </c>
      <c r="G209" s="113" t="s">
        <v>191</v>
      </c>
      <c r="H209" s="113" t="s">
        <v>103</v>
      </c>
      <c r="I209" s="113" t="s">
        <v>103</v>
      </c>
      <c r="J209" s="113" t="s">
        <v>103</v>
      </c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"/>
    </row>
    <row r="210" spans="1:35" s="117" customFormat="1" x14ac:dyDescent="0.25">
      <c r="A210" s="114"/>
      <c r="B210" s="115">
        <v>0.3674</v>
      </c>
      <c r="C210" s="115">
        <v>0.3674</v>
      </c>
      <c r="D210" s="115">
        <v>0.47449999999999998</v>
      </c>
      <c r="E210" s="115">
        <v>0.4975</v>
      </c>
      <c r="F210" s="115">
        <v>0.62070000000000003</v>
      </c>
      <c r="G210" s="115">
        <f>0.473+0.602</f>
        <v>1.075</v>
      </c>
      <c r="H210" s="115">
        <v>0.63929999999999998</v>
      </c>
      <c r="I210" s="115">
        <v>1.2784</v>
      </c>
      <c r="J210" s="115">
        <v>1.5968</v>
      </c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  <c r="AA210" s="115"/>
      <c r="AB210" s="115"/>
      <c r="AC210" s="115"/>
      <c r="AD210" s="115"/>
      <c r="AE210" s="115"/>
      <c r="AF210" s="115"/>
      <c r="AG210" s="115"/>
      <c r="AH210" s="115"/>
      <c r="AI210" s="116"/>
    </row>
    <row r="211" spans="1:35" s="12" customFormat="1" x14ac:dyDescent="0.25">
      <c r="A211" s="110" t="s">
        <v>42</v>
      </c>
      <c r="B211" s="111" t="s">
        <v>184</v>
      </c>
      <c r="C211" s="111" t="s">
        <v>185</v>
      </c>
      <c r="D211" s="112" t="s">
        <v>186</v>
      </c>
      <c r="E211" s="112" t="s">
        <v>187</v>
      </c>
      <c r="F211" s="112" t="s">
        <v>188</v>
      </c>
      <c r="G211" s="112" t="s">
        <v>190</v>
      </c>
      <c r="H211" s="112" t="s">
        <v>192</v>
      </c>
      <c r="I211" s="112" t="s">
        <v>151</v>
      </c>
      <c r="J211" s="112" t="s">
        <v>195</v>
      </c>
      <c r="K211" s="112" t="s">
        <v>194</v>
      </c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"/>
    </row>
    <row r="212" spans="1:35" s="12" customFormat="1" x14ac:dyDescent="0.25">
      <c r="A212" s="24"/>
      <c r="B212" s="113" t="s">
        <v>103</v>
      </c>
      <c r="C212" s="113" t="s">
        <v>103</v>
      </c>
      <c r="D212" s="113" t="s">
        <v>103</v>
      </c>
      <c r="E212" s="113" t="s">
        <v>103</v>
      </c>
      <c r="F212" s="113" t="s">
        <v>103</v>
      </c>
      <c r="G212" s="113" t="s">
        <v>193</v>
      </c>
      <c r="H212" s="113" t="s">
        <v>193</v>
      </c>
      <c r="I212" s="113" t="s">
        <v>103</v>
      </c>
      <c r="J212" s="113" t="s">
        <v>103</v>
      </c>
      <c r="K212" s="113" t="s">
        <v>103</v>
      </c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"/>
    </row>
    <row r="213" spans="1:35" s="117" customFormat="1" x14ac:dyDescent="0.25">
      <c r="A213" s="114"/>
      <c r="B213" s="115">
        <v>0.36120000000000002</v>
      </c>
      <c r="C213" s="115">
        <v>0.36120000000000002</v>
      </c>
      <c r="D213" s="115">
        <v>0.46439999999999998</v>
      </c>
      <c r="E213" s="115">
        <v>0.47299999999999998</v>
      </c>
      <c r="F213" s="115">
        <v>0.59340000000000004</v>
      </c>
      <c r="G213" s="115">
        <v>0.43859999999999999</v>
      </c>
      <c r="H213" s="115">
        <v>1.24</v>
      </c>
      <c r="I213" s="115">
        <v>0.56830000000000003</v>
      </c>
      <c r="J213" s="115">
        <v>1.1363000000000001</v>
      </c>
      <c r="K213" s="115">
        <v>1.4193</v>
      </c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5"/>
      <c r="AG213" s="115"/>
      <c r="AH213" s="115"/>
      <c r="AI213" s="116"/>
    </row>
    <row r="214" spans="1:35" s="12" customFormat="1" x14ac:dyDescent="0.25">
      <c r="A214" s="110" t="s">
        <v>41</v>
      </c>
      <c r="B214" s="111"/>
      <c r="C214" s="111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"/>
    </row>
    <row r="215" spans="1:35" s="12" customFormat="1" x14ac:dyDescent="0.25">
      <c r="A215" s="24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"/>
    </row>
    <row r="216" spans="1:35" s="117" customFormat="1" x14ac:dyDescent="0.25">
      <c r="A216" s="114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  <c r="AA216" s="115"/>
      <c r="AB216" s="115"/>
      <c r="AC216" s="115"/>
      <c r="AD216" s="115"/>
      <c r="AE216" s="115"/>
      <c r="AF216" s="115"/>
      <c r="AG216" s="115"/>
      <c r="AH216" s="115"/>
      <c r="AI216" s="116"/>
    </row>
    <row r="217" spans="1:35" s="12" customFormat="1" x14ac:dyDescent="0.25">
      <c r="A217" s="110" t="s">
        <v>39</v>
      </c>
      <c r="B217" s="111"/>
      <c r="C217" s="111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"/>
    </row>
    <row r="218" spans="1:35" s="12" customFormat="1" x14ac:dyDescent="0.25">
      <c r="A218" s="24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"/>
    </row>
    <row r="219" spans="1:35" s="117" customFormat="1" x14ac:dyDescent="0.25">
      <c r="A219" s="114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  <c r="AA219" s="115"/>
      <c r="AB219" s="115"/>
      <c r="AC219" s="115"/>
      <c r="AD219" s="115"/>
      <c r="AE219" s="115"/>
      <c r="AF219" s="115"/>
      <c r="AG219" s="115"/>
      <c r="AH219" s="115"/>
      <c r="AI219" s="116"/>
    </row>
    <row r="220" spans="1:35" s="12" customFormat="1" x14ac:dyDescent="0.25">
      <c r="A220" s="110" t="s">
        <v>38</v>
      </c>
      <c r="B220" s="110"/>
      <c r="C220" s="110"/>
      <c r="D220" s="110"/>
      <c r="E220" s="110"/>
      <c r="F220" s="110"/>
      <c r="G220" s="110"/>
      <c r="H220" s="110"/>
      <c r="I220" s="110"/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"/>
    </row>
    <row r="221" spans="1:35" s="12" customFormat="1" x14ac:dyDescent="0.25">
      <c r="A221" s="24"/>
      <c r="B221" s="110"/>
      <c r="C221" s="110"/>
      <c r="D221" s="110"/>
      <c r="E221" s="110"/>
      <c r="F221" s="110"/>
      <c r="G221" s="110"/>
      <c r="H221" s="110"/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"/>
    </row>
    <row r="222" spans="1:35" s="12" customFormat="1" x14ac:dyDescent="0.25">
      <c r="A222" s="24"/>
      <c r="B222" s="110"/>
      <c r="C222" s="110"/>
      <c r="D222" s="110"/>
      <c r="E222" s="110"/>
      <c r="F222" s="110"/>
      <c r="G222" s="110"/>
      <c r="H222" s="110"/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"/>
    </row>
    <row r="223" spans="1:35" s="12" customFormat="1" x14ac:dyDescent="0.25">
      <c r="A223" s="110" t="s">
        <v>37</v>
      </c>
      <c r="B223" s="110"/>
      <c r="C223" s="110"/>
      <c r="D223" s="110"/>
      <c r="E223" s="110"/>
      <c r="F223" s="110"/>
      <c r="G223" s="110"/>
      <c r="H223" s="110"/>
      <c r="I223" s="110"/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"/>
    </row>
    <row r="224" spans="1:35" s="12" customFormat="1" x14ac:dyDescent="0.25">
      <c r="A224" s="24"/>
      <c r="B224" s="110"/>
      <c r="C224" s="110"/>
      <c r="D224" s="110"/>
      <c r="E224" s="110"/>
      <c r="F224" s="110"/>
      <c r="G224" s="110"/>
      <c r="H224" s="110"/>
      <c r="I224" s="110"/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"/>
    </row>
    <row r="225" spans="1:35" s="12" customFormat="1" x14ac:dyDescent="0.25">
      <c r="A225" s="24"/>
      <c r="B225" s="110"/>
      <c r="C225" s="110"/>
      <c r="D225" s="110"/>
      <c r="E225" s="110"/>
      <c r="F225" s="110"/>
      <c r="G225" s="110"/>
      <c r="H225" s="110"/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"/>
    </row>
    <row r="226" spans="1:35" s="12" customFormat="1" x14ac:dyDescent="0.25">
      <c r="A226" s="110" t="s">
        <v>36</v>
      </c>
      <c r="B226" s="110"/>
      <c r="C226" s="110"/>
      <c r="D226" s="110"/>
      <c r="E226" s="110"/>
      <c r="F226" s="110"/>
      <c r="G226" s="110"/>
      <c r="H226" s="110"/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"/>
    </row>
    <row r="227" spans="1:35" s="12" customFormat="1" x14ac:dyDescent="0.25">
      <c r="A227" s="24"/>
      <c r="B227" s="110"/>
      <c r="C227" s="110"/>
      <c r="D227" s="110"/>
      <c r="E227" s="110"/>
      <c r="F227" s="110"/>
      <c r="G227" s="110"/>
      <c r="H227" s="110"/>
      <c r="I227" s="110"/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"/>
    </row>
    <row r="228" spans="1:35" s="12" customFormat="1" x14ac:dyDescent="0.25">
      <c r="A228" s="24"/>
      <c r="B228" s="110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"/>
    </row>
    <row r="229" spans="1:35" s="12" customFormat="1" x14ac:dyDescent="0.25">
      <c r="A229" s="110" t="s">
        <v>35</v>
      </c>
      <c r="B229" s="110"/>
      <c r="C229" s="110"/>
      <c r="D229" s="110"/>
      <c r="E229" s="110"/>
      <c r="F229" s="110"/>
      <c r="G229" s="110"/>
      <c r="H229" s="110"/>
      <c r="I229" s="110"/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"/>
    </row>
    <row r="230" spans="1:35" s="12" customFormat="1" x14ac:dyDescent="0.25">
      <c r="A230" s="24"/>
      <c r="B230" s="110"/>
      <c r="C230" s="110"/>
      <c r="D230" s="110"/>
      <c r="E230" s="110"/>
      <c r="F230" s="110"/>
      <c r="G230" s="110"/>
      <c r="H230" s="110"/>
      <c r="I230" s="110"/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"/>
    </row>
    <row r="231" spans="1:35" s="12" customFormat="1" x14ac:dyDescent="0.25">
      <c r="A231" s="24"/>
      <c r="B231" s="110"/>
      <c r="C231" s="110"/>
      <c r="D231" s="110"/>
      <c r="E231" s="110"/>
      <c r="F231" s="110"/>
      <c r="G231" s="110"/>
      <c r="H231" s="110"/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"/>
    </row>
    <row r="232" spans="1:35" s="12" customFormat="1" x14ac:dyDescent="0.25">
      <c r="A232" s="110" t="s">
        <v>34</v>
      </c>
      <c r="B232" s="110"/>
      <c r="C232" s="110"/>
      <c r="D232" s="110"/>
      <c r="E232" s="110"/>
      <c r="F232" s="110"/>
      <c r="G232" s="110"/>
      <c r="H232" s="110"/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"/>
    </row>
    <row r="233" spans="1:35" s="12" customFormat="1" x14ac:dyDescent="0.25">
      <c r="A233" s="24"/>
      <c r="B233" s="110"/>
      <c r="C233" s="110"/>
      <c r="D233" s="110"/>
      <c r="E233" s="110"/>
      <c r="F233" s="110"/>
      <c r="G233" s="110"/>
      <c r="H233" s="110"/>
      <c r="I233" s="110"/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"/>
    </row>
    <row r="234" spans="1:35" s="12" customFormat="1" x14ac:dyDescent="0.25">
      <c r="A234" s="24"/>
      <c r="B234" s="110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"/>
    </row>
    <row r="235" spans="1:35" s="12" customFormat="1" x14ac:dyDescent="0.25">
      <c r="A235" s="110" t="s">
        <v>33</v>
      </c>
      <c r="B235" s="110"/>
      <c r="C235" s="110"/>
      <c r="D235" s="110"/>
      <c r="E235" s="110"/>
      <c r="F235" s="110"/>
      <c r="G235" s="110"/>
      <c r="H235" s="110"/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"/>
    </row>
    <row r="236" spans="1:35" s="12" customFormat="1" x14ac:dyDescent="0.25">
      <c r="A236" s="24"/>
      <c r="B236" s="110"/>
      <c r="C236" s="110"/>
      <c r="D236" s="110"/>
      <c r="E236" s="110"/>
      <c r="F236" s="110"/>
      <c r="G236" s="110"/>
      <c r="H236" s="110"/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"/>
    </row>
    <row r="237" spans="1:35" s="12" customFormat="1" x14ac:dyDescent="0.25">
      <c r="A237" s="24"/>
      <c r="B237" s="110"/>
      <c r="C237" s="110"/>
      <c r="D237" s="110"/>
      <c r="E237" s="110"/>
      <c r="F237" s="110"/>
      <c r="G237" s="110"/>
      <c r="H237" s="110"/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"/>
    </row>
    <row r="238" spans="1:35" s="12" customFormat="1" x14ac:dyDescent="0.25">
      <c r="A238" s="110" t="s">
        <v>32</v>
      </c>
      <c r="B238" s="110"/>
      <c r="C238" s="110"/>
      <c r="D238" s="110"/>
      <c r="E238" s="110"/>
      <c r="F238" s="110"/>
      <c r="G238" s="110"/>
      <c r="H238" s="110"/>
      <c r="I238" s="110"/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"/>
    </row>
    <row r="239" spans="1:35" s="12" customFormat="1" x14ac:dyDescent="0.25">
      <c r="A239" s="24"/>
      <c r="B239" s="110"/>
      <c r="C239" s="110"/>
      <c r="D239" s="110"/>
      <c r="E239" s="110"/>
      <c r="F239" s="110"/>
      <c r="G239" s="110"/>
      <c r="H239" s="110"/>
      <c r="I239" s="110"/>
      <c r="J239" s="110"/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"/>
    </row>
    <row r="240" spans="1:35" s="12" customFormat="1" x14ac:dyDescent="0.25">
      <c r="A240" s="24"/>
      <c r="B240" s="110"/>
      <c r="C240" s="110"/>
      <c r="D240" s="110"/>
      <c r="E240" s="110"/>
      <c r="F240" s="110"/>
      <c r="G240" s="110"/>
      <c r="H240" s="110"/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"/>
    </row>
    <row r="241" spans="1:35" s="12" customFormat="1" x14ac:dyDescent="0.25">
      <c r="A241" s="110" t="s">
        <v>31</v>
      </c>
      <c r="B241" s="110"/>
      <c r="C241" s="110"/>
      <c r="D241" s="110"/>
      <c r="E241" s="110"/>
      <c r="F241" s="110"/>
      <c r="G241" s="110"/>
      <c r="H241" s="110"/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"/>
    </row>
    <row r="242" spans="1:35" s="12" customFormat="1" x14ac:dyDescent="0.25">
      <c r="A242" s="24"/>
      <c r="B242" s="110"/>
      <c r="C242" s="110"/>
      <c r="D242" s="110"/>
      <c r="E242" s="110"/>
      <c r="F242" s="110"/>
      <c r="G242" s="110"/>
      <c r="H242" s="110"/>
      <c r="I242" s="110"/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"/>
    </row>
    <row r="243" spans="1:35" s="12" customFormat="1" x14ac:dyDescent="0.25">
      <c r="A243" s="24"/>
      <c r="B243" s="110"/>
      <c r="C243" s="110"/>
      <c r="D243" s="110"/>
      <c r="E243" s="110"/>
      <c r="F243" s="110"/>
      <c r="G243" s="110"/>
      <c r="H243" s="110"/>
      <c r="I243" s="110"/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"/>
    </row>
    <row r="244" spans="1:35" s="12" customFormat="1" x14ac:dyDescent="0.25">
      <c r="A244" s="110" t="s">
        <v>30</v>
      </c>
      <c r="B244" s="110"/>
      <c r="C244" s="110"/>
      <c r="D244" s="110"/>
      <c r="E244" s="110"/>
      <c r="F244" s="110"/>
      <c r="G244" s="110"/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"/>
    </row>
    <row r="245" spans="1:35" s="12" customFormat="1" x14ac:dyDescent="0.25">
      <c r="A245" s="24"/>
      <c r="B245" s="110"/>
      <c r="C245" s="110"/>
      <c r="D245" s="110"/>
      <c r="E245" s="110"/>
      <c r="F245" s="110"/>
      <c r="G245" s="110"/>
      <c r="H245" s="110"/>
      <c r="I245" s="110"/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"/>
    </row>
    <row r="246" spans="1:35" s="12" customFormat="1" x14ac:dyDescent="0.25">
      <c r="A246" s="24"/>
      <c r="B246" s="110"/>
      <c r="C246" s="110"/>
      <c r="D246" s="110"/>
      <c r="E246" s="110"/>
      <c r="F246" s="110"/>
      <c r="G246" s="110"/>
      <c r="H246" s="110"/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"/>
    </row>
    <row r="247" spans="1:35" s="12" customFormat="1" x14ac:dyDescent="0.25">
      <c r="A247" s="110" t="s">
        <v>29</v>
      </c>
      <c r="B247" s="110"/>
      <c r="C247" s="110"/>
      <c r="D247" s="110"/>
      <c r="E247" s="110"/>
      <c r="F247" s="110"/>
      <c r="G247" s="110"/>
      <c r="H247" s="110"/>
      <c r="I247" s="110"/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"/>
    </row>
    <row r="248" spans="1:35" s="12" customFormat="1" x14ac:dyDescent="0.25">
      <c r="A248" s="24"/>
      <c r="B248" s="110"/>
      <c r="C248" s="110"/>
      <c r="D248" s="110"/>
      <c r="E248" s="110"/>
      <c r="F248" s="110"/>
      <c r="G248" s="110"/>
      <c r="H248" s="110"/>
      <c r="I248" s="110"/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"/>
    </row>
    <row r="249" spans="1:35" s="12" customFormat="1" x14ac:dyDescent="0.25">
      <c r="A249" s="24"/>
      <c r="B249" s="110"/>
      <c r="C249" s="110"/>
      <c r="D249" s="110"/>
      <c r="E249" s="110"/>
      <c r="F249" s="110"/>
      <c r="G249" s="110"/>
      <c r="H249" s="110"/>
      <c r="I249" s="110"/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  <c r="AA249" s="110"/>
      <c r="AB249" s="110"/>
      <c r="AC249" s="110"/>
      <c r="AD249" s="110"/>
      <c r="AE249" s="110"/>
      <c r="AF249" s="110"/>
      <c r="AG249" s="110"/>
      <c r="AH249" s="110"/>
      <c r="AI249" s="1"/>
    </row>
    <row r="250" spans="1:35" s="12" customFormat="1" x14ac:dyDescent="0.25">
      <c r="A250" s="110" t="s">
        <v>28</v>
      </c>
      <c r="B250" s="110"/>
      <c r="C250" s="110"/>
      <c r="D250" s="110"/>
      <c r="E250" s="110"/>
      <c r="F250" s="110"/>
      <c r="G250" s="110"/>
      <c r="H250" s="110"/>
      <c r="I250" s="110"/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  <c r="AA250" s="110"/>
      <c r="AB250" s="110"/>
      <c r="AC250" s="110"/>
      <c r="AD250" s="110"/>
      <c r="AE250" s="110"/>
      <c r="AF250" s="110"/>
      <c r="AG250" s="110"/>
      <c r="AH250" s="110"/>
      <c r="AI250" s="1"/>
    </row>
    <row r="251" spans="1:35" s="12" customFormat="1" x14ac:dyDescent="0.25">
      <c r="A251" s="24"/>
      <c r="B251" s="110"/>
      <c r="C251" s="110"/>
      <c r="D251" s="110"/>
      <c r="E251" s="110"/>
      <c r="F251" s="110"/>
      <c r="G251" s="110"/>
      <c r="H251" s="110"/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  <c r="AA251" s="110"/>
      <c r="AB251" s="110"/>
      <c r="AC251" s="110"/>
      <c r="AD251" s="110"/>
      <c r="AE251" s="110"/>
      <c r="AF251" s="110"/>
      <c r="AG251" s="110"/>
      <c r="AH251" s="110"/>
      <c r="AI251" s="1"/>
    </row>
    <row r="252" spans="1:35" s="12" customFormat="1" x14ac:dyDescent="0.25">
      <c r="A252" s="24"/>
      <c r="B252" s="110"/>
      <c r="C252" s="110"/>
      <c r="D252" s="110"/>
      <c r="E252" s="110"/>
      <c r="F252" s="110"/>
      <c r="G252" s="110"/>
      <c r="H252" s="110"/>
      <c r="I252" s="110"/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  <c r="AA252" s="110"/>
      <c r="AB252" s="110"/>
      <c r="AC252" s="110"/>
      <c r="AD252" s="110"/>
      <c r="AE252" s="110"/>
      <c r="AF252" s="110"/>
      <c r="AG252" s="110"/>
      <c r="AH252" s="110"/>
      <c r="AI252" s="1"/>
    </row>
    <row r="253" spans="1:35" s="12" customFormat="1" x14ac:dyDescent="0.25">
      <c r="A253" s="110" t="s">
        <v>27</v>
      </c>
      <c r="B253" s="110"/>
      <c r="C253" s="110"/>
      <c r="D253" s="110"/>
      <c r="E253" s="110"/>
      <c r="F253" s="110"/>
      <c r="G253" s="110"/>
      <c r="H253" s="110"/>
      <c r="I253" s="110"/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  <c r="AA253" s="110"/>
      <c r="AB253" s="110"/>
      <c r="AC253" s="110"/>
      <c r="AD253" s="110"/>
      <c r="AE253" s="110"/>
      <c r="AF253" s="110"/>
      <c r="AG253" s="110"/>
      <c r="AH253" s="110"/>
      <c r="AI253" s="1"/>
    </row>
    <row r="254" spans="1:35" s="12" customFormat="1" x14ac:dyDescent="0.25">
      <c r="A254" s="24"/>
      <c r="B254" s="110"/>
      <c r="C254" s="110"/>
      <c r="D254" s="110"/>
      <c r="E254" s="110"/>
      <c r="F254" s="110"/>
      <c r="G254" s="110"/>
      <c r="H254" s="110"/>
      <c r="I254" s="110"/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  <c r="AA254" s="110"/>
      <c r="AB254" s="110"/>
      <c r="AC254" s="110"/>
      <c r="AD254" s="110"/>
      <c r="AE254" s="110"/>
      <c r="AF254" s="110"/>
      <c r="AG254" s="110"/>
      <c r="AH254" s="110"/>
      <c r="AI254" s="1"/>
    </row>
    <row r="255" spans="1:35" s="12" customFormat="1" x14ac:dyDescent="0.25">
      <c r="A255" s="24"/>
      <c r="B255" s="110"/>
      <c r="C255" s="110"/>
      <c r="D255" s="110"/>
      <c r="E255" s="110"/>
      <c r="F255" s="110"/>
      <c r="G255" s="110"/>
      <c r="H255" s="110"/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  <c r="AA255" s="110"/>
      <c r="AB255" s="110"/>
      <c r="AC255" s="110"/>
      <c r="AD255" s="110"/>
      <c r="AE255" s="110"/>
      <c r="AF255" s="110"/>
      <c r="AG255" s="110"/>
      <c r="AH255" s="110"/>
      <c r="AI255" s="1"/>
    </row>
    <row r="256" spans="1:35" s="12" customFormat="1" x14ac:dyDescent="0.25">
      <c r="A256" s="110" t="s">
        <v>26</v>
      </c>
      <c r="B256" s="110"/>
      <c r="C256" s="110"/>
      <c r="D256" s="110"/>
      <c r="E256" s="110"/>
      <c r="F256" s="110"/>
      <c r="G256" s="110"/>
      <c r="H256" s="110"/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  <c r="AA256" s="110"/>
      <c r="AB256" s="110"/>
      <c r="AC256" s="110"/>
      <c r="AD256" s="110"/>
      <c r="AE256" s="110"/>
      <c r="AF256" s="110"/>
      <c r="AG256" s="110"/>
      <c r="AH256" s="110"/>
      <c r="AI256" s="1"/>
    </row>
    <row r="257" spans="1:35" s="12" customFormat="1" x14ac:dyDescent="0.25">
      <c r="A257" s="24"/>
      <c r="B257" s="110"/>
      <c r="C257" s="110"/>
      <c r="D257" s="110"/>
      <c r="E257" s="110"/>
      <c r="F257" s="110"/>
      <c r="G257" s="110"/>
      <c r="H257" s="110"/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  <c r="AA257" s="110"/>
      <c r="AB257" s="110"/>
      <c r="AC257" s="110"/>
      <c r="AD257" s="110"/>
      <c r="AE257" s="110"/>
      <c r="AF257" s="110"/>
      <c r="AG257" s="110"/>
      <c r="AH257" s="110"/>
      <c r="AI257" s="1"/>
    </row>
    <row r="258" spans="1:35" s="12" customFormat="1" x14ac:dyDescent="0.25">
      <c r="A258" s="24"/>
      <c r="B258" s="110"/>
      <c r="C258" s="110"/>
      <c r="D258" s="110"/>
      <c r="E258" s="110"/>
      <c r="F258" s="110"/>
      <c r="G258" s="110"/>
      <c r="H258" s="110"/>
      <c r="I258" s="110"/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  <c r="AA258" s="110"/>
      <c r="AB258" s="110"/>
      <c r="AC258" s="110"/>
      <c r="AD258" s="110"/>
      <c r="AE258" s="110"/>
      <c r="AF258" s="110"/>
      <c r="AG258" s="110"/>
      <c r="AH258" s="110"/>
      <c r="AI258" s="1"/>
    </row>
    <row r="259" spans="1:35" s="12" customFormat="1" x14ac:dyDescent="0.25">
      <c r="A259" s="110" t="s">
        <v>25</v>
      </c>
      <c r="B259" s="110"/>
      <c r="C259" s="110"/>
      <c r="D259" s="110"/>
      <c r="E259" s="110"/>
      <c r="F259" s="110"/>
      <c r="G259" s="110"/>
      <c r="H259" s="110"/>
      <c r="I259" s="110"/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  <c r="AA259" s="110"/>
      <c r="AB259" s="110"/>
      <c r="AC259" s="110"/>
      <c r="AD259" s="110"/>
      <c r="AE259" s="110"/>
      <c r="AF259" s="110"/>
      <c r="AG259" s="110"/>
      <c r="AH259" s="110"/>
      <c r="AI259" s="1"/>
    </row>
    <row r="260" spans="1:35" s="12" customFormat="1" x14ac:dyDescent="0.25">
      <c r="A260" s="24"/>
      <c r="B260" s="110"/>
      <c r="C260" s="110"/>
      <c r="D260" s="110"/>
      <c r="E260" s="110"/>
      <c r="F260" s="110"/>
      <c r="G260" s="110"/>
      <c r="H260" s="110"/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  <c r="AA260" s="110"/>
      <c r="AB260" s="110"/>
      <c r="AC260" s="110"/>
      <c r="AD260" s="110"/>
      <c r="AE260" s="110"/>
      <c r="AF260" s="110"/>
      <c r="AG260" s="110"/>
      <c r="AH260" s="110"/>
      <c r="AI260" s="1"/>
    </row>
    <row r="261" spans="1:35" s="12" customFormat="1" x14ac:dyDescent="0.25">
      <c r="A261" s="24"/>
      <c r="B261" s="110"/>
      <c r="C261" s="110"/>
      <c r="D261" s="110"/>
      <c r="E261" s="110"/>
      <c r="F261" s="110"/>
      <c r="G261" s="110"/>
      <c r="H261" s="110"/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  <c r="AA261" s="110"/>
      <c r="AB261" s="110"/>
      <c r="AC261" s="110"/>
      <c r="AD261" s="110"/>
      <c r="AE261" s="110"/>
      <c r="AF261" s="110"/>
      <c r="AG261" s="110"/>
      <c r="AH261" s="110"/>
      <c r="AI261" s="1"/>
    </row>
    <row r="262" spans="1:35" s="12" customFormat="1" x14ac:dyDescent="0.25">
      <c r="A262" s="110" t="s">
        <v>24</v>
      </c>
      <c r="B262" s="110"/>
      <c r="C262" s="110"/>
      <c r="D262" s="110"/>
      <c r="E262" s="110"/>
      <c r="F262" s="110"/>
      <c r="G262" s="110"/>
      <c r="H262" s="110"/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  <c r="AA262" s="110"/>
      <c r="AB262" s="110"/>
      <c r="AC262" s="110"/>
      <c r="AD262" s="110"/>
      <c r="AE262" s="110"/>
      <c r="AF262" s="110"/>
      <c r="AG262" s="110"/>
      <c r="AH262" s="110"/>
      <c r="AI262" s="1"/>
    </row>
    <row r="263" spans="1:35" s="12" customFormat="1" x14ac:dyDescent="0.25">
      <c r="A263" s="24"/>
      <c r="B263" s="110"/>
      <c r="C263" s="110"/>
      <c r="D263" s="110"/>
      <c r="E263" s="110"/>
      <c r="F263" s="110"/>
      <c r="G263" s="110"/>
      <c r="H263" s="110"/>
      <c r="I263" s="110"/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  <c r="AA263" s="110"/>
      <c r="AB263" s="110"/>
      <c r="AC263" s="110"/>
      <c r="AD263" s="110"/>
      <c r="AE263" s="110"/>
      <c r="AF263" s="110"/>
      <c r="AG263" s="110"/>
      <c r="AH263" s="110"/>
      <c r="AI263" s="1"/>
    </row>
    <row r="264" spans="1:35" s="12" customFormat="1" x14ac:dyDescent="0.25">
      <c r="A264" s="24"/>
      <c r="B264" s="110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0"/>
      <c r="AB264" s="110"/>
      <c r="AC264" s="110"/>
      <c r="AD264" s="110"/>
      <c r="AE264" s="110"/>
      <c r="AF264" s="110"/>
      <c r="AG264" s="110"/>
      <c r="AH264" s="110"/>
      <c r="AI264" s="1"/>
    </row>
    <row r="265" spans="1:35" s="12" customFormat="1" x14ac:dyDescent="0.25">
      <c r="A265" s="110" t="s">
        <v>23</v>
      </c>
      <c r="B265" s="110"/>
      <c r="C265" s="110"/>
      <c r="D265" s="110"/>
      <c r="E265" s="110"/>
      <c r="F265" s="110"/>
      <c r="G265" s="110"/>
      <c r="H265" s="110"/>
      <c r="I265" s="110"/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  <c r="AA265" s="110"/>
      <c r="AB265" s="110"/>
      <c r="AC265" s="110"/>
      <c r="AD265" s="110"/>
      <c r="AE265" s="110"/>
      <c r="AF265" s="110"/>
      <c r="AG265" s="110"/>
      <c r="AH265" s="110"/>
      <c r="AI265" s="1"/>
    </row>
    <row r="266" spans="1:35" s="12" customFormat="1" x14ac:dyDescent="0.25">
      <c r="A266" s="24"/>
      <c r="B266" s="110"/>
      <c r="C266" s="110"/>
      <c r="D266" s="110"/>
      <c r="E266" s="110"/>
      <c r="F266" s="110"/>
      <c r="G266" s="110"/>
      <c r="H266" s="110"/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"/>
    </row>
    <row r="267" spans="1:35" s="12" customFormat="1" x14ac:dyDescent="0.25">
      <c r="A267" s="24"/>
      <c r="B267" s="110"/>
      <c r="C267" s="110"/>
      <c r="D267" s="110"/>
      <c r="E267" s="110"/>
      <c r="F267" s="110"/>
      <c r="G267" s="110"/>
      <c r="H267" s="110"/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  <c r="AA267" s="110"/>
      <c r="AB267" s="110"/>
      <c r="AC267" s="110"/>
      <c r="AD267" s="110"/>
      <c r="AE267" s="110"/>
      <c r="AF267" s="110"/>
      <c r="AG267" s="110"/>
      <c r="AH267" s="110"/>
      <c r="AI267" s="1"/>
    </row>
    <row r="268" spans="1:35" s="12" customFormat="1" x14ac:dyDescent="0.25">
      <c r="A268" s="110" t="s">
        <v>21</v>
      </c>
      <c r="B268" s="110"/>
      <c r="C268" s="110"/>
      <c r="D268" s="110"/>
      <c r="E268" s="110"/>
      <c r="F268" s="110"/>
      <c r="G268" s="110"/>
      <c r="H268" s="110"/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  <c r="AA268" s="110"/>
      <c r="AB268" s="110"/>
      <c r="AC268" s="110"/>
      <c r="AD268" s="110"/>
      <c r="AE268" s="110"/>
      <c r="AF268" s="110"/>
      <c r="AG268" s="110"/>
      <c r="AH268" s="110"/>
      <c r="AI268" s="1"/>
    </row>
    <row r="269" spans="1:35" s="12" customFormat="1" x14ac:dyDescent="0.25">
      <c r="A269" s="24"/>
      <c r="B269" s="110"/>
      <c r="C269" s="110"/>
      <c r="D269" s="110"/>
      <c r="E269" s="110"/>
      <c r="F269" s="110"/>
      <c r="G269" s="110"/>
      <c r="H269" s="110"/>
      <c r="I269" s="110"/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  <c r="AA269" s="110"/>
      <c r="AB269" s="110"/>
      <c r="AC269" s="110"/>
      <c r="AD269" s="110"/>
      <c r="AE269" s="110"/>
      <c r="AF269" s="110"/>
      <c r="AG269" s="110"/>
      <c r="AH269" s="110"/>
      <c r="AI269" s="1"/>
    </row>
    <row r="270" spans="1:35" s="12" customFormat="1" x14ac:dyDescent="0.25">
      <c r="A270" s="24"/>
      <c r="B270" s="110"/>
      <c r="C270" s="110"/>
      <c r="D270" s="110"/>
      <c r="E270" s="110"/>
      <c r="F270" s="110"/>
      <c r="G270" s="110"/>
      <c r="H270" s="110"/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  <c r="AA270" s="110"/>
      <c r="AB270" s="110"/>
      <c r="AC270" s="110"/>
      <c r="AD270" s="110"/>
      <c r="AE270" s="110"/>
      <c r="AF270" s="110"/>
      <c r="AG270" s="110"/>
      <c r="AH270" s="110"/>
      <c r="AI270" s="1"/>
    </row>
    <row r="271" spans="1:35" s="12" customFormat="1" x14ac:dyDescent="0.25">
      <c r="A271" s="110" t="s">
        <v>19</v>
      </c>
      <c r="B271" s="110"/>
      <c r="C271" s="110"/>
      <c r="D271" s="110"/>
      <c r="E271" s="110"/>
      <c r="F271" s="110"/>
      <c r="G271" s="110"/>
      <c r="H271" s="110"/>
      <c r="I271" s="110"/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  <c r="AA271" s="110"/>
      <c r="AB271" s="110"/>
      <c r="AC271" s="110"/>
      <c r="AD271" s="110"/>
      <c r="AE271" s="110"/>
      <c r="AF271" s="110"/>
      <c r="AG271" s="110"/>
      <c r="AH271" s="110"/>
      <c r="AI271" s="1"/>
    </row>
    <row r="272" spans="1:35" s="12" customFormat="1" x14ac:dyDescent="0.25">
      <c r="A272" s="24"/>
      <c r="B272" s="110"/>
      <c r="C272" s="110"/>
      <c r="D272" s="110"/>
      <c r="E272" s="110"/>
      <c r="F272" s="110"/>
      <c r="G272" s="110"/>
      <c r="H272" s="110"/>
      <c r="I272" s="110"/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  <c r="AA272" s="110"/>
      <c r="AB272" s="110"/>
      <c r="AC272" s="110"/>
      <c r="AD272" s="110"/>
      <c r="AE272" s="110"/>
      <c r="AF272" s="110"/>
      <c r="AG272" s="110"/>
      <c r="AH272" s="110"/>
      <c r="AI272" s="1"/>
    </row>
    <row r="273" spans="1:35" s="12" customFormat="1" x14ac:dyDescent="0.25">
      <c r="A273" s="24"/>
      <c r="B273" s="110"/>
      <c r="C273" s="110"/>
      <c r="D273" s="110"/>
      <c r="E273" s="110"/>
      <c r="F273" s="110"/>
      <c r="G273" s="110"/>
      <c r="H273" s="110"/>
      <c r="I273" s="110"/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  <c r="AA273" s="110"/>
      <c r="AB273" s="110"/>
      <c r="AC273" s="110"/>
      <c r="AD273" s="110"/>
      <c r="AE273" s="110"/>
      <c r="AF273" s="110"/>
      <c r="AG273" s="110"/>
      <c r="AH273" s="110"/>
      <c r="AI273" s="1"/>
    </row>
    <row r="274" spans="1:35" s="12" customFormat="1" x14ac:dyDescent="0.25">
      <c r="A274" s="110" t="s">
        <v>17</v>
      </c>
      <c r="B274" s="110"/>
      <c r="C274" s="110"/>
      <c r="D274" s="110"/>
      <c r="E274" s="110"/>
      <c r="F274" s="110"/>
      <c r="G274" s="110"/>
      <c r="H274" s="110"/>
      <c r="I274" s="110"/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  <c r="AA274" s="110"/>
      <c r="AB274" s="110"/>
      <c r="AC274" s="110"/>
      <c r="AD274" s="110"/>
      <c r="AE274" s="110"/>
      <c r="AF274" s="110"/>
      <c r="AG274" s="110"/>
      <c r="AH274" s="110"/>
      <c r="AI274" s="1"/>
    </row>
    <row r="275" spans="1:35" s="12" customFormat="1" x14ac:dyDescent="0.25">
      <c r="A275" s="24"/>
      <c r="B275" s="110"/>
      <c r="C275" s="110"/>
      <c r="D275" s="110"/>
      <c r="E275" s="110"/>
      <c r="F275" s="110"/>
      <c r="G275" s="110"/>
      <c r="H275" s="110"/>
      <c r="I275" s="110"/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  <c r="AA275" s="110"/>
      <c r="AB275" s="110"/>
      <c r="AC275" s="110"/>
      <c r="AD275" s="110"/>
      <c r="AE275" s="110"/>
      <c r="AF275" s="110"/>
      <c r="AG275" s="110"/>
      <c r="AH275" s="110"/>
      <c r="AI275" s="1"/>
    </row>
    <row r="276" spans="1:35" s="12" customFormat="1" x14ac:dyDescent="0.25">
      <c r="A276" s="24"/>
      <c r="B276" s="110"/>
      <c r="C276" s="110"/>
      <c r="D276" s="110"/>
      <c r="E276" s="110"/>
      <c r="F276" s="110"/>
      <c r="G276" s="110"/>
      <c r="H276" s="110"/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  <c r="AA276" s="110"/>
      <c r="AB276" s="110"/>
      <c r="AC276" s="110"/>
      <c r="AD276" s="110"/>
      <c r="AE276" s="110"/>
      <c r="AF276" s="110"/>
      <c r="AG276" s="110"/>
      <c r="AH276" s="110"/>
      <c r="AI276" s="1"/>
    </row>
    <row r="277" spans="1:35" s="12" customFormat="1" x14ac:dyDescent="0.25">
      <c r="A277" s="110" t="s">
        <v>16</v>
      </c>
      <c r="B277" s="110"/>
      <c r="C277" s="110"/>
      <c r="D277" s="110"/>
      <c r="E277" s="110"/>
      <c r="F277" s="110"/>
      <c r="G277" s="110"/>
      <c r="H277" s="110"/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  <c r="AA277" s="110"/>
      <c r="AB277" s="110"/>
      <c r="AC277" s="110"/>
      <c r="AD277" s="110"/>
      <c r="AE277" s="110"/>
      <c r="AF277" s="110"/>
      <c r="AG277" s="110"/>
      <c r="AH277" s="110"/>
      <c r="AI277" s="1"/>
    </row>
    <row r="278" spans="1:35" s="12" customFormat="1" x14ac:dyDescent="0.25">
      <c r="A278" s="24"/>
      <c r="B278" s="110"/>
      <c r="C278" s="110"/>
      <c r="D278" s="110"/>
      <c r="E278" s="110"/>
      <c r="F278" s="110"/>
      <c r="G278" s="110"/>
      <c r="H278" s="110"/>
      <c r="I278" s="110"/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  <c r="AA278" s="110"/>
      <c r="AB278" s="110"/>
      <c r="AC278" s="110"/>
      <c r="AD278" s="110"/>
      <c r="AE278" s="110"/>
      <c r="AF278" s="110"/>
      <c r="AG278" s="110"/>
      <c r="AH278" s="110"/>
      <c r="AI278" s="1"/>
    </row>
    <row r="279" spans="1:35" s="12" customFormat="1" x14ac:dyDescent="0.25">
      <c r="A279" s="24"/>
      <c r="B279" s="110"/>
      <c r="C279" s="110"/>
      <c r="D279" s="110"/>
      <c r="E279" s="110"/>
      <c r="F279" s="110"/>
      <c r="G279" s="110"/>
      <c r="H279" s="110"/>
      <c r="I279" s="110"/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  <c r="AA279" s="110"/>
      <c r="AB279" s="110"/>
      <c r="AC279" s="110"/>
      <c r="AD279" s="110"/>
      <c r="AE279" s="110"/>
      <c r="AF279" s="110"/>
      <c r="AG279" s="110"/>
      <c r="AH279" s="110"/>
      <c r="AI279" s="1"/>
    </row>
    <row r="280" spans="1:35" s="12" customFormat="1" x14ac:dyDescent="0.25">
      <c r="A280" s="110" t="s">
        <v>15</v>
      </c>
      <c r="B280" s="110"/>
      <c r="C280" s="110"/>
      <c r="D280" s="110"/>
      <c r="E280" s="110"/>
      <c r="F280" s="110"/>
      <c r="G280" s="110"/>
      <c r="H280" s="110"/>
      <c r="I280" s="110"/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  <c r="AA280" s="110"/>
      <c r="AB280" s="110"/>
      <c r="AC280" s="110"/>
      <c r="AD280" s="110"/>
      <c r="AE280" s="110"/>
      <c r="AF280" s="110"/>
      <c r="AG280" s="110"/>
      <c r="AH280" s="110"/>
      <c r="AI280" s="1"/>
    </row>
    <row r="281" spans="1:35" s="12" customFormat="1" x14ac:dyDescent="0.25">
      <c r="A281" s="24"/>
      <c r="B281" s="110"/>
      <c r="C281" s="110"/>
      <c r="D281" s="110"/>
      <c r="E281" s="110"/>
      <c r="F281" s="110"/>
      <c r="G281" s="110"/>
      <c r="H281" s="110"/>
      <c r="I281" s="110"/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  <c r="AA281" s="110"/>
      <c r="AB281" s="110"/>
      <c r="AC281" s="110"/>
      <c r="AD281" s="110"/>
      <c r="AE281" s="110"/>
      <c r="AF281" s="110"/>
      <c r="AG281" s="110"/>
      <c r="AH281" s="110"/>
      <c r="AI281" s="1"/>
    </row>
    <row r="282" spans="1:35" s="12" customFormat="1" x14ac:dyDescent="0.25">
      <c r="A282" s="24"/>
      <c r="B282" s="110"/>
      <c r="C282" s="110"/>
      <c r="D282" s="110"/>
      <c r="E282" s="110"/>
      <c r="F282" s="110"/>
      <c r="G282" s="110"/>
      <c r="H282" s="110"/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  <c r="AA282" s="110"/>
      <c r="AB282" s="110"/>
      <c r="AC282" s="110"/>
      <c r="AD282" s="110"/>
      <c r="AE282" s="110"/>
      <c r="AF282" s="110"/>
      <c r="AG282" s="110"/>
      <c r="AH282" s="110"/>
      <c r="AI282" s="1"/>
    </row>
    <row r="283" spans="1:35" s="12" customFormat="1" x14ac:dyDescent="0.25">
      <c r="A283" s="110" t="s">
        <v>14</v>
      </c>
      <c r="B283" s="110"/>
      <c r="C283" s="110"/>
      <c r="D283" s="110"/>
      <c r="E283" s="110"/>
      <c r="F283" s="110"/>
      <c r="G283" s="110"/>
      <c r="H283" s="110"/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  <c r="AA283" s="110"/>
      <c r="AB283" s="110"/>
      <c r="AC283" s="110"/>
      <c r="AD283" s="110"/>
      <c r="AE283" s="110"/>
      <c r="AF283" s="110"/>
      <c r="AG283" s="110"/>
      <c r="AH283" s="110"/>
      <c r="AI283" s="1"/>
    </row>
    <row r="284" spans="1:35" s="12" customFormat="1" x14ac:dyDescent="0.25">
      <c r="A284" s="24"/>
      <c r="B284" s="110"/>
      <c r="C284" s="110"/>
      <c r="D284" s="110"/>
      <c r="E284" s="110"/>
      <c r="F284" s="110"/>
      <c r="G284" s="110"/>
      <c r="H284" s="110"/>
      <c r="I284" s="110"/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  <c r="AA284" s="110"/>
      <c r="AB284" s="110"/>
      <c r="AC284" s="110"/>
      <c r="AD284" s="110"/>
      <c r="AE284" s="110"/>
      <c r="AF284" s="110"/>
      <c r="AG284" s="110"/>
      <c r="AH284" s="110"/>
      <c r="AI284" s="1"/>
    </row>
    <row r="285" spans="1:35" s="12" customFormat="1" x14ac:dyDescent="0.25">
      <c r="A285" s="24"/>
      <c r="B285" s="110"/>
      <c r="C285" s="110"/>
      <c r="D285" s="110"/>
      <c r="E285" s="110"/>
      <c r="F285" s="110"/>
      <c r="G285" s="110"/>
      <c r="H285" s="110"/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  <c r="AA285" s="110"/>
      <c r="AB285" s="110"/>
      <c r="AC285" s="110"/>
      <c r="AD285" s="110"/>
      <c r="AE285" s="110"/>
      <c r="AF285" s="110"/>
      <c r="AG285" s="110"/>
      <c r="AH285" s="110"/>
      <c r="AI285" s="1"/>
    </row>
    <row r="286" spans="1:35" s="12" customFormat="1" x14ac:dyDescent="0.25">
      <c r="A286" s="110" t="s">
        <v>13</v>
      </c>
      <c r="B286" s="110"/>
      <c r="C286" s="110"/>
      <c r="D286" s="110"/>
      <c r="E286" s="110"/>
      <c r="F286" s="110"/>
      <c r="G286" s="110"/>
      <c r="H286" s="110"/>
      <c r="I286" s="110"/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  <c r="AA286" s="110"/>
      <c r="AB286" s="110"/>
      <c r="AC286" s="110"/>
      <c r="AD286" s="110"/>
      <c r="AE286" s="110"/>
      <c r="AF286" s="110"/>
      <c r="AG286" s="110"/>
      <c r="AH286" s="110"/>
      <c r="AI286" s="1"/>
    </row>
    <row r="287" spans="1:35" s="12" customFormat="1" x14ac:dyDescent="0.25">
      <c r="A287" s="24"/>
      <c r="B287" s="110"/>
      <c r="C287" s="110"/>
      <c r="D287" s="110"/>
      <c r="E287" s="110"/>
      <c r="F287" s="110"/>
      <c r="G287" s="110"/>
      <c r="H287" s="110"/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  <c r="AA287" s="110"/>
      <c r="AB287" s="110"/>
      <c r="AC287" s="110"/>
      <c r="AD287" s="110"/>
      <c r="AE287" s="110"/>
      <c r="AF287" s="110"/>
      <c r="AG287" s="110"/>
      <c r="AH287" s="110"/>
      <c r="AI287" s="1"/>
    </row>
    <row r="288" spans="1:35" s="12" customFormat="1" x14ac:dyDescent="0.25">
      <c r="A288" s="24"/>
      <c r="B288" s="110"/>
      <c r="C288" s="110"/>
      <c r="D288" s="110"/>
      <c r="E288" s="110"/>
      <c r="F288" s="110"/>
      <c r="G288" s="110"/>
      <c r="H288" s="110"/>
      <c r="I288" s="110"/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  <c r="AA288" s="110"/>
      <c r="AB288" s="110"/>
      <c r="AC288" s="110"/>
      <c r="AD288" s="110"/>
      <c r="AE288" s="110"/>
      <c r="AF288" s="110"/>
      <c r="AG288" s="110"/>
      <c r="AH288" s="110"/>
      <c r="AI288" s="1"/>
    </row>
    <row r="289" spans="1:35" s="12" customFormat="1" x14ac:dyDescent="0.25">
      <c r="A289" s="24" t="s">
        <v>189</v>
      </c>
      <c r="B289" s="110"/>
      <c r="C289" s="110"/>
      <c r="D289" s="110"/>
      <c r="E289" s="110"/>
      <c r="F289" s="110"/>
      <c r="G289" s="110"/>
      <c r="H289" s="110"/>
      <c r="I289" s="110"/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  <c r="AA289" s="110"/>
      <c r="AB289" s="110"/>
      <c r="AC289" s="110"/>
      <c r="AD289" s="110"/>
      <c r="AE289" s="110"/>
      <c r="AF289" s="110"/>
      <c r="AG289" s="110"/>
      <c r="AH289" s="110"/>
      <c r="AI289" s="1"/>
    </row>
    <row r="290" spans="1:35" s="12" customFormat="1" x14ac:dyDescent="0.25">
      <c r="A290" s="24"/>
      <c r="B290" s="110"/>
      <c r="C290" s="110"/>
      <c r="D290" s="110"/>
      <c r="E290" s="110"/>
      <c r="F290" s="110"/>
      <c r="G290" s="110"/>
      <c r="H290" s="110"/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  <c r="AA290" s="110"/>
      <c r="AB290" s="110"/>
      <c r="AC290" s="110"/>
      <c r="AD290" s="110"/>
      <c r="AE290" s="110"/>
      <c r="AF290" s="110"/>
      <c r="AG290" s="110"/>
      <c r="AH290" s="110"/>
      <c r="AI290" s="1"/>
    </row>
    <row r="291" spans="1:35" s="12" customFormat="1" x14ac:dyDescent="0.25">
      <c r="A291" s="24"/>
      <c r="B291" s="110"/>
      <c r="C291" s="110"/>
      <c r="D291" s="110"/>
      <c r="E291" s="110"/>
      <c r="F291" s="110"/>
      <c r="G291" s="110"/>
      <c r="H291" s="110"/>
      <c r="I291" s="110"/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  <c r="AA291" s="110"/>
      <c r="AB291" s="110"/>
      <c r="AC291" s="110"/>
      <c r="AD291" s="110"/>
      <c r="AE291" s="110"/>
      <c r="AF291" s="110"/>
      <c r="AG291" s="110"/>
      <c r="AH291" s="110"/>
      <c r="AI291" s="1"/>
    </row>
    <row r="292" spans="1:35" s="12" customFormat="1" x14ac:dyDescent="0.25">
      <c r="A292" s="110" t="s">
        <v>12</v>
      </c>
      <c r="B292" s="110"/>
      <c r="C292" s="110"/>
      <c r="D292" s="110"/>
      <c r="E292" s="110"/>
      <c r="F292" s="110"/>
      <c r="G292" s="110"/>
      <c r="H292" s="110"/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  <c r="AA292" s="110"/>
      <c r="AB292" s="110"/>
      <c r="AC292" s="110"/>
      <c r="AD292" s="110"/>
      <c r="AE292" s="110"/>
      <c r="AF292" s="110"/>
      <c r="AG292" s="110"/>
      <c r="AH292" s="110"/>
      <c r="AI292" s="1"/>
    </row>
    <row r="293" spans="1:35" s="12" customFormat="1" x14ac:dyDescent="0.25">
      <c r="A293" s="24"/>
      <c r="B293" s="110"/>
      <c r="C293" s="110"/>
      <c r="D293" s="110"/>
      <c r="E293" s="110"/>
      <c r="F293" s="110"/>
      <c r="G293" s="110"/>
      <c r="H293" s="110"/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  <c r="AA293" s="110"/>
      <c r="AB293" s="110"/>
      <c r="AC293" s="110"/>
      <c r="AD293" s="110"/>
      <c r="AE293" s="110"/>
      <c r="AF293" s="110"/>
      <c r="AG293" s="110"/>
      <c r="AH293" s="110"/>
      <c r="AI293" s="1"/>
    </row>
    <row r="294" spans="1:35" s="12" customFormat="1" x14ac:dyDescent="0.25">
      <c r="A294" s="24"/>
      <c r="B294" s="110"/>
      <c r="C294" s="110"/>
      <c r="D294" s="110"/>
      <c r="E294" s="110"/>
      <c r="F294" s="110"/>
      <c r="G294" s="110"/>
      <c r="H294" s="110"/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  <c r="AA294" s="110"/>
      <c r="AB294" s="110"/>
      <c r="AC294" s="110"/>
      <c r="AD294" s="110"/>
      <c r="AE294" s="110"/>
      <c r="AF294" s="110"/>
      <c r="AG294" s="110"/>
      <c r="AH294" s="110"/>
      <c r="AI294" s="1"/>
    </row>
    <row r="295" spans="1:35" s="12" customFormat="1" x14ac:dyDescent="0.25">
      <c r="A295" s="110" t="s">
        <v>10</v>
      </c>
      <c r="B295" s="110"/>
      <c r="C295" s="110"/>
      <c r="D295" s="110"/>
      <c r="E295" s="110"/>
      <c r="F295" s="110"/>
      <c r="G295" s="110"/>
      <c r="H295" s="110"/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  <c r="AA295" s="110"/>
      <c r="AB295" s="110"/>
      <c r="AC295" s="110"/>
      <c r="AD295" s="110"/>
      <c r="AE295" s="110"/>
      <c r="AF295" s="110"/>
      <c r="AG295" s="110"/>
      <c r="AH295" s="110"/>
      <c r="AI295" s="1"/>
    </row>
    <row r="296" spans="1:35" s="12" customFormat="1" x14ac:dyDescent="0.25">
      <c r="A296" s="24"/>
      <c r="B296" s="110"/>
      <c r="C296" s="110"/>
      <c r="D296" s="110"/>
      <c r="E296" s="110"/>
      <c r="F296" s="110"/>
      <c r="G296" s="110"/>
      <c r="H296" s="110"/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  <c r="AA296" s="110"/>
      <c r="AB296" s="110"/>
      <c r="AC296" s="110"/>
      <c r="AD296" s="110"/>
      <c r="AE296" s="110"/>
      <c r="AF296" s="110"/>
      <c r="AG296" s="110"/>
      <c r="AH296" s="110"/>
      <c r="AI296" s="1"/>
    </row>
    <row r="297" spans="1:35" s="12" customFormat="1" x14ac:dyDescent="0.25">
      <c r="A297" s="24"/>
      <c r="B297" s="110"/>
      <c r="C297" s="110"/>
      <c r="D297" s="110"/>
      <c r="E297" s="110"/>
      <c r="F297" s="110"/>
      <c r="G297" s="110"/>
      <c r="H297" s="110"/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  <c r="AA297" s="110"/>
      <c r="AB297" s="110"/>
      <c r="AC297" s="110"/>
      <c r="AD297" s="110"/>
      <c r="AE297" s="110"/>
      <c r="AF297" s="110"/>
      <c r="AG297" s="110"/>
      <c r="AH297" s="110"/>
      <c r="AI297" s="1"/>
    </row>
    <row r="298" spans="1:35" s="12" customFormat="1" x14ac:dyDescent="0.25">
      <c r="A298" s="110" t="s">
        <v>9</v>
      </c>
      <c r="B298" s="110"/>
      <c r="C298" s="110"/>
      <c r="D298" s="110"/>
      <c r="E298" s="110"/>
      <c r="F298" s="110"/>
      <c r="G298" s="110"/>
      <c r="H298" s="110"/>
      <c r="I298" s="110"/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  <c r="AA298" s="110"/>
      <c r="AB298" s="110"/>
      <c r="AC298" s="110"/>
      <c r="AD298" s="110"/>
      <c r="AE298" s="110"/>
      <c r="AF298" s="110"/>
      <c r="AG298" s="110"/>
      <c r="AH298" s="110"/>
      <c r="AI298" s="1"/>
    </row>
    <row r="299" spans="1:35" s="12" customFormat="1" x14ac:dyDescent="0.25">
      <c r="A299" s="24"/>
      <c r="B299" s="110"/>
      <c r="C299" s="110"/>
      <c r="D299" s="110"/>
      <c r="E299" s="110"/>
      <c r="F299" s="110"/>
      <c r="G299" s="110"/>
      <c r="H299" s="110"/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  <c r="AA299" s="110"/>
      <c r="AB299" s="110"/>
      <c r="AC299" s="110"/>
      <c r="AD299" s="110"/>
      <c r="AE299" s="110"/>
      <c r="AF299" s="110"/>
      <c r="AG299" s="110"/>
      <c r="AH299" s="110"/>
      <c r="AI299" s="1"/>
    </row>
    <row r="300" spans="1:35" s="12" customFormat="1" x14ac:dyDescent="0.25">
      <c r="A300" s="24"/>
      <c r="B300" s="110"/>
      <c r="C300" s="110"/>
      <c r="D300" s="110"/>
      <c r="E300" s="110"/>
      <c r="F300" s="110"/>
      <c r="G300" s="110"/>
      <c r="H300" s="110"/>
      <c r="I300" s="110"/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  <c r="AA300" s="110"/>
      <c r="AB300" s="110"/>
      <c r="AC300" s="110"/>
      <c r="AD300" s="110"/>
      <c r="AE300" s="110"/>
      <c r="AF300" s="110"/>
      <c r="AG300" s="110"/>
      <c r="AH300" s="110"/>
      <c r="AI300" s="1"/>
    </row>
    <row r="301" spans="1:35" s="12" customFormat="1" x14ac:dyDescent="0.25">
      <c r="A301" s="110" t="s">
        <v>8</v>
      </c>
      <c r="B301" s="110"/>
      <c r="C301" s="110"/>
      <c r="D301" s="110"/>
      <c r="E301" s="110"/>
      <c r="F301" s="110"/>
      <c r="G301" s="110"/>
      <c r="H301" s="110"/>
      <c r="I301" s="110"/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  <c r="AA301" s="110"/>
      <c r="AB301" s="110"/>
      <c r="AC301" s="110"/>
      <c r="AD301" s="110"/>
      <c r="AE301" s="110"/>
      <c r="AF301" s="110"/>
      <c r="AG301" s="110"/>
      <c r="AH301" s="110"/>
      <c r="AI301" s="1"/>
    </row>
    <row r="302" spans="1:35" s="12" customFormat="1" x14ac:dyDescent="0.25">
      <c r="A302" s="24"/>
      <c r="B302" s="110"/>
      <c r="C302" s="110"/>
      <c r="D302" s="110"/>
      <c r="E302" s="110"/>
      <c r="F302" s="110"/>
      <c r="G302" s="110"/>
      <c r="H302" s="110"/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  <c r="AA302" s="110"/>
      <c r="AB302" s="110"/>
      <c r="AC302" s="110"/>
      <c r="AD302" s="110"/>
      <c r="AE302" s="110"/>
      <c r="AF302" s="110"/>
      <c r="AG302" s="110"/>
      <c r="AH302" s="110"/>
      <c r="AI302" s="1"/>
    </row>
    <row r="303" spans="1:35" s="12" customFormat="1" x14ac:dyDescent="0.25">
      <c r="A303" s="24"/>
      <c r="B303" s="110"/>
      <c r="C303" s="110"/>
      <c r="D303" s="110"/>
      <c r="E303" s="110"/>
      <c r="F303" s="110"/>
      <c r="G303" s="110"/>
      <c r="H303" s="110"/>
      <c r="I303" s="110"/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  <c r="AA303" s="110"/>
      <c r="AB303" s="110"/>
      <c r="AC303" s="110"/>
      <c r="AD303" s="110"/>
      <c r="AE303" s="110"/>
      <c r="AF303" s="110"/>
      <c r="AG303" s="110"/>
      <c r="AH303" s="110"/>
      <c r="AI303" s="1"/>
    </row>
    <row r="304" spans="1:35" s="12" customFormat="1" x14ac:dyDescent="0.25">
      <c r="A304" s="110" t="s">
        <v>7</v>
      </c>
      <c r="B304" s="110"/>
      <c r="C304" s="110"/>
      <c r="D304" s="110"/>
      <c r="E304" s="110"/>
      <c r="F304" s="110"/>
      <c r="G304" s="110"/>
      <c r="H304" s="110"/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  <c r="AA304" s="110"/>
      <c r="AB304" s="110"/>
      <c r="AC304" s="110"/>
      <c r="AD304" s="110"/>
      <c r="AE304" s="110"/>
      <c r="AF304" s="110"/>
      <c r="AG304" s="110"/>
      <c r="AH304" s="110"/>
      <c r="AI304" s="1"/>
    </row>
    <row r="305" spans="1:35" s="12" customFormat="1" x14ac:dyDescent="0.25">
      <c r="A305" s="24"/>
      <c r="B305" s="110"/>
      <c r="C305" s="110"/>
      <c r="D305" s="110"/>
      <c r="E305" s="110"/>
      <c r="F305" s="110"/>
      <c r="G305" s="110"/>
      <c r="H305" s="110"/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  <c r="AA305" s="110"/>
      <c r="AB305" s="110"/>
      <c r="AC305" s="110"/>
      <c r="AD305" s="110"/>
      <c r="AE305" s="110"/>
      <c r="AF305" s="110"/>
      <c r="AG305" s="110"/>
      <c r="AH305" s="110"/>
      <c r="AI305" s="1"/>
    </row>
    <row r="306" spans="1:35" s="12" customFormat="1" x14ac:dyDescent="0.25">
      <c r="A306" s="24"/>
      <c r="B306" s="110"/>
      <c r="C306" s="110"/>
      <c r="D306" s="110"/>
      <c r="E306" s="110"/>
      <c r="F306" s="110"/>
      <c r="G306" s="110"/>
      <c r="H306" s="110"/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  <c r="AA306" s="110"/>
      <c r="AB306" s="110"/>
      <c r="AC306" s="110"/>
      <c r="AD306" s="110"/>
      <c r="AE306" s="110"/>
      <c r="AF306" s="110"/>
      <c r="AG306" s="110"/>
      <c r="AH306" s="110"/>
      <c r="AI306" s="1"/>
    </row>
    <row r="307" spans="1:35" s="12" customFormat="1" x14ac:dyDescent="0.25">
      <c r="A307" s="110" t="s">
        <v>6</v>
      </c>
      <c r="B307" s="110"/>
      <c r="C307" s="110"/>
      <c r="D307" s="110"/>
      <c r="E307" s="110"/>
      <c r="F307" s="110"/>
      <c r="G307" s="110"/>
      <c r="H307" s="110"/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  <c r="AA307" s="110"/>
      <c r="AB307" s="110"/>
      <c r="AC307" s="110"/>
      <c r="AD307" s="110"/>
      <c r="AE307" s="110"/>
      <c r="AF307" s="110"/>
      <c r="AG307" s="110"/>
      <c r="AH307" s="110"/>
      <c r="AI307" s="1"/>
    </row>
    <row r="308" spans="1:35" s="12" customFormat="1" x14ac:dyDescent="0.25">
      <c r="A308" s="24"/>
      <c r="B308" s="110"/>
      <c r="C308" s="110"/>
      <c r="D308" s="110"/>
      <c r="E308" s="110"/>
      <c r="F308" s="110"/>
      <c r="G308" s="110"/>
      <c r="H308" s="110"/>
      <c r="I308" s="110"/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  <c r="AA308" s="110"/>
      <c r="AB308" s="110"/>
      <c r="AC308" s="110"/>
      <c r="AD308" s="110"/>
      <c r="AE308" s="110"/>
      <c r="AF308" s="110"/>
      <c r="AG308" s="110"/>
      <c r="AH308" s="110"/>
      <c r="AI308" s="1"/>
    </row>
    <row r="309" spans="1:35" s="12" customFormat="1" x14ac:dyDescent="0.25">
      <c r="A309" s="24"/>
      <c r="B309" s="110"/>
      <c r="C309" s="110"/>
      <c r="D309" s="110"/>
      <c r="E309" s="110"/>
      <c r="F309" s="110"/>
      <c r="G309" s="110"/>
      <c r="H309" s="110"/>
      <c r="I309" s="110"/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  <c r="AA309" s="110"/>
      <c r="AB309" s="110"/>
      <c r="AC309" s="110"/>
      <c r="AD309" s="110"/>
      <c r="AE309" s="110"/>
      <c r="AF309" s="110"/>
      <c r="AG309" s="110"/>
      <c r="AH309" s="110"/>
      <c r="AI309" s="1"/>
    </row>
    <row r="310" spans="1:35" s="12" customFormat="1" x14ac:dyDescent="0.25">
      <c r="A310" s="110" t="s">
        <v>65</v>
      </c>
      <c r="B310" s="110"/>
      <c r="C310" s="110"/>
      <c r="D310" s="110"/>
      <c r="E310" s="110"/>
      <c r="F310" s="110"/>
      <c r="G310" s="110"/>
      <c r="H310" s="110"/>
      <c r="I310" s="110"/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  <c r="AA310" s="110"/>
      <c r="AB310" s="110"/>
      <c r="AC310" s="110"/>
      <c r="AD310" s="110"/>
      <c r="AE310" s="110"/>
      <c r="AF310" s="110"/>
      <c r="AG310" s="110"/>
      <c r="AH310" s="110"/>
      <c r="AI310" s="1"/>
    </row>
    <row r="311" spans="1:35" s="12" customFormat="1" x14ac:dyDescent="0.25">
      <c r="A311" s="24"/>
      <c r="B311" s="110"/>
      <c r="C311" s="110"/>
      <c r="D311" s="110"/>
      <c r="E311" s="110"/>
      <c r="F311" s="110"/>
      <c r="G311" s="110"/>
      <c r="H311" s="110"/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  <c r="AA311" s="110"/>
      <c r="AB311" s="110"/>
      <c r="AC311" s="110"/>
      <c r="AD311" s="110"/>
      <c r="AE311" s="110"/>
      <c r="AF311" s="110"/>
      <c r="AG311" s="110"/>
      <c r="AH311" s="110"/>
      <c r="AI311" s="1"/>
    </row>
    <row r="312" spans="1:35" s="12" customFormat="1" x14ac:dyDescent="0.25">
      <c r="A312" s="24"/>
      <c r="B312" s="110"/>
      <c r="C312" s="110"/>
      <c r="D312" s="110"/>
      <c r="E312" s="110"/>
      <c r="F312" s="110"/>
      <c r="G312" s="110"/>
      <c r="H312" s="110"/>
      <c r="I312" s="110"/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  <c r="AA312" s="110"/>
      <c r="AB312" s="110"/>
      <c r="AC312" s="110"/>
      <c r="AD312" s="110"/>
      <c r="AE312" s="110"/>
      <c r="AF312" s="110"/>
      <c r="AG312" s="110"/>
      <c r="AH312" s="110"/>
      <c r="AI312" s="1"/>
    </row>
    <row r="313" spans="1:35" s="12" customFormat="1" x14ac:dyDescent="0.25">
      <c r="A313" s="110" t="s">
        <v>66</v>
      </c>
      <c r="B313" s="110"/>
      <c r="C313" s="110"/>
      <c r="D313" s="110"/>
      <c r="E313" s="110"/>
      <c r="F313" s="110"/>
      <c r="G313" s="110"/>
      <c r="H313" s="110"/>
      <c r="I313" s="110"/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  <c r="AA313" s="110"/>
      <c r="AB313" s="110"/>
      <c r="AC313" s="110"/>
      <c r="AD313" s="110"/>
      <c r="AE313" s="110"/>
      <c r="AF313" s="110"/>
      <c r="AG313" s="110"/>
      <c r="AH313" s="110"/>
      <c r="AI313" s="1"/>
    </row>
    <row r="314" spans="1:35" s="12" customFormat="1" x14ac:dyDescent="0.25">
      <c r="A314" s="24"/>
      <c r="B314" s="110"/>
      <c r="C314" s="110"/>
      <c r="D314" s="110"/>
      <c r="E314" s="110"/>
      <c r="F314" s="110"/>
      <c r="G314" s="110"/>
      <c r="H314" s="110"/>
      <c r="I314" s="110"/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  <c r="AA314" s="110"/>
      <c r="AB314" s="110"/>
      <c r="AC314" s="110"/>
      <c r="AD314" s="110"/>
      <c r="AE314" s="110"/>
      <c r="AF314" s="110"/>
      <c r="AG314" s="110"/>
      <c r="AH314" s="110"/>
      <c r="AI314" s="1"/>
    </row>
    <row r="315" spans="1:35" s="12" customFormat="1" x14ac:dyDescent="0.25">
      <c r="A315" s="24"/>
      <c r="B315" s="110"/>
      <c r="C315" s="110"/>
      <c r="D315" s="110"/>
      <c r="E315" s="110"/>
      <c r="F315" s="110"/>
      <c r="G315" s="110"/>
      <c r="H315" s="110"/>
      <c r="I315" s="110"/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  <c r="AA315" s="110"/>
      <c r="AB315" s="110"/>
      <c r="AC315" s="110"/>
      <c r="AD315" s="110"/>
      <c r="AE315" s="110"/>
      <c r="AF315" s="110"/>
      <c r="AG315" s="110"/>
      <c r="AH315" s="110"/>
      <c r="AI315" s="1"/>
    </row>
    <row r="316" spans="1:35" s="12" customFormat="1" x14ac:dyDescent="0.25">
      <c r="A316" s="110" t="s">
        <v>67</v>
      </c>
      <c r="B316" s="110"/>
      <c r="C316" s="110"/>
      <c r="D316" s="110"/>
      <c r="E316" s="110"/>
      <c r="F316" s="110"/>
      <c r="G316" s="110"/>
      <c r="H316" s="110"/>
      <c r="I316" s="110"/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  <c r="AA316" s="110"/>
      <c r="AB316" s="110"/>
      <c r="AC316" s="110"/>
      <c r="AD316" s="110"/>
      <c r="AE316" s="110"/>
      <c r="AF316" s="110"/>
      <c r="AG316" s="110"/>
      <c r="AH316" s="110"/>
      <c r="AI316" s="1"/>
    </row>
    <row r="317" spans="1:35" s="12" customFormat="1" x14ac:dyDescent="0.25">
      <c r="A317" s="24"/>
      <c r="B317" s="110"/>
      <c r="C317" s="110"/>
      <c r="D317" s="110"/>
      <c r="E317" s="110"/>
      <c r="F317" s="110"/>
      <c r="G317" s="110"/>
      <c r="H317" s="110"/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  <c r="AA317" s="110"/>
      <c r="AB317" s="110"/>
      <c r="AC317" s="110"/>
      <c r="AD317" s="110"/>
      <c r="AE317" s="110"/>
      <c r="AF317" s="110"/>
      <c r="AG317" s="110"/>
      <c r="AH317" s="110"/>
      <c r="AI317" s="1"/>
    </row>
    <row r="318" spans="1:35" s="12" customFormat="1" x14ac:dyDescent="0.25">
      <c r="A318" s="24"/>
      <c r="B318" s="110"/>
      <c r="C318" s="110"/>
      <c r="D318" s="110"/>
      <c r="E318" s="110"/>
      <c r="F318" s="110"/>
      <c r="G318" s="110"/>
      <c r="H318" s="110"/>
      <c r="I318" s="110"/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  <c r="AA318" s="110"/>
      <c r="AB318" s="110"/>
      <c r="AC318" s="110"/>
      <c r="AD318" s="110"/>
      <c r="AE318" s="110"/>
      <c r="AF318" s="110"/>
      <c r="AG318" s="110"/>
      <c r="AH318" s="110"/>
      <c r="AI318" s="1"/>
    </row>
    <row r="319" spans="1:35" s="12" customFormat="1" x14ac:dyDescent="0.25">
      <c r="A319" s="110" t="s">
        <v>123</v>
      </c>
      <c r="B319" s="110"/>
      <c r="C319" s="110"/>
      <c r="D319" s="110"/>
      <c r="E319" s="110"/>
      <c r="F319" s="110"/>
      <c r="G319" s="110"/>
      <c r="H319" s="110"/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  <c r="AA319" s="110"/>
      <c r="AB319" s="110"/>
      <c r="AC319" s="110"/>
      <c r="AD319" s="110"/>
      <c r="AE319" s="110"/>
      <c r="AF319" s="110"/>
      <c r="AG319" s="110"/>
      <c r="AH319" s="110"/>
      <c r="AI319" s="1"/>
    </row>
    <row r="320" spans="1:35" s="12" customFormat="1" x14ac:dyDescent="0.25">
      <c r="A320" s="24"/>
      <c r="B320" s="110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  <c r="AI320" s="1"/>
    </row>
    <row r="321" spans="1:35" s="12" customFormat="1" x14ac:dyDescent="0.25">
      <c r="A321" s="24"/>
      <c r="B321" s="110"/>
      <c r="C321" s="110"/>
      <c r="D321" s="110"/>
      <c r="E321" s="110"/>
      <c r="F321" s="110"/>
      <c r="G321" s="110"/>
      <c r="H321" s="110"/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  <c r="AA321" s="110"/>
      <c r="AB321" s="110"/>
      <c r="AC321" s="110"/>
      <c r="AD321" s="110"/>
      <c r="AE321" s="110"/>
      <c r="AF321" s="110"/>
      <c r="AG321" s="110"/>
      <c r="AH321" s="110"/>
      <c r="AI321" s="1"/>
    </row>
    <row r="322" spans="1:35" s="12" customFormat="1" x14ac:dyDescent="0.25">
      <c r="A322" s="110" t="s">
        <v>69</v>
      </c>
      <c r="B322" s="110"/>
      <c r="C322" s="110"/>
      <c r="D322" s="110"/>
      <c r="E322" s="110"/>
      <c r="F322" s="110"/>
      <c r="G322" s="110"/>
      <c r="H322" s="110"/>
      <c r="I322" s="110"/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  <c r="AA322" s="110"/>
      <c r="AB322" s="110"/>
      <c r="AC322" s="110"/>
      <c r="AD322" s="110"/>
      <c r="AE322" s="110"/>
      <c r="AF322" s="110"/>
      <c r="AG322" s="110"/>
      <c r="AH322" s="110"/>
      <c r="AI322" s="1"/>
    </row>
    <row r="323" spans="1:35" s="12" customFormat="1" x14ac:dyDescent="0.25">
      <c r="A323" s="24"/>
      <c r="B323" s="110"/>
      <c r="C323" s="110"/>
      <c r="D323" s="110"/>
      <c r="E323" s="110"/>
      <c r="F323" s="110"/>
      <c r="G323" s="110"/>
      <c r="H323" s="110"/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  <c r="AA323" s="110"/>
      <c r="AB323" s="110"/>
      <c r="AC323" s="110"/>
      <c r="AD323" s="110"/>
      <c r="AE323" s="110"/>
      <c r="AF323" s="110"/>
      <c r="AG323" s="110"/>
      <c r="AH323" s="110"/>
      <c r="AI323" s="1"/>
    </row>
    <row r="324" spans="1:35" s="12" customFormat="1" x14ac:dyDescent="0.25">
      <c r="A324" s="24"/>
      <c r="B324" s="110"/>
      <c r="C324" s="110"/>
      <c r="D324" s="110"/>
      <c r="E324" s="110"/>
      <c r="F324" s="110"/>
      <c r="G324" s="110"/>
      <c r="H324" s="110"/>
      <c r="I324" s="110"/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  <c r="AA324" s="110"/>
      <c r="AB324" s="110"/>
      <c r="AC324" s="110"/>
      <c r="AD324" s="110"/>
      <c r="AE324" s="110"/>
      <c r="AF324" s="110"/>
      <c r="AG324" s="110"/>
      <c r="AH324" s="110"/>
      <c r="AI324" s="1"/>
    </row>
    <row r="325" spans="1:35" s="12" customFormat="1" x14ac:dyDescent="0.25">
      <c r="A325" s="110" t="s">
        <v>70</v>
      </c>
      <c r="B325" s="110"/>
      <c r="C325" s="110"/>
      <c r="D325" s="110"/>
      <c r="E325" s="110"/>
      <c r="F325" s="110"/>
      <c r="G325" s="110"/>
      <c r="H325" s="110"/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  <c r="AA325" s="110"/>
      <c r="AB325" s="110"/>
      <c r="AC325" s="110"/>
      <c r="AD325" s="110"/>
      <c r="AE325" s="110"/>
      <c r="AF325" s="110"/>
      <c r="AG325" s="110"/>
      <c r="AH325" s="110"/>
      <c r="AI325" s="1"/>
    </row>
    <row r="326" spans="1:35" s="12" customFormat="1" x14ac:dyDescent="0.25">
      <c r="A326" s="24"/>
      <c r="B326" s="110"/>
      <c r="C326" s="110"/>
      <c r="D326" s="110"/>
      <c r="E326" s="110"/>
      <c r="F326" s="110"/>
      <c r="G326" s="110"/>
      <c r="H326" s="110"/>
      <c r="I326" s="110"/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  <c r="AA326" s="110"/>
      <c r="AB326" s="110"/>
      <c r="AC326" s="110"/>
      <c r="AD326" s="110"/>
      <c r="AE326" s="110"/>
      <c r="AF326" s="110"/>
      <c r="AG326" s="110"/>
      <c r="AH326" s="110"/>
      <c r="AI326" s="1"/>
    </row>
    <row r="327" spans="1:35" s="12" customFormat="1" x14ac:dyDescent="0.25">
      <c r="A327" s="24"/>
      <c r="B327" s="110"/>
      <c r="C327" s="110"/>
      <c r="D327" s="110"/>
      <c r="E327" s="110"/>
      <c r="F327" s="110"/>
      <c r="G327" s="110"/>
      <c r="H327" s="110"/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  <c r="AA327" s="110"/>
      <c r="AB327" s="110"/>
      <c r="AC327" s="110"/>
      <c r="AD327" s="110"/>
      <c r="AE327" s="110"/>
      <c r="AF327" s="110"/>
      <c r="AG327" s="110"/>
      <c r="AH327" s="110"/>
      <c r="AI327" s="1"/>
    </row>
    <row r="328" spans="1:35" s="12" customFormat="1" x14ac:dyDescent="0.25">
      <c r="A328" s="110" t="s">
        <v>121</v>
      </c>
      <c r="B328" s="110"/>
      <c r="C328" s="110"/>
      <c r="D328" s="110"/>
      <c r="E328" s="110"/>
      <c r="F328" s="110"/>
      <c r="G328" s="110"/>
      <c r="H328" s="110"/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  <c r="AA328" s="110"/>
      <c r="AB328" s="110"/>
      <c r="AC328" s="110"/>
      <c r="AD328" s="110"/>
      <c r="AE328" s="110"/>
      <c r="AF328" s="110"/>
      <c r="AG328" s="110"/>
      <c r="AH328" s="110"/>
      <c r="AI328" s="1"/>
    </row>
    <row r="329" spans="1:35" s="12" customFormat="1" x14ac:dyDescent="0.25">
      <c r="A329" s="24"/>
      <c r="B329" s="110"/>
      <c r="C329" s="110"/>
      <c r="D329" s="110"/>
      <c r="E329" s="110"/>
      <c r="F329" s="110"/>
      <c r="G329" s="110"/>
      <c r="H329" s="110"/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  <c r="AA329" s="110"/>
      <c r="AB329" s="110"/>
      <c r="AC329" s="110"/>
      <c r="AD329" s="110"/>
      <c r="AE329" s="110"/>
      <c r="AF329" s="110"/>
      <c r="AG329" s="110"/>
      <c r="AH329" s="110"/>
      <c r="AI329" s="1"/>
    </row>
    <row r="330" spans="1:35" s="12" customFormat="1" x14ac:dyDescent="0.25">
      <c r="A330" s="24"/>
      <c r="B330" s="110"/>
      <c r="C330" s="110"/>
      <c r="D330" s="110"/>
      <c r="E330" s="110"/>
      <c r="F330" s="110"/>
      <c r="G330" s="110"/>
      <c r="H330" s="110"/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  <c r="AA330" s="110"/>
      <c r="AB330" s="110"/>
      <c r="AC330" s="110"/>
      <c r="AD330" s="110"/>
      <c r="AE330" s="110"/>
      <c r="AF330" s="110"/>
      <c r="AG330" s="110"/>
      <c r="AH330" s="110"/>
      <c r="AI330" s="1"/>
    </row>
    <row r="331" spans="1:35" s="12" customFormat="1" x14ac:dyDescent="0.25">
      <c r="A331" s="110" t="s">
        <v>122</v>
      </c>
      <c r="B331" s="110"/>
      <c r="C331" s="110"/>
      <c r="D331" s="110"/>
      <c r="E331" s="110"/>
      <c r="F331" s="110"/>
      <c r="G331" s="110"/>
      <c r="H331" s="110"/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  <c r="AA331" s="110"/>
      <c r="AB331" s="110"/>
      <c r="AC331" s="110"/>
      <c r="AD331" s="110"/>
      <c r="AE331" s="110"/>
      <c r="AF331" s="110"/>
      <c r="AG331" s="110"/>
      <c r="AH331" s="110"/>
      <c r="AI331" s="1"/>
    </row>
    <row r="332" spans="1:35" s="12" customFormat="1" x14ac:dyDescent="0.25">
      <c r="A332" s="24"/>
      <c r="B332" s="110"/>
      <c r="C332" s="110"/>
      <c r="D332" s="110"/>
      <c r="E332" s="110"/>
      <c r="F332" s="110"/>
      <c r="G332" s="110"/>
      <c r="H332" s="110"/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  <c r="AA332" s="110"/>
      <c r="AB332" s="110"/>
      <c r="AC332" s="110"/>
      <c r="AD332" s="110"/>
      <c r="AE332" s="110"/>
      <c r="AF332" s="110"/>
      <c r="AG332" s="110"/>
      <c r="AH332" s="110"/>
      <c r="AI332" s="1"/>
    </row>
    <row r="333" spans="1:35" s="12" customFormat="1" x14ac:dyDescent="0.25">
      <c r="A333" s="24"/>
      <c r="B333" s="110"/>
      <c r="C333" s="110"/>
      <c r="D333" s="110"/>
      <c r="E333" s="110"/>
      <c r="F333" s="110"/>
      <c r="G333" s="110"/>
      <c r="H333" s="110"/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  <c r="AA333" s="110"/>
      <c r="AB333" s="110"/>
      <c r="AC333" s="110"/>
      <c r="AD333" s="110"/>
      <c r="AE333" s="110"/>
      <c r="AF333" s="110"/>
      <c r="AG333" s="110"/>
      <c r="AH333" s="110"/>
      <c r="AI333" s="1"/>
    </row>
    <row r="334" spans="1:35" s="12" customFormat="1" x14ac:dyDescent="0.25">
      <c r="A334" s="109" t="s">
        <v>183</v>
      </c>
      <c r="B334" s="110"/>
      <c r="C334" s="110"/>
      <c r="D334" s="110"/>
      <c r="E334" s="110"/>
      <c r="F334" s="110"/>
      <c r="G334" s="110"/>
      <c r="H334" s="110"/>
      <c r="I334" s="110"/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  <c r="AA334" s="110"/>
      <c r="AB334" s="110"/>
      <c r="AC334" s="110"/>
      <c r="AD334" s="110"/>
      <c r="AE334" s="110"/>
      <c r="AF334" s="110"/>
      <c r="AG334" s="110"/>
      <c r="AH334" s="110"/>
      <c r="AI334" s="1"/>
    </row>
    <row r="335" spans="1:35" s="12" customFormat="1" x14ac:dyDescent="0.25">
      <c r="A335" s="24"/>
      <c r="B335" s="110"/>
      <c r="C335" s="110"/>
      <c r="D335" s="110"/>
      <c r="E335" s="110"/>
      <c r="F335" s="110"/>
      <c r="G335" s="110"/>
      <c r="H335" s="110"/>
      <c r="I335" s="110"/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  <c r="AA335" s="110"/>
      <c r="AB335" s="110"/>
      <c r="AC335" s="110"/>
      <c r="AD335" s="110"/>
      <c r="AE335" s="110"/>
      <c r="AF335" s="110"/>
      <c r="AG335" s="110"/>
      <c r="AH335" s="110"/>
      <c r="AI335" s="1"/>
    </row>
    <row r="336" spans="1:35" s="12" customFormat="1" x14ac:dyDescent="0.25">
      <c r="A336" s="24"/>
      <c r="B336" s="110"/>
      <c r="C336" s="110"/>
      <c r="D336" s="110"/>
      <c r="E336" s="110"/>
      <c r="F336" s="110"/>
      <c r="G336" s="110"/>
      <c r="H336" s="110"/>
      <c r="I336" s="110"/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  <c r="AA336" s="110"/>
      <c r="AB336" s="110"/>
      <c r="AC336" s="110"/>
      <c r="AD336" s="110"/>
      <c r="AE336" s="110"/>
      <c r="AF336" s="110"/>
      <c r="AG336" s="110"/>
      <c r="AH336" s="110"/>
      <c r="AI336" s="1"/>
    </row>
    <row r="337" spans="1:37" x14ac:dyDescent="0.25">
      <c r="A337" s="1"/>
      <c r="B337" s="1"/>
      <c r="C337" s="1"/>
      <c r="D337" s="1"/>
      <c r="E337" s="1"/>
      <c r="F337" s="1"/>
      <c r="G337" s="1"/>
      <c r="H337" s="1"/>
      <c r="I337" s="46"/>
      <c r="J337" s="46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2"/>
      <c r="AK337" s="12"/>
    </row>
  </sheetData>
  <mergeCells count="1">
    <mergeCell ref="A98:D102"/>
  </mergeCells>
  <dataValidations count="2">
    <dataValidation type="list" allowBlank="1" showInputMessage="1" showErrorMessage="1" sqref="D83:D84" xr:uid="{D3108351-61E1-489E-B9A2-8295F8A96880}">
      <formula1>"amp,trans,nil"</formula1>
    </dataValidation>
    <dataValidation type="list" allowBlank="1" showInputMessage="1" showErrorMessage="1" sqref="C1" xr:uid="{1CA04B00-0B90-4E9C-B0A6-06E830B33947}">
      <formula1>$B$115:$B$155</formula1>
    </dataValidation>
  </dataValidations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7A62FB20A46E4BAA8559C6E1D83ADF" ma:contentTypeVersion="7" ma:contentTypeDescription="Create a new document." ma:contentTypeScope="" ma:versionID="1eaff971c04e3763ba3042cc4b5865c9">
  <xsd:schema xmlns:xsd="http://www.w3.org/2001/XMLSchema" xmlns:xs="http://www.w3.org/2001/XMLSchema" xmlns:p="http://schemas.microsoft.com/office/2006/metadata/properties" xmlns:ns3="40ee7d6b-1fd5-499f-a603-4d93e9a96f2e" xmlns:ns4="c48db333-668a-4660-8f80-1f192bf001d9" targetNamespace="http://schemas.microsoft.com/office/2006/metadata/properties" ma:root="true" ma:fieldsID="7c39d3114d2f993fca4e0d8833712041" ns3:_="" ns4:_="">
    <xsd:import namespace="40ee7d6b-1fd5-499f-a603-4d93e9a96f2e"/>
    <xsd:import namespace="c48db333-668a-4660-8f80-1f192bf001d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e7d6b-1fd5-499f-a603-4d93e9a96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8db333-668a-4660-8f80-1f192bf001d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831DF0-5A38-431F-8DC6-2295B15BAB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e7d6b-1fd5-499f-a603-4d93e9a96f2e"/>
    <ds:schemaRef ds:uri="c48db333-668a-4660-8f80-1f192bf001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51EB31-B8EA-4722-B4D2-84EDEE9FF0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7988C7-FA1B-4BDB-9154-8F66015CB9B0}">
  <ds:schemaRefs>
    <ds:schemaRef ds:uri="http://purl.org/dc/elements/1.1/"/>
    <ds:schemaRef ds:uri="http://schemas.microsoft.com/office/2006/metadata/properties"/>
    <ds:schemaRef ds:uri="http://purl.org/dc/terms/"/>
    <ds:schemaRef ds:uri="40ee7d6b-1fd5-499f-a603-4d93e9a96f2e"/>
    <ds:schemaRef ds:uri="c48db333-668a-4660-8f80-1f192bf001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Main</vt:lpstr>
      <vt:lpstr>1-Eula</vt:lpstr>
      <vt:lpstr>1-Raiden</vt:lpstr>
      <vt:lpstr>1-Lisa</vt:lpstr>
      <vt:lpstr>1-Diona</vt:lpstr>
      <vt:lpstr>2-Eula</vt:lpstr>
      <vt:lpstr>2-Fischl</vt:lpstr>
      <vt:lpstr>2-Rosaria</vt:lpstr>
      <vt:lpstr>2-Diona</vt:lpstr>
      <vt:lpstr>3-Eula</vt:lpstr>
      <vt:lpstr>3-Raiden</vt:lpstr>
      <vt:lpstr>3-Beidou</vt:lpstr>
      <vt:lpstr>3-Diona</vt:lpstr>
      <vt:lpstr>4-Eula</vt:lpstr>
      <vt:lpstr>4-Fischl</vt:lpstr>
      <vt:lpstr>4-Beidou</vt:lpstr>
      <vt:lpstr>4-Diona</vt:lpstr>
      <vt:lpstr>5-Eula</vt:lpstr>
      <vt:lpstr>5-Raiden</vt:lpstr>
      <vt:lpstr>5-Rosaria</vt:lpstr>
      <vt:lpstr>5-Diona</vt:lpstr>
      <vt:lpstr>6-Eula</vt:lpstr>
      <vt:lpstr>6-Raiden</vt:lpstr>
      <vt:lpstr>6-Rosaria</vt:lpstr>
      <vt:lpstr>6-Zhongli</vt:lpstr>
      <vt:lpstr>7-Eula</vt:lpstr>
      <vt:lpstr>7-Raiden</vt:lpstr>
      <vt:lpstr>7-Rosaria</vt:lpstr>
      <vt:lpstr>7-Qiqi</vt:lpstr>
      <vt:lpstr>8-Eula</vt:lpstr>
      <vt:lpstr>8-Raiden</vt:lpstr>
      <vt:lpstr>8-Rosaria</vt:lpstr>
      <vt:lpstr>8-Qiqi</vt:lpstr>
      <vt:lpstr>template</vt:lpstr>
      <vt:lpstr>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Cayden Soh</dc:creator>
  <cp:lastModifiedBy>Kevin Phan</cp:lastModifiedBy>
  <dcterms:created xsi:type="dcterms:W3CDTF">2021-06-13T12:47:43Z</dcterms:created>
  <dcterms:modified xsi:type="dcterms:W3CDTF">2022-04-11T08:21:58Z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0x010100907A62FB20A46E4BAA8559C6E1D83ADF</vt:lpwstr>
  </property>
</Properties>
</file>