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F94A753-68C2-48F2-92ED-61751A3177BA}" xr6:coauthVersionLast="47" xr6:coauthVersionMax="47" xr10:uidLastSave="{00000000-0000-0000-0000-000000000000}"/>
  <bookViews>
    <workbookView xWindow="-120" yWindow="-120" windowWidth="38640" windowHeight="15525" activeTab="4" xr2:uid="{00000000-000D-0000-FFFF-FFFF00000000}"/>
  </bookViews>
  <sheets>
    <sheet name="1| Premissas" sheetId="1" r:id="rId1"/>
    <sheet name="2| Projeções" sheetId="2" r:id="rId2"/>
    <sheet name="3| Fluxo de Caixa" sheetId="3" r:id="rId3"/>
    <sheet name="4| Custo de Capital" sheetId="4" r:id="rId4"/>
    <sheet name="6| Valu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8" i="5"/>
  <c r="C7" i="5"/>
  <c r="O22" i="3"/>
  <c r="M23" i="3"/>
  <c r="M22" i="3"/>
  <c r="I22" i="3"/>
  <c r="C19" i="4"/>
  <c r="C18" i="4"/>
  <c r="C17" i="4"/>
  <c r="C16" i="4"/>
  <c r="C13" i="4"/>
  <c r="C10" i="4"/>
  <c r="F9" i="3"/>
  <c r="E9" i="3"/>
  <c r="D9" i="3"/>
  <c r="C9" i="3"/>
  <c r="F6" i="3"/>
  <c r="F8" i="3" s="1"/>
  <c r="F12" i="3" s="1"/>
  <c r="E6" i="3"/>
  <c r="E8" i="3" s="1"/>
  <c r="D6" i="3"/>
  <c r="D8" i="3" s="1"/>
  <c r="C6" i="3"/>
  <c r="C8" i="3" s="1"/>
  <c r="D8" i="2"/>
  <c r="E8" i="2" s="1"/>
  <c r="F8" i="2" s="1"/>
  <c r="G8" i="2" s="1"/>
  <c r="D7" i="2"/>
  <c r="E7" i="2" s="1"/>
  <c r="F7" i="2" s="1"/>
  <c r="G7" i="2" s="1"/>
  <c r="D6" i="2"/>
  <c r="D12" i="2" s="1"/>
  <c r="D5" i="2"/>
  <c r="I8" i="2"/>
  <c r="I7" i="2"/>
  <c r="I6" i="2"/>
  <c r="I5" i="2"/>
  <c r="D25" i="2"/>
  <c r="E25" i="2" s="1"/>
  <c r="F25" i="2" s="1"/>
  <c r="G25" i="2" s="1"/>
  <c r="D19" i="2"/>
  <c r="E19" i="2" s="1"/>
  <c r="F19" i="2" s="1"/>
  <c r="G19" i="2" s="1"/>
  <c r="D17" i="2"/>
  <c r="E17" i="2" s="1"/>
  <c r="F17" i="2" s="1"/>
  <c r="G17" i="2" s="1"/>
  <c r="D15" i="2"/>
  <c r="E15" i="2" s="1"/>
  <c r="F15" i="2" s="1"/>
  <c r="G15" i="2" s="1"/>
  <c r="E13" i="2"/>
  <c r="F13" i="2" s="1"/>
  <c r="G13" i="2" s="1"/>
  <c r="D13" i="2"/>
  <c r="C12" i="2"/>
  <c r="C14" i="2" s="1"/>
  <c r="C16" i="2" s="1"/>
  <c r="C18" i="2" s="1"/>
  <c r="D11" i="2"/>
  <c r="E11" i="2" s="1"/>
  <c r="F11" i="2" s="1"/>
  <c r="G11" i="2" s="1"/>
  <c r="D10" i="2"/>
  <c r="E10" i="2" s="1"/>
  <c r="F10" i="2" s="1"/>
  <c r="G10" i="2" s="1"/>
  <c r="D9" i="2"/>
  <c r="E9" i="2" s="1"/>
  <c r="F9" i="2" s="1"/>
  <c r="G9" i="2" s="1"/>
  <c r="C12" i="3" l="1"/>
  <c r="D12" i="3"/>
  <c r="E12" i="3"/>
  <c r="E6" i="2"/>
  <c r="F6" i="2" s="1"/>
  <c r="G6" i="2" s="1"/>
  <c r="E5" i="2"/>
  <c r="F5" i="2" s="1"/>
  <c r="G5" i="2" s="1"/>
  <c r="C24" i="2"/>
  <c r="C26" i="2" s="1"/>
  <c r="C20" i="2"/>
  <c r="C21" i="2" s="1"/>
  <c r="B15" i="3" l="1"/>
  <c r="C6" i="5" s="1"/>
  <c r="D14" i="2"/>
  <c r="C29" i="2"/>
  <c r="C30" i="2" s="1"/>
  <c r="C27" i="2"/>
  <c r="E12" i="2"/>
  <c r="E14" i="2" s="1"/>
  <c r="E16" i="2" s="1"/>
  <c r="E18" i="2" s="1"/>
  <c r="D16" i="2" l="1"/>
  <c r="D18" i="2" s="1"/>
  <c r="D20" i="2" s="1"/>
  <c r="D21" i="2" s="1"/>
  <c r="F12" i="2"/>
  <c r="F14" i="2" s="1"/>
  <c r="F16" i="2" s="1"/>
  <c r="F18" i="2" s="1"/>
  <c r="G12" i="2"/>
  <c r="G14" i="2" s="1"/>
  <c r="G16" i="2" s="1"/>
  <c r="G18" i="2" s="1"/>
  <c r="E20" i="2"/>
  <c r="E21" i="2" s="1"/>
  <c r="E24" i="2"/>
  <c r="E26" i="2" s="1"/>
  <c r="D24" i="2" l="1"/>
  <c r="D26" i="2" s="1"/>
  <c r="D28" i="2" s="1"/>
  <c r="D29" i="2" s="1"/>
  <c r="D30" i="2" s="1"/>
  <c r="G24" i="2"/>
  <c r="G26" i="2" s="1"/>
  <c r="G20" i="2"/>
  <c r="G21" i="2" s="1"/>
  <c r="F24" i="2"/>
  <c r="F26" i="2" s="1"/>
  <c r="F20" i="2"/>
  <c r="F21" i="2" s="1"/>
  <c r="E28" i="2"/>
  <c r="E29" i="2" s="1"/>
  <c r="E30" i="2" s="1"/>
  <c r="G28" i="2" l="1"/>
  <c r="G29" i="2" s="1"/>
  <c r="G30" i="2" s="1"/>
  <c r="F28" i="2"/>
  <c r="F29" i="2" s="1"/>
  <c r="F30" i="2" s="1"/>
</calcChain>
</file>

<file path=xl/sharedStrings.xml><?xml version="1.0" encoding="utf-8"?>
<sst xmlns="http://schemas.openxmlformats.org/spreadsheetml/2006/main" count="101" uniqueCount="77">
  <si>
    <t>Tabela 1</t>
  </si>
  <si>
    <t>Variáveis</t>
  </si>
  <si>
    <t>IPCA</t>
  </si>
  <si>
    <t>PIB TOTAL</t>
  </si>
  <si>
    <t>CÂMBIO (R$/US$)</t>
  </si>
  <si>
    <t>SELIC</t>
  </si>
  <si>
    <t>CAGR</t>
  </si>
  <si>
    <t>Algodão em pluma</t>
  </si>
  <si>
    <t>Caroço de Algodão</t>
  </si>
  <si>
    <t>Soja</t>
  </si>
  <si>
    <t>Milho</t>
  </si>
  <si>
    <t>Algodão em Caroço</t>
  </si>
  <si>
    <t>DRE</t>
  </si>
  <si>
    <t>2024 P</t>
  </si>
  <si>
    <t>2025 P</t>
  </si>
  <si>
    <t>2026 P</t>
  </si>
  <si>
    <t>2027 P</t>
  </si>
  <si>
    <t>Algodão em Pluma</t>
  </si>
  <si>
    <t>Rebanho Bovino</t>
  </si>
  <si>
    <t>Outras</t>
  </si>
  <si>
    <t>Resultado de Hedge</t>
  </si>
  <si>
    <t>(=) Receita Operacional</t>
  </si>
  <si>
    <t>VVJAB</t>
  </si>
  <si>
    <t>(=) Faturamento</t>
  </si>
  <si>
    <t>Custo dos Produtos Vendidos</t>
  </si>
  <si>
    <t>(=) Resultado Bruto</t>
  </si>
  <si>
    <t>Resultado Operacional</t>
  </si>
  <si>
    <t>Depreciação e Amortização</t>
  </si>
  <si>
    <t>(=) EBITDA</t>
  </si>
  <si>
    <t>EBIT</t>
  </si>
  <si>
    <t>Resultado Financeiro</t>
  </si>
  <si>
    <t>(=) Resultado Antes dos Impostos</t>
  </si>
  <si>
    <t>IRPJ e CSLL</t>
  </si>
  <si>
    <t>(=) Lucro Líquido</t>
  </si>
  <si>
    <t>(=) Resultado Antes das Despesas Financeiras</t>
  </si>
  <si>
    <t>Margem EBITDA</t>
  </si>
  <si>
    <t>Resultado Antes das Despesas Financeiras</t>
  </si>
  <si>
    <t>Alíquota</t>
  </si>
  <si>
    <t>Margem Líquida</t>
  </si>
  <si>
    <t>Alíquota IR</t>
  </si>
  <si>
    <t>(=) NAPAT</t>
  </si>
  <si>
    <t>∆ Necessidade de K de giro</t>
  </si>
  <si>
    <t>Gastos de Capital</t>
  </si>
  <si>
    <t>(=) FCFF</t>
  </si>
  <si>
    <t>Fluxo de Caixa</t>
  </si>
  <si>
    <t>Usualmente se usa 34% como taxa de IR</t>
  </si>
  <si>
    <t>Formula = ( Imobilizado x-1 + Intangível x-1) - ( Imobilizado x - Intangível x - DeA x) para a projeção do crescimento, foi utilizado o crescimento médio dos últimos 5 anos que foi de 4,66%</t>
  </si>
  <si>
    <t>Tabela 7 – Cálculo WACC (em R$ mil)</t>
  </si>
  <si>
    <t>Ativo Livre de Risco</t>
  </si>
  <si>
    <t>Prêmio pelo Risco de Mercado</t>
  </si>
  <si>
    <t>Beta (b)</t>
  </si>
  <si>
    <t>Prêmio Risco-País</t>
  </si>
  <si>
    <t>Custo de Capital Próprio (Ke)</t>
  </si>
  <si>
    <t>Custo da Dívida</t>
  </si>
  <si>
    <t>(1 - Alíquota IR)</t>
  </si>
  <si>
    <t>Custo de Capital de Terceiros (Kd)</t>
  </si>
  <si>
    <t>Passivo Total</t>
  </si>
  <si>
    <t>Patrimônio Líquido</t>
  </si>
  <si>
    <t>Total</t>
  </si>
  <si>
    <t>% Capital Próprio</t>
  </si>
  <si>
    <t>% Capital de Terceiros</t>
  </si>
  <si>
    <t>WACC</t>
  </si>
  <si>
    <t>TCC</t>
  </si>
  <si>
    <t>Tabela 8 – Valor da Empresa (em R$ mil)</t>
  </si>
  <si>
    <t>VPL Fluxo de Caixa</t>
  </si>
  <si>
    <t>VPL Perpetuidade</t>
  </si>
  <si>
    <t>(=) FCD</t>
  </si>
  <si>
    <t>Dívida Líquida</t>
  </si>
  <si>
    <t>(=) Valor da Empresa</t>
  </si>
  <si>
    <t>Valuation</t>
  </si>
  <si>
    <t>DF empresa</t>
  </si>
  <si>
    <t>Perpetuidade</t>
  </si>
  <si>
    <t>VR</t>
  </si>
  <si>
    <t>=</t>
  </si>
  <si>
    <t>*</t>
  </si>
  <si>
    <t>(9,51%-1,5%)</t>
  </si>
  <si>
    <t>Premissas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</si>
</sst>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9" fontId="4" fillId="0" borderId="0" xfId="0" applyNumberFormat="1" applyFont="1" applyAlignment="1">
      <alignment horizontal="right" vertical="center"/>
    </xf>
    <xf numFmtId="10" fontId="0" fillId="0" borderId="0" xfId="0" applyNumberFormat="1"/>
    <xf numFmtId="10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4" fillId="0" borderId="2" xfId="0" applyNumberFormat="1" applyFont="1" applyBorder="1" applyAlignment="1">
      <alignment horizontal="right" vertical="center"/>
    </xf>
    <xf numFmtId="0" fontId="2" fillId="0" borderId="0" xfId="0" applyFont="1"/>
    <xf numFmtId="0" fontId="7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7" fillId="2" borderId="0" xfId="0" applyFont="1" applyFill="1" applyAlignment="1"/>
    <xf numFmtId="10" fontId="7" fillId="0" borderId="0" xfId="0" applyNumberFormat="1" applyFont="1" applyAlignme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8" fontId="7" fillId="0" borderId="0" xfId="1" applyNumberFormat="1" applyFont="1"/>
    <xf numFmtId="168" fontId="6" fillId="0" borderId="3" xfId="1" applyNumberFormat="1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7" fillId="0" borderId="4" xfId="0" applyFont="1" applyBorder="1"/>
    <xf numFmtId="9" fontId="7" fillId="0" borderId="4" xfId="2" applyFont="1" applyBorder="1"/>
    <xf numFmtId="9" fontId="7" fillId="0" borderId="0" xfId="2" applyFont="1"/>
    <xf numFmtId="10" fontId="0" fillId="0" borderId="0" xfId="2" applyNumberFormat="1" applyFont="1"/>
    <xf numFmtId="0" fontId="0" fillId="2" borderId="0" xfId="0" applyFill="1"/>
    <xf numFmtId="0" fontId="7" fillId="0" borderId="3" xfId="0" applyFont="1" applyBorder="1"/>
    <xf numFmtId="0" fontId="7" fillId="0" borderId="5" xfId="0" applyFont="1" applyBorder="1"/>
    <xf numFmtId="9" fontId="7" fillId="0" borderId="5" xfId="2" applyFont="1" applyBorder="1"/>
    <xf numFmtId="168" fontId="7" fillId="0" borderId="0" xfId="0" applyNumberFormat="1" applyFont="1"/>
    <xf numFmtId="168" fontId="6" fillId="0" borderId="3" xfId="0" applyNumberFormat="1" applyFont="1" applyBorder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10" fontId="4" fillId="0" borderId="6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0" fontId="3" fillId="0" borderId="7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43" fontId="0" fillId="0" borderId="0" xfId="0" applyNumberFormat="1"/>
    <xf numFmtId="43" fontId="5" fillId="0" borderId="0" xfId="0" applyNumberFormat="1" applyFont="1"/>
    <xf numFmtId="168" fontId="0" fillId="0" borderId="0" xfId="0" applyNumberFormat="1"/>
    <xf numFmtId="168" fontId="0" fillId="0" borderId="5" xfId="0" applyNumberFormat="1" applyBorder="1"/>
    <xf numFmtId="10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85725</xdr:rowOff>
    </xdr:from>
    <xdr:to>
      <xdr:col>7</xdr:col>
      <xdr:colOff>476250</xdr:colOff>
      <xdr:row>6</xdr:row>
      <xdr:rowOff>85725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F751CC1-D373-6E77-D51E-B5870FEE5C8B}"/>
            </a:ext>
          </a:extLst>
        </xdr:cNvPr>
        <xdr:cNvCxnSpPr/>
      </xdr:nvCxnSpPr>
      <xdr:spPr>
        <a:xfrm flipH="1">
          <a:off x="4705350" y="1247775"/>
          <a:ext cx="923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10</xdr:row>
      <xdr:rowOff>104775</xdr:rowOff>
    </xdr:from>
    <xdr:to>
      <xdr:col>7</xdr:col>
      <xdr:colOff>495300</xdr:colOff>
      <xdr:row>10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26653131-9DB4-5A91-7590-D4315FE4CF92}"/>
            </a:ext>
          </a:extLst>
        </xdr:cNvPr>
        <xdr:cNvCxnSpPr/>
      </xdr:nvCxnSpPr>
      <xdr:spPr>
        <a:xfrm flipH="1">
          <a:off x="4667250" y="202882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20</xdr:row>
      <xdr:rowOff>180975</xdr:rowOff>
    </xdr:from>
    <xdr:to>
      <xdr:col>4</xdr:col>
      <xdr:colOff>248062</xdr:colOff>
      <xdr:row>25</xdr:row>
      <xdr:rowOff>28687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31E789C-FDEE-B1E2-A1DD-D3FB06DA5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029075"/>
          <a:ext cx="2953162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95250</xdr:rowOff>
    </xdr:from>
    <xdr:to>
      <xdr:col>3</xdr:col>
      <xdr:colOff>571500</xdr:colOff>
      <xdr:row>5</xdr:row>
      <xdr:rowOff>95250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5A6B85E-8C1C-C172-3A0D-A5C1B5DD830E}"/>
            </a:ext>
          </a:extLst>
        </xdr:cNvPr>
        <xdr:cNvCxnSpPr/>
      </xdr:nvCxnSpPr>
      <xdr:spPr>
        <a:xfrm>
          <a:off x="3457575" y="105727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6</xdr:row>
      <xdr:rowOff>95250</xdr:rowOff>
    </xdr:from>
    <xdr:to>
      <xdr:col>3</xdr:col>
      <xdr:colOff>571500</xdr:colOff>
      <xdr:row>6</xdr:row>
      <xdr:rowOff>95250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7168915F-AEB9-4696-87D6-728953B7B56B}"/>
            </a:ext>
          </a:extLst>
        </xdr:cNvPr>
        <xdr:cNvCxnSpPr/>
      </xdr:nvCxnSpPr>
      <xdr:spPr>
        <a:xfrm>
          <a:off x="3457575" y="105727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7</xdr:row>
      <xdr:rowOff>95250</xdr:rowOff>
    </xdr:from>
    <xdr:to>
      <xdr:col>3</xdr:col>
      <xdr:colOff>571500</xdr:colOff>
      <xdr:row>7</xdr:row>
      <xdr:rowOff>95250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F4FEC473-B17E-4A41-9E36-348347E1DC11}"/>
            </a:ext>
          </a:extLst>
        </xdr:cNvPr>
        <xdr:cNvCxnSpPr/>
      </xdr:nvCxnSpPr>
      <xdr:spPr>
        <a:xfrm>
          <a:off x="3457575" y="105727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8</xdr:row>
      <xdr:rowOff>95250</xdr:rowOff>
    </xdr:from>
    <xdr:to>
      <xdr:col>3</xdr:col>
      <xdr:colOff>571500</xdr:colOff>
      <xdr:row>8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1EC482C-2349-435D-A786-9213A4908970}"/>
            </a:ext>
          </a:extLst>
        </xdr:cNvPr>
        <xdr:cNvCxnSpPr/>
      </xdr:nvCxnSpPr>
      <xdr:spPr>
        <a:xfrm>
          <a:off x="3457575" y="105727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10</xdr:row>
      <xdr:rowOff>95250</xdr:rowOff>
    </xdr:from>
    <xdr:to>
      <xdr:col>3</xdr:col>
      <xdr:colOff>561975</xdr:colOff>
      <xdr:row>10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C2E08ED-F4C3-4116-9721-A211BDD409F2}"/>
            </a:ext>
          </a:extLst>
        </xdr:cNvPr>
        <xdr:cNvCxnSpPr/>
      </xdr:nvCxnSpPr>
      <xdr:spPr>
        <a:xfrm>
          <a:off x="3495675" y="202882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13</xdr:row>
      <xdr:rowOff>114300</xdr:rowOff>
    </xdr:from>
    <xdr:to>
      <xdr:col>3</xdr:col>
      <xdr:colOff>533400</xdr:colOff>
      <xdr:row>13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D6F8ABDB-1CF5-4E1F-B224-E425090FB270}"/>
            </a:ext>
          </a:extLst>
        </xdr:cNvPr>
        <xdr:cNvCxnSpPr/>
      </xdr:nvCxnSpPr>
      <xdr:spPr>
        <a:xfrm>
          <a:off x="3467100" y="2647950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14</xdr:row>
      <xdr:rowOff>114300</xdr:rowOff>
    </xdr:from>
    <xdr:to>
      <xdr:col>3</xdr:col>
      <xdr:colOff>533400</xdr:colOff>
      <xdr:row>14</xdr:row>
      <xdr:rowOff>114300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94654BA5-F549-4762-8EF1-E2E264B3E753}"/>
            </a:ext>
          </a:extLst>
        </xdr:cNvPr>
        <xdr:cNvCxnSpPr/>
      </xdr:nvCxnSpPr>
      <xdr:spPr>
        <a:xfrm>
          <a:off x="3467100" y="2647950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104775</xdr:rowOff>
    </xdr:from>
    <xdr:to>
      <xdr:col>3</xdr:col>
      <xdr:colOff>504825</xdr:colOff>
      <xdr:row>8</xdr:row>
      <xdr:rowOff>104775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5CFDA975-382C-6EE7-2827-73109C8573FB}"/>
            </a:ext>
          </a:extLst>
        </xdr:cNvPr>
        <xdr:cNvCxnSpPr/>
      </xdr:nvCxnSpPr>
      <xdr:spPr>
        <a:xfrm>
          <a:off x="3514725" y="165735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B13" sqref="B13:C18"/>
    </sheetView>
  </sheetViews>
  <sheetFormatPr defaultColWidth="0" defaultRowHeight="12.75" zeroHeight="1" x14ac:dyDescent="0.2"/>
  <cols>
    <col min="1" max="1" width="10.5703125" style="9" customWidth="1"/>
    <col min="2" max="2" width="15.7109375" style="9" bestFit="1" customWidth="1"/>
    <col min="3" max="7" width="10.5703125" style="9" customWidth="1"/>
    <col min="8" max="8" width="0" style="9" hidden="1"/>
    <col min="9" max="16384" width="10.5703125" style="9" hidden="1"/>
  </cols>
  <sheetData>
    <row r="1" spans="1:8" x14ac:dyDescent="0.2"/>
    <row r="2" spans="1:8" x14ac:dyDescent="0.2">
      <c r="B2" s="8" t="s">
        <v>0</v>
      </c>
    </row>
    <row r="3" spans="1:8" ht="13.5" thickBot="1" x14ac:dyDescent="0.25"/>
    <row r="4" spans="1:8" ht="13.5" thickBot="1" x14ac:dyDescent="0.25">
      <c r="B4" s="10" t="s">
        <v>1</v>
      </c>
      <c r="C4" s="10">
        <v>2024</v>
      </c>
      <c r="D4" s="10">
        <v>2025</v>
      </c>
      <c r="E4" s="10">
        <v>2026</v>
      </c>
      <c r="F4" s="10">
        <v>2027</v>
      </c>
    </row>
    <row r="5" spans="1:8" ht="13.5" thickTop="1" x14ac:dyDescent="0.2">
      <c r="B5" s="11" t="s">
        <v>2</v>
      </c>
      <c r="C5" s="12">
        <v>0.04</v>
      </c>
      <c r="D5" s="13">
        <v>3.8699999999999998E-2</v>
      </c>
      <c r="E5" s="13">
        <v>3.5999999999999997E-2</v>
      </c>
      <c r="F5" s="13">
        <v>3.5000000000000003E-2</v>
      </c>
    </row>
    <row r="6" spans="1:8" x14ac:dyDescent="0.2">
      <c r="B6" s="11" t="s">
        <v>3</v>
      </c>
      <c r="C6" s="13">
        <v>2.0899999999999998E-2</v>
      </c>
      <c r="D6" s="13">
        <v>1.9800000000000002E-2</v>
      </c>
      <c r="E6" s="12">
        <v>0.02</v>
      </c>
      <c r="F6" s="12">
        <v>0.02</v>
      </c>
    </row>
    <row r="7" spans="1:8" x14ac:dyDescent="0.2">
      <c r="B7" s="11" t="s">
        <v>4</v>
      </c>
      <c r="C7" s="11">
        <v>5.2</v>
      </c>
      <c r="D7" s="11">
        <v>5.19</v>
      </c>
      <c r="E7" s="11">
        <v>5.19</v>
      </c>
      <c r="F7" s="11">
        <v>5.2</v>
      </c>
    </row>
    <row r="8" spans="1:8" ht="13.5" thickBot="1" x14ac:dyDescent="0.25">
      <c r="B8" s="14" t="s">
        <v>5</v>
      </c>
      <c r="C8" s="15">
        <v>0.105</v>
      </c>
      <c r="D8" s="15">
        <v>9.5000000000000001E-2</v>
      </c>
      <c r="E8" s="16">
        <v>0.09</v>
      </c>
      <c r="F8" s="16">
        <v>0.09</v>
      </c>
    </row>
    <row r="9" spans="1:8" x14ac:dyDescent="0.2"/>
    <row r="10" spans="1:8" x14ac:dyDescent="0.2"/>
    <row r="11" spans="1:8" x14ac:dyDescent="0.2">
      <c r="A11" s="17"/>
      <c r="B11" s="17"/>
      <c r="C11" s="17"/>
      <c r="D11" s="17"/>
      <c r="E11" s="17"/>
      <c r="F11" s="17"/>
      <c r="G11" s="17"/>
      <c r="H11" s="17"/>
    </row>
    <row r="12" spans="1:8" x14ac:dyDescent="0.2"/>
    <row r="13" spans="1:8" x14ac:dyDescent="0.2">
      <c r="B13" s="9" t="s">
        <v>6</v>
      </c>
    </row>
    <row r="14" spans="1:8" x14ac:dyDescent="0.2"/>
    <row r="15" spans="1:8" x14ac:dyDescent="0.2">
      <c r="B15" s="9" t="s">
        <v>7</v>
      </c>
      <c r="C15" s="18">
        <v>3.78E-2</v>
      </c>
    </row>
    <row r="16" spans="1:8" x14ac:dyDescent="0.2">
      <c r="B16" s="9" t="s">
        <v>11</v>
      </c>
      <c r="C16" s="18">
        <v>2.63E-2</v>
      </c>
    </row>
    <row r="17" spans="1:8" x14ac:dyDescent="0.2">
      <c r="B17" s="9" t="s">
        <v>9</v>
      </c>
      <c r="C17" s="18">
        <v>5.6899999999999999E-2</v>
      </c>
    </row>
    <row r="18" spans="1:8" x14ac:dyDescent="0.2">
      <c r="B18" s="9" t="s">
        <v>10</v>
      </c>
      <c r="C18" s="18">
        <v>6.6100000000000006E-2</v>
      </c>
    </row>
    <row r="19" spans="1:8" x14ac:dyDescent="0.2"/>
    <row r="20" spans="1:8" x14ac:dyDescent="0.2">
      <c r="A20" s="17"/>
      <c r="B20" s="17"/>
      <c r="C20" s="17"/>
      <c r="D20" s="17"/>
      <c r="E20" s="17"/>
      <c r="F20" s="17"/>
      <c r="G20" s="17"/>
      <c r="H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9D73-CE4B-4CB7-A049-46CC818C27F9}">
  <dimension ref="A1:M32"/>
  <sheetViews>
    <sheetView workbookViewId="0">
      <selection activeCell="L7" sqref="L7"/>
    </sheetView>
  </sheetViews>
  <sheetFormatPr defaultColWidth="0" defaultRowHeight="15" zeroHeight="1" x14ac:dyDescent="0.25"/>
  <cols>
    <col min="1" max="1" width="9.140625" customWidth="1"/>
    <col min="2" max="2" width="37.5703125" bestFit="1" customWidth="1"/>
    <col min="3" max="4" width="10" bestFit="1" customWidth="1"/>
    <col min="5" max="7" width="11" bestFit="1" customWidth="1"/>
    <col min="8" max="13" width="9.140625" customWidth="1"/>
    <col min="14" max="16384" width="9.140625" hidden="1"/>
  </cols>
  <sheetData>
    <row r="1" spans="2:12" x14ac:dyDescent="0.25"/>
    <row r="2" spans="2:12" x14ac:dyDescent="0.25">
      <c r="B2" s="6" t="s">
        <v>12</v>
      </c>
    </row>
    <row r="3" spans="2:12" ht="15.75" thickBot="1" x14ac:dyDescent="0.3"/>
    <row r="4" spans="2:12" ht="15.75" thickBot="1" x14ac:dyDescent="0.3">
      <c r="B4" s="26" t="s">
        <v>12</v>
      </c>
      <c r="C4" s="25">
        <v>2023</v>
      </c>
      <c r="D4" s="25" t="s">
        <v>13</v>
      </c>
      <c r="E4" s="25" t="s">
        <v>14</v>
      </c>
      <c r="F4" s="25" t="s">
        <v>15</v>
      </c>
      <c r="G4" s="25" t="s">
        <v>16</v>
      </c>
      <c r="I4" s="58" t="s">
        <v>76</v>
      </c>
      <c r="J4" s="59"/>
      <c r="K4" s="59"/>
      <c r="L4" s="60"/>
    </row>
    <row r="5" spans="2:12" ht="15.75" thickTop="1" x14ac:dyDescent="0.25">
      <c r="B5" s="7" t="s">
        <v>17</v>
      </c>
      <c r="C5" s="23">
        <v>2189209</v>
      </c>
      <c r="D5" s="23">
        <f>C5+C5*I5</f>
        <v>2271961.1002000002</v>
      </c>
      <c r="E5" s="23">
        <f>D5+D5*I5</f>
        <v>2357841.2297875602</v>
      </c>
      <c r="F5" s="23">
        <f>E5+E5*I5</f>
        <v>2446967.6282735299</v>
      </c>
      <c r="G5" s="23">
        <f>F5+F5*I5</f>
        <v>2539463.0046222694</v>
      </c>
      <c r="I5" s="2">
        <f>'1| Premissas'!C15</f>
        <v>3.78E-2</v>
      </c>
    </row>
    <row r="6" spans="2:12" x14ac:dyDescent="0.25">
      <c r="B6" s="7" t="s">
        <v>8</v>
      </c>
      <c r="C6" s="23">
        <v>349283</v>
      </c>
      <c r="D6" s="23">
        <f t="shared" ref="D6:D8" si="0">C6+C6*I6</f>
        <v>358469.14289999998</v>
      </c>
      <c r="E6" s="23">
        <f t="shared" ref="E6:E8" si="1">D6+D6*I6</f>
        <v>367896.88135826995</v>
      </c>
      <c r="F6" s="23">
        <f t="shared" ref="F6:F8" si="2">E6+E6*I6</f>
        <v>377572.56933799246</v>
      </c>
      <c r="G6" s="23">
        <f t="shared" ref="G6:G8" si="3">F6+F6*I6</f>
        <v>387502.72791158169</v>
      </c>
      <c r="I6" s="2">
        <f>'1| Premissas'!C16</f>
        <v>2.63E-2</v>
      </c>
    </row>
    <row r="7" spans="2:12" x14ac:dyDescent="0.25">
      <c r="B7" s="7" t="s">
        <v>9</v>
      </c>
      <c r="C7" s="23">
        <v>3055726</v>
      </c>
      <c r="D7" s="23">
        <f t="shared" si="0"/>
        <v>3229596.8094000001</v>
      </c>
      <c r="E7" s="23">
        <f t="shared" si="1"/>
        <v>3413360.8678548601</v>
      </c>
      <c r="F7" s="23">
        <f t="shared" si="2"/>
        <v>3607581.1012358018</v>
      </c>
      <c r="G7" s="23">
        <f t="shared" si="3"/>
        <v>3812852.4658961189</v>
      </c>
      <c r="I7" s="2">
        <f>'1| Premissas'!C17</f>
        <v>5.6899999999999999E-2</v>
      </c>
    </row>
    <row r="8" spans="2:12" x14ac:dyDescent="0.25">
      <c r="B8" s="7" t="s">
        <v>10</v>
      </c>
      <c r="C8" s="23">
        <v>846036</v>
      </c>
      <c r="D8" s="23">
        <f t="shared" si="0"/>
        <v>901958.97959999996</v>
      </c>
      <c r="E8" s="23">
        <f t="shared" si="1"/>
        <v>961578.46815155994</v>
      </c>
      <c r="F8" s="23">
        <f t="shared" si="2"/>
        <v>1025138.8048963781</v>
      </c>
      <c r="G8" s="23">
        <f t="shared" si="3"/>
        <v>1092900.4799000286</v>
      </c>
      <c r="I8" s="2">
        <f>'1| Premissas'!C18</f>
        <v>6.6100000000000006E-2</v>
      </c>
    </row>
    <row r="9" spans="2:12" x14ac:dyDescent="0.25">
      <c r="B9" s="7" t="s">
        <v>18</v>
      </c>
      <c r="C9" s="23">
        <v>121007</v>
      </c>
      <c r="D9" s="23">
        <f>C9+C9*I9</f>
        <v>123536.0463</v>
      </c>
      <c r="E9" s="23">
        <f>D9+D9*J9</f>
        <v>125982.06001674</v>
      </c>
      <c r="F9" s="23">
        <f t="shared" ref="E9:G11" si="4">E9+E9*K9</f>
        <v>128501.70121707479</v>
      </c>
      <c r="G9" s="23">
        <f t="shared" si="4"/>
        <v>131071.73524141629</v>
      </c>
      <c r="I9" s="31">
        <v>2.0899999999999998E-2</v>
      </c>
      <c r="J9" s="31">
        <v>1.9800000000000002E-2</v>
      </c>
      <c r="K9" s="31">
        <v>0.02</v>
      </c>
      <c r="L9" s="31">
        <v>0.02</v>
      </c>
    </row>
    <row r="10" spans="2:12" x14ac:dyDescent="0.25">
      <c r="B10" s="7" t="s">
        <v>19</v>
      </c>
      <c r="C10" s="23">
        <v>61390</v>
      </c>
      <c r="D10" s="23">
        <f t="shared" ref="D10:D11" si="5">C10+C10*I10</f>
        <v>62673.050999999999</v>
      </c>
      <c r="E10" s="23">
        <f t="shared" si="4"/>
        <v>63913.977409799998</v>
      </c>
      <c r="F10" s="23">
        <f t="shared" si="4"/>
        <v>65192.256957995996</v>
      </c>
      <c r="G10" s="23">
        <f t="shared" si="4"/>
        <v>66496.102097155919</v>
      </c>
      <c r="I10" s="31">
        <v>2.0899999999999998E-2</v>
      </c>
      <c r="J10" s="31">
        <v>1.9800000000000002E-2</v>
      </c>
      <c r="K10" s="31">
        <v>0.02</v>
      </c>
      <c r="L10" s="31">
        <v>0.02</v>
      </c>
    </row>
    <row r="11" spans="2:12" x14ac:dyDescent="0.25">
      <c r="B11" s="7" t="s">
        <v>20</v>
      </c>
      <c r="C11" s="23">
        <v>607932</v>
      </c>
      <c r="D11" s="23">
        <f t="shared" si="5"/>
        <v>620637.77879999997</v>
      </c>
      <c r="E11" s="23">
        <f t="shared" si="4"/>
        <v>632926.40682023996</v>
      </c>
      <c r="F11" s="23">
        <f t="shared" si="4"/>
        <v>645584.93495664478</v>
      </c>
      <c r="G11" s="23">
        <f t="shared" si="4"/>
        <v>658496.63365577767</v>
      </c>
      <c r="I11" s="31">
        <v>2.0899999999999998E-2</v>
      </c>
      <c r="J11" s="31">
        <v>1.9800000000000002E-2</v>
      </c>
      <c r="K11" s="31">
        <v>0.02</v>
      </c>
      <c r="L11" s="31">
        <v>0.02</v>
      </c>
    </row>
    <row r="12" spans="2:12" ht="15.75" thickBot="1" x14ac:dyDescent="0.3">
      <c r="B12" s="27" t="s">
        <v>21</v>
      </c>
      <c r="C12" s="24">
        <f t="shared" ref="C12:G12" si="6">SUM(C5:C11)</f>
        <v>7230583</v>
      </c>
      <c r="D12" s="24">
        <f>SUM(D5:D11)</f>
        <v>7568832.9081999995</v>
      </c>
      <c r="E12" s="24">
        <f t="shared" si="6"/>
        <v>7923499.8913990296</v>
      </c>
      <c r="F12" s="24">
        <f t="shared" si="6"/>
        <v>8296538.9968754174</v>
      </c>
      <c r="G12" s="24">
        <f t="shared" si="6"/>
        <v>8688783.1493243482</v>
      </c>
    </row>
    <row r="13" spans="2:12" ht="15.75" thickTop="1" x14ac:dyDescent="0.25">
      <c r="B13" s="7" t="s">
        <v>22</v>
      </c>
      <c r="C13" s="23">
        <v>1891541</v>
      </c>
      <c r="D13" s="23">
        <f t="shared" ref="D13:G13" si="7">C13+C13*I13</f>
        <v>2059617.1493923832</v>
      </c>
      <c r="E13" s="23">
        <f t="shared" si="7"/>
        <v>2242627.9959415137</v>
      </c>
      <c r="F13" s="23">
        <f t="shared" si="7"/>
        <v>2441900.5880118981</v>
      </c>
      <c r="G13" s="23">
        <f t="shared" si="7"/>
        <v>2658879.8911472973</v>
      </c>
      <c r="I13" s="31">
        <v>8.885673077791241E-2</v>
      </c>
      <c r="J13" s="31">
        <v>8.885673077791241E-2</v>
      </c>
      <c r="K13" s="31">
        <v>8.885673077791241E-2</v>
      </c>
      <c r="L13" s="31">
        <v>8.885673077791241E-2</v>
      </c>
    </row>
    <row r="14" spans="2:12" ht="15.75" thickBot="1" x14ac:dyDescent="0.3">
      <c r="B14" s="27" t="s">
        <v>23</v>
      </c>
      <c r="C14" s="24">
        <f>SUM(C12:C13)</f>
        <v>9122124</v>
      </c>
      <c r="D14" s="24">
        <f t="shared" ref="D14:G14" si="8">SUM(D12:D13)</f>
        <v>9628450.0575923827</v>
      </c>
      <c r="E14" s="24">
        <f t="shared" si="8"/>
        <v>10166127.887340544</v>
      </c>
      <c r="F14" s="24">
        <f t="shared" si="8"/>
        <v>10738439.584887315</v>
      </c>
      <c r="G14" s="24">
        <f t="shared" si="8"/>
        <v>11347663.040471645</v>
      </c>
      <c r="I14" s="31"/>
      <c r="J14" s="31"/>
      <c r="K14" s="31"/>
      <c r="L14" s="31"/>
    </row>
    <row r="15" spans="2:12" ht="15.75" thickTop="1" x14ac:dyDescent="0.25">
      <c r="B15" s="7" t="s">
        <v>24</v>
      </c>
      <c r="C15" s="23">
        <v>-6501430</v>
      </c>
      <c r="D15" s="23">
        <f t="shared" ref="D15:G15" si="9">C15+C15*I15</f>
        <v>-6761487.2000000002</v>
      </c>
      <c r="E15" s="23">
        <f t="shared" si="9"/>
        <v>-7023156.7546399999</v>
      </c>
      <c r="F15" s="23">
        <f t="shared" si="9"/>
        <v>-7275990.3978070403</v>
      </c>
      <c r="G15" s="23">
        <f t="shared" si="9"/>
        <v>-7530650.061730287</v>
      </c>
      <c r="I15" s="31">
        <v>0.04</v>
      </c>
      <c r="J15" s="31">
        <v>3.8699999999999998E-2</v>
      </c>
      <c r="K15" s="31">
        <v>3.5999999999999997E-2</v>
      </c>
      <c r="L15" s="31">
        <v>3.5000000000000003E-2</v>
      </c>
    </row>
    <row r="16" spans="2:12" ht="15.75" thickBot="1" x14ac:dyDescent="0.3">
      <c r="B16" s="27" t="s">
        <v>25</v>
      </c>
      <c r="C16" s="24">
        <f>SUM(C14:C15)</f>
        <v>2620694</v>
      </c>
      <c r="D16" s="24">
        <f>SUM(D14:D15)</f>
        <v>2866962.8575923825</v>
      </c>
      <c r="E16" s="24">
        <f t="shared" ref="D16:G16" si="10">SUM(E14:E15)</f>
        <v>3142971.1327005439</v>
      </c>
      <c r="F16" s="24">
        <f t="shared" si="10"/>
        <v>3462449.1870802743</v>
      </c>
      <c r="G16" s="24">
        <f t="shared" si="10"/>
        <v>3817012.978741358</v>
      </c>
      <c r="I16" s="31"/>
      <c r="J16" s="31"/>
      <c r="K16" s="31"/>
      <c r="L16" s="31"/>
    </row>
    <row r="17" spans="1:13" ht="15.75" thickTop="1" x14ac:dyDescent="0.25">
      <c r="B17" s="7" t="s">
        <v>26</v>
      </c>
      <c r="C17" s="23">
        <v>-685513</v>
      </c>
      <c r="D17" s="23">
        <f t="shared" ref="D17:G17" si="11">C17+C17*I17</f>
        <v>-712933.52</v>
      </c>
      <c r="E17" s="23">
        <f t="shared" si="11"/>
        <v>-740524.04722399998</v>
      </c>
      <c r="F17" s="23">
        <f t="shared" si="11"/>
        <v>-767182.91292406397</v>
      </c>
      <c r="G17" s="23">
        <f t="shared" si="11"/>
        <v>-794034.31487640622</v>
      </c>
      <c r="I17" s="31">
        <v>0.04</v>
      </c>
      <c r="J17" s="31">
        <v>3.8699999999999998E-2</v>
      </c>
      <c r="K17" s="31">
        <v>3.5999999999999997E-2</v>
      </c>
      <c r="L17" s="31">
        <v>3.5000000000000003E-2</v>
      </c>
    </row>
    <row r="18" spans="1:13" ht="15.75" thickBot="1" x14ac:dyDescent="0.3">
      <c r="B18" s="27" t="s">
        <v>34</v>
      </c>
      <c r="C18" s="24">
        <f>SUM(C16:C17)</f>
        <v>1935181</v>
      </c>
      <c r="D18" s="24">
        <f t="shared" ref="D18:G18" si="12">SUM(D16:D17)</f>
        <v>2154029.3375923824</v>
      </c>
      <c r="E18" s="24">
        <f t="shared" si="12"/>
        <v>2402447.0854765438</v>
      </c>
      <c r="F18" s="24">
        <f t="shared" si="12"/>
        <v>2695266.2741562105</v>
      </c>
      <c r="G18" s="24">
        <f t="shared" si="12"/>
        <v>3022978.6638649516</v>
      </c>
      <c r="I18" s="31"/>
      <c r="J18" s="31"/>
      <c r="K18" s="31"/>
      <c r="L18" s="31"/>
    </row>
    <row r="19" spans="1:13" ht="15.75" thickTop="1" x14ac:dyDescent="0.25">
      <c r="B19" s="7" t="s">
        <v>27</v>
      </c>
      <c r="C19" s="23">
        <v>219688</v>
      </c>
      <c r="D19" s="23">
        <f t="shared" ref="D19:G19" si="13">C19+C19*I19</f>
        <v>228475.51999999999</v>
      </c>
      <c r="E19" s="23">
        <f t="shared" si="13"/>
        <v>237317.52262399998</v>
      </c>
      <c r="F19" s="23">
        <f t="shared" si="13"/>
        <v>245860.95343846397</v>
      </c>
      <c r="G19" s="23">
        <f t="shared" si="13"/>
        <v>254466.08680881021</v>
      </c>
      <c r="I19" s="31">
        <v>0.04</v>
      </c>
      <c r="J19" s="31">
        <v>3.8699999999999998E-2</v>
      </c>
      <c r="K19" s="31">
        <v>3.5999999999999997E-2</v>
      </c>
      <c r="L19" s="31">
        <v>3.5000000000000003E-2</v>
      </c>
    </row>
    <row r="20" spans="1:13" ht="15.75" thickBot="1" x14ac:dyDescent="0.3">
      <c r="B20" s="27" t="s">
        <v>28</v>
      </c>
      <c r="C20" s="24">
        <f>SUM(C18:C19)</f>
        <v>2154869</v>
      </c>
      <c r="D20" s="24">
        <f t="shared" ref="D20:G20" si="14">SUM(D18:D19)</f>
        <v>2382504.8575923825</v>
      </c>
      <c r="E20" s="24">
        <f t="shared" si="14"/>
        <v>2639764.6081005437</v>
      </c>
      <c r="F20" s="24">
        <f t="shared" si="14"/>
        <v>2941127.2275946746</v>
      </c>
      <c r="G20" s="24">
        <f t="shared" si="14"/>
        <v>3277444.7506737616</v>
      </c>
      <c r="I20" s="31"/>
      <c r="J20" s="31"/>
      <c r="K20" s="31"/>
      <c r="L20" s="31"/>
    </row>
    <row r="21" spans="1:13" ht="15.75" thickTop="1" x14ac:dyDescent="0.25">
      <c r="B21" s="28" t="s">
        <v>35</v>
      </c>
      <c r="C21" s="29">
        <f>C20/C12</f>
        <v>0.2980214735105039</v>
      </c>
      <c r="D21" s="29">
        <f t="shared" ref="D21:G21" si="15">D20/D12</f>
        <v>0.31477836629359329</v>
      </c>
      <c r="E21" s="29">
        <f t="shared" si="15"/>
        <v>0.33315638850023988</v>
      </c>
      <c r="F21" s="29">
        <f t="shared" si="15"/>
        <v>0.35450050059456606</v>
      </c>
      <c r="G21" s="29">
        <f t="shared" si="15"/>
        <v>0.37720411412599475</v>
      </c>
      <c r="I21" s="31"/>
      <c r="J21" s="31"/>
      <c r="K21" s="31"/>
      <c r="L21" s="31"/>
    </row>
    <row r="22" spans="1:13" x14ac:dyDescent="0.25">
      <c r="B22" s="7"/>
      <c r="C22" s="7"/>
      <c r="D22" s="7"/>
      <c r="E22" s="7"/>
      <c r="F22" s="7"/>
      <c r="G22" s="7"/>
      <c r="I22" s="31"/>
      <c r="J22" s="31"/>
      <c r="K22" s="31"/>
      <c r="L22" s="31"/>
    </row>
    <row r="23" spans="1:13" ht="15.75" thickBot="1" x14ac:dyDescent="0.3">
      <c r="B23" s="26" t="s">
        <v>12</v>
      </c>
      <c r="C23" s="25">
        <v>2023</v>
      </c>
      <c r="D23" s="25" t="s">
        <v>13</v>
      </c>
      <c r="E23" s="25" t="s">
        <v>14</v>
      </c>
      <c r="F23" s="25" t="s">
        <v>15</v>
      </c>
      <c r="G23" s="25" t="s">
        <v>16</v>
      </c>
      <c r="I23" s="31"/>
      <c r="J23" s="31"/>
      <c r="K23" s="31"/>
      <c r="L23" s="31"/>
    </row>
    <row r="24" spans="1:13" ht="15.75" thickTop="1" x14ac:dyDescent="0.25">
      <c r="B24" s="7" t="s">
        <v>36</v>
      </c>
      <c r="C24" s="23">
        <f>C18</f>
        <v>1935181</v>
      </c>
      <c r="D24" s="23">
        <f t="shared" ref="D24:G24" si="16">D18</f>
        <v>2154029.3375923824</v>
      </c>
      <c r="E24" s="23">
        <f t="shared" si="16"/>
        <v>2402447.0854765438</v>
      </c>
      <c r="F24" s="23">
        <f t="shared" si="16"/>
        <v>2695266.2741562105</v>
      </c>
      <c r="G24" s="23">
        <f t="shared" si="16"/>
        <v>3022978.6638649516</v>
      </c>
      <c r="I24" s="31"/>
      <c r="J24" s="31"/>
      <c r="K24" s="31"/>
      <c r="L24" s="31"/>
    </row>
    <row r="25" spans="1:13" x14ac:dyDescent="0.25">
      <c r="B25" s="7" t="s">
        <v>30</v>
      </c>
      <c r="C25" s="23">
        <v>-711276</v>
      </c>
      <c r="D25" s="23">
        <f t="shared" ref="D25:G25" si="17">C25+C25*I25</f>
        <v>-739727.04</v>
      </c>
      <c r="E25" s="23">
        <f t="shared" si="17"/>
        <v>-768354.47644800006</v>
      </c>
      <c r="F25" s="23">
        <f t="shared" si="17"/>
        <v>-796015.23760012805</v>
      </c>
      <c r="G25" s="23">
        <f t="shared" si="17"/>
        <v>-823875.77091613249</v>
      </c>
      <c r="I25" s="31">
        <v>0.04</v>
      </c>
      <c r="J25" s="31">
        <v>3.8699999999999998E-2</v>
      </c>
      <c r="K25" s="31">
        <v>3.5999999999999997E-2</v>
      </c>
      <c r="L25" s="31">
        <v>3.5000000000000003E-2</v>
      </c>
    </row>
    <row r="26" spans="1:13" ht="15.75" thickBot="1" x14ac:dyDescent="0.3">
      <c r="B26" s="27" t="s">
        <v>31</v>
      </c>
      <c r="C26" s="24">
        <f>SUM(C24:C25)</f>
        <v>1223905</v>
      </c>
      <c r="D26" s="24">
        <f t="shared" ref="D26:G26" si="18">SUM(D24:D25)</f>
        <v>1414302.2975923824</v>
      </c>
      <c r="E26" s="24">
        <f t="shared" si="18"/>
        <v>1634092.6090285438</v>
      </c>
      <c r="F26" s="24">
        <f t="shared" si="18"/>
        <v>1899251.0365560823</v>
      </c>
      <c r="G26" s="24">
        <f t="shared" si="18"/>
        <v>2199102.8929488193</v>
      </c>
    </row>
    <row r="27" spans="1:13" ht="15.75" thickTop="1" x14ac:dyDescent="0.25">
      <c r="B27" s="7" t="s">
        <v>37</v>
      </c>
      <c r="C27" s="30">
        <f>C28/C26</f>
        <v>0.23361698824663679</v>
      </c>
      <c r="D27" s="30">
        <v>0.25355452852513199</v>
      </c>
      <c r="E27" s="30">
        <v>0.25355452852513199</v>
      </c>
      <c r="F27" s="30">
        <v>0.25355452852513199</v>
      </c>
      <c r="G27" s="30">
        <v>0.25355452852513199</v>
      </c>
    </row>
    <row r="28" spans="1:13" x14ac:dyDescent="0.25">
      <c r="B28" s="7" t="s">
        <v>32</v>
      </c>
      <c r="C28" s="23">
        <v>285925</v>
      </c>
      <c r="D28" s="23">
        <f>D26*D27</f>
        <v>358602.75225804746</v>
      </c>
      <c r="E28" s="23">
        <f>E26*E27</f>
        <v>414331.5810486353</v>
      </c>
      <c r="F28" s="23">
        <f>F26*F27</f>
        <v>481563.70112484565</v>
      </c>
      <c r="G28" s="23">
        <f>G26*G27</f>
        <v>557592.49719989172</v>
      </c>
    </row>
    <row r="29" spans="1:13" ht="15.75" thickBot="1" x14ac:dyDescent="0.3">
      <c r="B29" s="27" t="s">
        <v>33</v>
      </c>
      <c r="C29" s="24">
        <f>C26-C28</f>
        <v>937980</v>
      </c>
      <c r="D29" s="24">
        <f t="shared" ref="D29:G29" si="19">D26-D28</f>
        <v>1055699.545334335</v>
      </c>
      <c r="E29" s="24">
        <f t="shared" si="19"/>
        <v>1219761.0279799085</v>
      </c>
      <c r="F29" s="24">
        <f t="shared" si="19"/>
        <v>1417687.3354312368</v>
      </c>
      <c r="G29" s="24">
        <f t="shared" si="19"/>
        <v>1641510.3957489277</v>
      </c>
    </row>
    <row r="30" spans="1:13" ht="15.75" thickTop="1" x14ac:dyDescent="0.25">
      <c r="B30" s="28" t="s">
        <v>38</v>
      </c>
      <c r="C30" s="29">
        <f>C29/C12</f>
        <v>0.12972397938036256</v>
      </c>
      <c r="D30" s="29">
        <f t="shared" ref="D30:G30" si="20">D29/D12</f>
        <v>0.13947983237819933</v>
      </c>
      <c r="E30" s="29">
        <f t="shared" si="20"/>
        <v>0.15394220290252805</v>
      </c>
      <c r="F30" s="29">
        <f t="shared" si="20"/>
        <v>0.17087695676054268</v>
      </c>
      <c r="G30" s="29">
        <f t="shared" si="20"/>
        <v>0.18892293288233047</v>
      </c>
    </row>
    <row r="31" spans="1:13" x14ac:dyDescent="0.25"/>
    <row r="32" spans="1:13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</sheetData>
  <mergeCells count="1">
    <mergeCell ref="I4:L4"/>
  </mergeCells>
  <pageMargins left="0.511811024" right="0.511811024" top="0.78740157499999996" bottom="0.78740157499999996" header="0.31496062000000002" footer="0.31496062000000002"/>
  <ignoredErrors>
    <ignoredError sqref="C12" formulaRange="1"/>
    <ignoredError sqref="E12:G12 D14:G14 D18:G18 E16:G16 D15:G15 D17:G17 D19:G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6757-0600-4656-816F-700CA73F9E76}">
  <dimension ref="A1:X32"/>
  <sheetViews>
    <sheetView workbookViewId="0">
      <selection activeCell="N22" sqref="N22"/>
    </sheetView>
  </sheetViews>
  <sheetFormatPr defaultColWidth="0" defaultRowHeight="15" zeroHeight="1" x14ac:dyDescent="0.25"/>
  <cols>
    <col min="1" max="1" width="9.140625" customWidth="1"/>
    <col min="2" max="2" width="22.42578125" bestFit="1" customWidth="1"/>
    <col min="3" max="12" width="9.140625" customWidth="1"/>
    <col min="13" max="13" width="11.5703125" bestFit="1" customWidth="1"/>
    <col min="14" max="14" width="9.140625" customWidth="1"/>
    <col min="15" max="15" width="14.28515625" bestFit="1" customWidth="1"/>
    <col min="16" max="24" width="9.140625" customWidth="1"/>
    <col min="25" max="16384" width="9.140625" hidden="1"/>
  </cols>
  <sheetData>
    <row r="1" spans="2:23" x14ac:dyDescent="0.25"/>
    <row r="2" spans="2:23" x14ac:dyDescent="0.25">
      <c r="B2" s="6" t="s">
        <v>44</v>
      </c>
    </row>
    <row r="3" spans="2:23" x14ac:dyDescent="0.25"/>
    <row r="4" spans="2:23" x14ac:dyDescent="0.25"/>
    <row r="5" spans="2:23" ht="15.75" thickBot="1" x14ac:dyDescent="0.3">
      <c r="B5" s="33"/>
      <c r="C5" s="25" t="s">
        <v>13</v>
      </c>
      <c r="D5" s="25" t="s">
        <v>14</v>
      </c>
      <c r="E5" s="25" t="s">
        <v>14</v>
      </c>
      <c r="F5" s="25" t="s">
        <v>16</v>
      </c>
    </row>
    <row r="6" spans="2:23" ht="15.75" thickTop="1" x14ac:dyDescent="0.25">
      <c r="B6" s="7" t="s">
        <v>29</v>
      </c>
      <c r="C6" s="23">
        <f>'2| Projeções'!D24</f>
        <v>2154029.3375923824</v>
      </c>
      <c r="D6" s="23">
        <f>'2| Projeções'!E24</f>
        <v>2402447.0854765438</v>
      </c>
      <c r="E6" s="23">
        <f>'2| Projeções'!F24</f>
        <v>2695266.2741562105</v>
      </c>
      <c r="F6" s="23">
        <f>'2| Projeções'!G24</f>
        <v>3022978.6638649516</v>
      </c>
    </row>
    <row r="7" spans="2:23" x14ac:dyDescent="0.25">
      <c r="B7" s="34" t="s">
        <v>39</v>
      </c>
      <c r="C7" s="35">
        <v>0.34</v>
      </c>
      <c r="D7" s="35">
        <v>0.34</v>
      </c>
      <c r="E7" s="35">
        <v>0.34</v>
      </c>
      <c r="F7" s="35">
        <v>0.34</v>
      </c>
      <c r="I7" s="6" t="s">
        <v>45</v>
      </c>
    </row>
    <row r="8" spans="2:23" x14ac:dyDescent="0.25">
      <c r="B8" s="7" t="s">
        <v>40</v>
      </c>
      <c r="C8" s="36">
        <f>C6-C6*C7</f>
        <v>1421659.3628109724</v>
      </c>
      <c r="D8" s="36">
        <f t="shared" ref="D8:F8" si="0">D6-D6*D7</f>
        <v>1585615.076414519</v>
      </c>
      <c r="E8" s="36">
        <f t="shared" si="0"/>
        <v>1778875.7409430989</v>
      </c>
      <c r="F8" s="36">
        <f t="shared" si="0"/>
        <v>1995165.9181508678</v>
      </c>
    </row>
    <row r="9" spans="2:23" x14ac:dyDescent="0.25">
      <c r="B9" s="7" t="s">
        <v>27</v>
      </c>
      <c r="C9" s="23">
        <f>'2| Projeções'!D19</f>
        <v>228475.51999999999</v>
      </c>
      <c r="D9" s="23">
        <f>'2| Projeções'!E19</f>
        <v>237317.52262399998</v>
      </c>
      <c r="E9" s="23">
        <f>'2| Projeções'!F19</f>
        <v>245860.95343846397</v>
      </c>
      <c r="F9" s="23">
        <f>'2| Projeções'!G19</f>
        <v>254466.08680881021</v>
      </c>
    </row>
    <row r="10" spans="2:23" x14ac:dyDescent="0.25">
      <c r="B10" s="7" t="s">
        <v>41</v>
      </c>
      <c r="C10" s="23">
        <v>253202.975277199</v>
      </c>
      <c r="D10" s="23">
        <v>273706.89115594001</v>
      </c>
      <c r="E10" s="23">
        <v>295871.17680680699</v>
      </c>
      <c r="F10" s="23">
        <v>319830.28595056501</v>
      </c>
    </row>
    <row r="11" spans="2:23" x14ac:dyDescent="0.25">
      <c r="B11" s="7" t="s">
        <v>42</v>
      </c>
      <c r="C11" s="23">
        <v>934409.02784999995</v>
      </c>
      <c r="D11" s="23">
        <v>977905.76809641742</v>
      </c>
      <c r="E11" s="23">
        <v>1023427.2816013057</v>
      </c>
      <c r="F11" s="23">
        <v>1071067.8215598464</v>
      </c>
      <c r="I11" s="38" t="s">
        <v>46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2:23" ht="15.75" thickBot="1" x14ac:dyDescent="0.3">
      <c r="B12" s="27" t="s">
        <v>43</v>
      </c>
      <c r="C12" s="37">
        <f>C8+C9-C10-C11</f>
        <v>462522.8796837735</v>
      </c>
      <c r="D12" s="37">
        <f t="shared" ref="D12:F12" si="1">D8+D9-D10-D11</f>
        <v>571319.93978616153</v>
      </c>
      <c r="E12" s="37">
        <f t="shared" si="1"/>
        <v>705438.23597345024</v>
      </c>
      <c r="F12" s="37">
        <f t="shared" si="1"/>
        <v>858733.8974492664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2:23" ht="15.75" thickTop="1" x14ac:dyDescent="0.25">
      <c r="B13" s="7" t="s">
        <v>61</v>
      </c>
      <c r="C13" s="2">
        <v>1.0951</v>
      </c>
      <c r="D13" s="2">
        <v>1.0951</v>
      </c>
      <c r="E13" s="2">
        <v>1.0951</v>
      </c>
      <c r="F13" s="2">
        <v>1.0951</v>
      </c>
    </row>
    <row r="14" spans="2:23" x14ac:dyDescent="0.25"/>
    <row r="15" spans="2:23" x14ac:dyDescent="0.25">
      <c r="B15" s="51">
        <f>C12/C13+D12/D13^2+E12/E13^3+F12/F13^4</f>
        <v>2033004.4784257538</v>
      </c>
      <c r="C15" s="49" t="s">
        <v>64</v>
      </c>
    </row>
    <row r="16" spans="2:23" x14ac:dyDescent="0.25"/>
    <row r="17" spans="1:24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x14ac:dyDescent="0.25"/>
    <row r="19" spans="1:24" x14ac:dyDescent="0.25">
      <c r="B19" s="6" t="s">
        <v>71</v>
      </c>
    </row>
    <row r="20" spans="1:24" x14ac:dyDescent="0.25"/>
    <row r="21" spans="1:24" x14ac:dyDescent="0.25">
      <c r="B21" s="52"/>
      <c r="C21" s="2"/>
    </row>
    <row r="22" spans="1:24" x14ac:dyDescent="0.25">
      <c r="G22" t="s">
        <v>72</v>
      </c>
      <c r="H22" s="57" t="s">
        <v>73</v>
      </c>
      <c r="I22" s="53">
        <f>F12</f>
        <v>858733.8974492664</v>
      </c>
      <c r="J22" s="56" t="s">
        <v>74</v>
      </c>
      <c r="K22" s="54">
        <v>1.0149999999999999</v>
      </c>
      <c r="L22" s="57" t="s">
        <v>73</v>
      </c>
      <c r="M22" s="50">
        <f>I22*K22</f>
        <v>871614.90591100533</v>
      </c>
      <c r="N22" s="57" t="s">
        <v>73</v>
      </c>
      <c r="O22" s="50">
        <f>M22/M23</f>
        <v>11916423.014521122</v>
      </c>
    </row>
    <row r="23" spans="1:24" x14ac:dyDescent="0.25">
      <c r="B23" s="2"/>
      <c r="I23" s="55" t="s">
        <v>75</v>
      </c>
      <c r="J23" s="55"/>
      <c r="K23" s="55"/>
      <c r="M23" s="31">
        <f>(9.51%-1.5%)/(109.51%)</f>
        <v>7.3144005113688251E-2</v>
      </c>
    </row>
    <row r="24" spans="1:24" x14ac:dyDescent="0.25">
      <c r="B24" s="2"/>
      <c r="J24" s="2">
        <v>1.0951</v>
      </c>
    </row>
    <row r="25" spans="1:24" x14ac:dyDescent="0.25"/>
    <row r="26" spans="1:24" x14ac:dyDescent="0.25">
      <c r="B26" s="50"/>
    </row>
    <row r="27" spans="1:24" x14ac:dyDescent="0.25"/>
    <row r="28" spans="1:24" x14ac:dyDescent="0.25"/>
    <row r="29" spans="1:24" x14ac:dyDescent="0.25"/>
    <row r="30" spans="1:24" x14ac:dyDescent="0.25"/>
    <row r="31" spans="1:24" x14ac:dyDescent="0.25"/>
    <row r="32" spans="1:24" x14ac:dyDescent="0.25"/>
  </sheetData>
  <mergeCells count="2">
    <mergeCell ref="I11:W12"/>
    <mergeCell ref="I23:K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A89-9DDF-4B7E-84F5-A66566017FB9}">
  <dimension ref="B2:E20"/>
  <sheetViews>
    <sheetView workbookViewId="0">
      <selection activeCell="D15" sqref="D15:E15"/>
    </sheetView>
  </sheetViews>
  <sheetFormatPr defaultRowHeight="15" x14ac:dyDescent="0.25"/>
  <cols>
    <col min="2" max="2" width="30.42578125" bestFit="1" customWidth="1"/>
    <col min="3" max="3" width="9.85546875" bestFit="1" customWidth="1"/>
  </cols>
  <sheetData>
    <row r="2" spans="2:5" x14ac:dyDescent="0.25">
      <c r="B2" s="6" t="s">
        <v>61</v>
      </c>
    </row>
    <row r="5" spans="2:5" ht="15.75" thickBot="1" x14ac:dyDescent="0.3">
      <c r="B5" s="39" t="s">
        <v>47</v>
      </c>
    </row>
    <row r="6" spans="2:5" x14ac:dyDescent="0.25">
      <c r="B6" s="40" t="s">
        <v>48</v>
      </c>
      <c r="C6" s="41">
        <v>5.5300000000000002E-2</v>
      </c>
      <c r="E6" t="s">
        <v>62</v>
      </c>
    </row>
    <row r="7" spans="2:5" x14ac:dyDescent="0.25">
      <c r="B7" s="20" t="s">
        <v>49</v>
      </c>
      <c r="C7" s="3">
        <v>6.5000000000000002E-2</v>
      </c>
      <c r="E7" t="s">
        <v>62</v>
      </c>
    </row>
    <row r="8" spans="2:5" x14ac:dyDescent="0.25">
      <c r="B8" s="20" t="s">
        <v>50</v>
      </c>
      <c r="C8" s="4">
        <v>0.81</v>
      </c>
      <c r="E8" t="s">
        <v>62</v>
      </c>
    </row>
    <row r="9" spans="2:5" ht="15.75" thickBot="1" x14ac:dyDescent="0.3">
      <c r="B9" s="20" t="s">
        <v>51</v>
      </c>
      <c r="C9" s="3">
        <v>2.1499999999999998E-2</v>
      </c>
      <c r="E9" t="s">
        <v>62</v>
      </c>
    </row>
    <row r="10" spans="2:5" ht="15.75" thickBot="1" x14ac:dyDescent="0.3">
      <c r="B10" s="19" t="s">
        <v>52</v>
      </c>
      <c r="C10" s="42">
        <f>C6+C9+C7*C8</f>
        <v>0.12945000000000001</v>
      </c>
      <c r="D10" s="2"/>
    </row>
    <row r="11" spans="2:5" ht="15.75" thickTop="1" x14ac:dyDescent="0.25">
      <c r="B11" s="20" t="s">
        <v>53</v>
      </c>
      <c r="C11" s="3">
        <v>0.11849999999999999</v>
      </c>
      <c r="E11" t="s">
        <v>62</v>
      </c>
    </row>
    <row r="12" spans="2:5" ht="15.75" thickBot="1" x14ac:dyDescent="0.3">
      <c r="B12" s="20" t="s">
        <v>54</v>
      </c>
      <c r="C12" s="1">
        <v>0.66</v>
      </c>
    </row>
    <row r="13" spans="2:5" ht="15.75" thickBot="1" x14ac:dyDescent="0.3">
      <c r="B13" s="19" t="s">
        <v>55</v>
      </c>
      <c r="C13" s="42">
        <f>C11*C12</f>
        <v>7.8210000000000002E-2</v>
      </c>
      <c r="E13" s="2"/>
    </row>
    <row r="14" spans="2:5" ht="15.75" thickTop="1" x14ac:dyDescent="0.25">
      <c r="B14" s="20" t="s">
        <v>56</v>
      </c>
      <c r="C14" s="21">
        <v>10614452</v>
      </c>
      <c r="E14" t="s">
        <v>70</v>
      </c>
    </row>
    <row r="15" spans="2:5" ht="15.75" thickBot="1" x14ac:dyDescent="0.3">
      <c r="B15" s="20" t="s">
        <v>57</v>
      </c>
      <c r="C15" s="21">
        <v>5241866</v>
      </c>
      <c r="E15" t="s">
        <v>70</v>
      </c>
    </row>
    <row r="16" spans="2:5" ht="15.75" thickBot="1" x14ac:dyDescent="0.3">
      <c r="B16" s="19" t="s">
        <v>58</v>
      </c>
      <c r="C16" s="22">
        <f>SUM(C14:C15)</f>
        <v>15856318</v>
      </c>
    </row>
    <row r="17" spans="2:3" ht="15.75" thickTop="1" x14ac:dyDescent="0.25">
      <c r="B17" s="20" t="s">
        <v>59</v>
      </c>
      <c r="C17" s="1">
        <f>C15/C16</f>
        <v>0.33058532251938944</v>
      </c>
    </row>
    <row r="18" spans="2:3" ht="15.75" thickBot="1" x14ac:dyDescent="0.3">
      <c r="B18" s="43" t="s">
        <v>60</v>
      </c>
      <c r="C18" s="5">
        <f>C14/C16</f>
        <v>0.66941467748061056</v>
      </c>
    </row>
    <row r="19" spans="2:3" ht="15.75" thickBot="1" x14ac:dyDescent="0.3">
      <c r="B19" s="44" t="s">
        <v>61</v>
      </c>
      <c r="C19" s="45">
        <f>C10*C17+C13*C18</f>
        <v>9.5149191925893523E-2</v>
      </c>
    </row>
    <row r="20" spans="2:3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EAED-F686-4926-9D6A-EC5410954851}">
  <dimension ref="B1:E12"/>
  <sheetViews>
    <sheetView tabSelected="1" workbookViewId="0">
      <selection activeCell="G1" sqref="G1:XFD1048576"/>
    </sheetView>
  </sheetViews>
  <sheetFormatPr defaultColWidth="0" defaultRowHeight="15" zeroHeight="1" x14ac:dyDescent="0.25"/>
  <cols>
    <col min="1" max="1" width="9.140625" customWidth="1"/>
    <col min="2" max="2" width="31.85546875" bestFit="1" customWidth="1"/>
    <col min="3" max="3" width="9.85546875" bestFit="1" customWidth="1"/>
    <col min="4" max="6" width="9.140625" customWidth="1"/>
    <col min="7" max="16384" width="9.140625" hidden="1"/>
  </cols>
  <sheetData>
    <row r="1" spans="2:5" x14ac:dyDescent="0.25"/>
    <row r="2" spans="2:5" x14ac:dyDescent="0.25">
      <c r="B2" s="6" t="s">
        <v>69</v>
      </c>
    </row>
    <row r="3" spans="2:5" x14ac:dyDescent="0.25"/>
    <row r="4" spans="2:5" x14ac:dyDescent="0.25"/>
    <row r="5" spans="2:5" ht="15.75" thickBot="1" x14ac:dyDescent="0.3">
      <c r="B5" s="39" t="s">
        <v>63</v>
      </c>
    </row>
    <row r="6" spans="2:5" x14ac:dyDescent="0.25">
      <c r="B6" s="40" t="s">
        <v>64</v>
      </c>
      <c r="C6" s="46">
        <f>'3| Fluxo de Caixa'!B15</f>
        <v>2033004.4784257538</v>
      </c>
    </row>
    <row r="7" spans="2:5" ht="15.75" thickBot="1" x14ac:dyDescent="0.3">
      <c r="B7" s="20" t="s">
        <v>65</v>
      </c>
      <c r="C7" s="21">
        <f>'3| Fluxo de Caixa'!O22</f>
        <v>11916423.014521122</v>
      </c>
    </row>
    <row r="8" spans="2:5" ht="15.75" thickBot="1" x14ac:dyDescent="0.3">
      <c r="B8" s="19" t="s">
        <v>66</v>
      </c>
      <c r="C8" s="22">
        <f>SUM(C6:C7)</f>
        <v>13949427.492946876</v>
      </c>
    </row>
    <row r="9" spans="2:5" ht="16.5" thickTop="1" thickBot="1" x14ac:dyDescent="0.3">
      <c r="B9" s="43" t="s">
        <v>67</v>
      </c>
      <c r="C9" s="47">
        <v>2874000</v>
      </c>
      <c r="E9" t="s">
        <v>70</v>
      </c>
    </row>
    <row r="10" spans="2:5" ht="15.75" thickBot="1" x14ac:dyDescent="0.3">
      <c r="B10" s="44" t="s">
        <v>68</v>
      </c>
      <c r="C10" s="48">
        <f>C8-C9</f>
        <v>11075427.492946876</v>
      </c>
    </row>
    <row r="11" spans="2:5" ht="15.75" thickTop="1" x14ac:dyDescent="0.25"/>
    <row r="12" spans="2:5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1| Premissas</vt:lpstr>
      <vt:lpstr>2| Projeções</vt:lpstr>
      <vt:lpstr>3| Fluxo de Caixa</vt:lpstr>
      <vt:lpstr>4| Custo de Capital</vt:lpstr>
      <vt:lpstr>6|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Arthur Expedito</cp:lastModifiedBy>
  <dcterms:created xsi:type="dcterms:W3CDTF">2015-06-05T18:19:34Z</dcterms:created>
  <dcterms:modified xsi:type="dcterms:W3CDTF">2024-08-20T04:51:06Z</dcterms:modified>
</cp:coreProperties>
</file>