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928"/>
  <workbookPr/>
  <xr:revisionPtr revIDLastSave="0" documentId="8_{C9B23D3C-C13B-49A1-A0A7-580316D4DFCE}" xr6:coauthVersionLast="47" xr6:coauthVersionMax="47" xr10:uidLastSave="{00000000-0000-0000-0000-000000000000}"/>
  <bookViews>
    <workbookView xWindow="240" yWindow="105" windowWidth="14805" windowHeight="8010" activeTab="3" xr2:uid="{00000000-000D-0000-FFFF-FFFF00000000}"/>
  </bookViews>
  <sheets>
    <sheet name="Sip Calculation" sheetId="1" r:id="rId1"/>
    <sheet name="SWP" sheetId="2" r:id="rId2"/>
    <sheet name="Retirement" sheetId="3" r:id="rId3"/>
    <sheet name="Car Planning" sheetId="4"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4" l="1"/>
  <c r="D23" i="3"/>
  <c r="G23" i="3"/>
  <c r="D24" i="3"/>
  <c r="D21" i="3"/>
  <c r="D20" i="3"/>
  <c r="G16" i="3"/>
  <c r="D19" i="3"/>
  <c r="D17" i="3"/>
  <c r="D18" i="3" s="1"/>
  <c r="D16" i="3"/>
  <c r="D12" i="2"/>
  <c r="D13" i="2" s="1"/>
  <c r="D14" i="2" s="1"/>
  <c r="F170" i="1"/>
  <c r="F168" i="1"/>
  <c r="F161" i="1"/>
  <c r="F158" i="1"/>
  <c r="F152" i="1"/>
  <c r="F149" i="1"/>
  <c r="F143" i="1"/>
  <c r="F140" i="1"/>
  <c r="F134" i="1"/>
  <c r="F131" i="1"/>
  <c r="F125" i="1"/>
  <c r="F122" i="1"/>
  <c r="F116" i="1"/>
  <c r="F113" i="1"/>
  <c r="F107" i="1"/>
  <c r="F104" i="1"/>
  <c r="F98" i="1"/>
  <c r="F95" i="1"/>
  <c r="F89" i="1"/>
  <c r="F86" i="1"/>
  <c r="F80" i="1"/>
  <c r="F77" i="1"/>
  <c r="F71" i="1"/>
  <c r="F68" i="1"/>
  <c r="F62" i="1"/>
  <c r="F59" i="1"/>
  <c r="F53" i="1"/>
  <c r="F50" i="1"/>
  <c r="F39" i="1"/>
  <c r="F48" i="1" s="1"/>
  <c r="F57" i="1" s="1"/>
  <c r="F66" i="1" s="1"/>
  <c r="F75" i="1" s="1"/>
  <c r="F84" i="1" s="1"/>
  <c r="F93" i="1" s="1"/>
  <c r="F102" i="1" s="1"/>
  <c r="F111" i="1" s="1"/>
  <c r="F120" i="1" s="1"/>
  <c r="F129" i="1" s="1"/>
  <c r="F138" i="1" s="1"/>
  <c r="F147" i="1" s="1"/>
  <c r="F156" i="1" s="1"/>
  <c r="F44" i="1"/>
  <c r="F41" i="1"/>
  <c r="F35" i="1"/>
  <c r="F32" i="1"/>
  <c r="F18" i="1"/>
  <c r="F16" i="1"/>
  <c r="F7" i="1"/>
  <c r="F5" i="1"/>
  <c r="D14" i="4" l="1"/>
  <c r="D17" i="4"/>
  <c r="D18" i="4" s="1"/>
  <c r="D16" i="4"/>
  <c r="D15" i="4"/>
  <c r="D15" i="2"/>
  <c r="E12" i="2"/>
  <c r="F172" i="1"/>
  <c r="F9" i="1"/>
  <c r="F20" i="1"/>
  <c r="F37" i="1"/>
  <c r="F42" i="1" s="1"/>
  <c r="F46" i="1" s="1"/>
  <c r="F51" i="1" s="1"/>
  <c r="F55" i="1" s="1"/>
  <c r="F60" i="1" s="1"/>
  <c r="F64" i="1" s="1"/>
  <c r="F69" i="1" s="1"/>
  <c r="F73" i="1" s="1"/>
  <c r="F78" i="1" s="1"/>
  <c r="F82" i="1" s="1"/>
  <c r="F87" i="1" s="1"/>
  <c r="F91" i="1" s="1"/>
  <c r="F96" i="1" s="1"/>
  <c r="F100" i="1" s="1"/>
  <c r="F105" i="1" s="1"/>
  <c r="F109" i="1" s="1"/>
  <c r="F114" i="1" s="1"/>
  <c r="F118" i="1" s="1"/>
  <c r="F123" i="1" s="1"/>
  <c r="F127" i="1" s="1"/>
  <c r="F132" i="1" s="1"/>
  <c r="F136" i="1" s="1"/>
  <c r="F141" i="1" s="1"/>
  <c r="F145" i="1" s="1"/>
  <c r="F150" i="1" s="1"/>
  <c r="F154" i="1" s="1"/>
  <c r="F159" i="1" s="1"/>
  <c r="F163" i="1" s="1"/>
  <c r="F174" i="1" s="1"/>
  <c r="D16" i="2" l="1"/>
  <c r="E13" i="2"/>
  <c r="E14" i="2" s="1"/>
  <c r="E15" i="2" s="1"/>
  <c r="F22" i="1"/>
  <c r="E16" i="2" l="1"/>
  <c r="D17" i="2"/>
  <c r="E17" i="2" l="1"/>
  <c r="D18" i="2"/>
  <c r="E18" i="2" l="1"/>
  <c r="D19" i="2"/>
  <c r="E19" i="2" l="1"/>
  <c r="D20" i="2"/>
  <c r="E20" i="2" l="1"/>
  <c r="D21" i="2"/>
  <c r="E21" i="2" l="1"/>
  <c r="D22" i="2"/>
  <c r="E22" i="2" l="1"/>
  <c r="D23" i="2"/>
  <c r="E23" i="2" l="1"/>
  <c r="D24" i="2"/>
  <c r="E24" i="2" l="1"/>
  <c r="D25" i="2"/>
  <c r="E25" i="2" l="1"/>
  <c r="D26" i="2"/>
  <c r="E26" i="2" l="1"/>
  <c r="D27" i="2"/>
  <c r="E27" i="2" l="1"/>
  <c r="D28" i="2"/>
  <c r="E28" i="2" l="1"/>
  <c r="D29" i="2"/>
  <c r="E29" i="2" l="1"/>
  <c r="D30" i="2"/>
  <c r="E30" i="2" l="1"/>
  <c r="D31" i="2"/>
  <c r="E31" i="2" l="1"/>
  <c r="D32" i="2"/>
  <c r="E32" i="2" l="1"/>
  <c r="D33" i="2"/>
  <c r="E33" i="2" l="1"/>
  <c r="D34" i="2"/>
  <c r="E34" i="2" l="1"/>
  <c r="D35" i="2"/>
  <c r="E35" i="2" l="1"/>
  <c r="D36" i="2"/>
  <c r="E36" i="2" s="1"/>
</calcChain>
</file>

<file path=xl/sharedStrings.xml><?xml version="1.0" encoding="utf-8"?>
<sst xmlns="http://schemas.openxmlformats.org/spreadsheetml/2006/main" count="199" uniqueCount="82">
  <si>
    <t>1st Case</t>
  </si>
  <si>
    <t>Monthly SIP Amount (₹):</t>
  </si>
  <si>
    <t>Investment Period (years):</t>
  </si>
  <si>
    <t>Nper</t>
  </si>
  <si>
    <t>Expected Annual Return (%)</t>
  </si>
  <si>
    <t>rate</t>
  </si>
  <si>
    <t>Read this. Here I am assuming a return of 12% annually, But I have to divide it by 12 as I am doing a montly calculation, so I have to bring out the yearly return to monthly return.</t>
  </si>
  <si>
    <t>FV</t>
  </si>
  <si>
    <t>2nd Case</t>
  </si>
  <si>
    <t>If in the above scenario the client has current investment amount which he wants to add into this</t>
  </si>
  <si>
    <t>Then, we should just make separate calculation for it</t>
  </si>
  <si>
    <t>Other Investments</t>
  </si>
  <si>
    <t>Rate</t>
  </si>
  <si>
    <t>As the client may have these funds invested in different investment giving different level of returns which could be different than the returns which the SIP instrument will be yeilding. Thats the reason we need to do this calculation diferently</t>
  </si>
  <si>
    <t xml:space="preserve">Actual Expected FV </t>
  </si>
  <si>
    <t>I added the Sip FV and Lumpsum Fv</t>
  </si>
  <si>
    <t>3rd Case</t>
  </si>
  <si>
    <t>If the Client wants to do a step Up Sip, with a lumpsum investment of 2 lakhs for 15 years</t>
  </si>
  <si>
    <t xml:space="preserve">Now here Just the Sip calculation will change. </t>
  </si>
  <si>
    <t>Assumed Rate of return for Sip instrument is 12% annually and for lumpsum instrument it is 15%</t>
  </si>
  <si>
    <t xml:space="preserve">Step Up Rate </t>
  </si>
  <si>
    <t>Year 1</t>
  </si>
  <si>
    <t xml:space="preserve">Present Value </t>
  </si>
  <si>
    <t>Year 2</t>
  </si>
  <si>
    <t>Present Value</t>
  </si>
  <si>
    <t>Year 3</t>
  </si>
  <si>
    <t>Year 4</t>
  </si>
  <si>
    <t>Year 5</t>
  </si>
  <si>
    <t>Year 6</t>
  </si>
  <si>
    <t>Year 7</t>
  </si>
  <si>
    <t>Year 8</t>
  </si>
  <si>
    <t>Year 9</t>
  </si>
  <si>
    <t>Year 10</t>
  </si>
  <si>
    <t>Year 11</t>
  </si>
  <si>
    <t>Year 12</t>
  </si>
  <si>
    <t>Year 13</t>
  </si>
  <si>
    <t>Year 14</t>
  </si>
  <si>
    <t>Year 15</t>
  </si>
  <si>
    <t>Lumpsum Calculation</t>
  </si>
  <si>
    <t>Notes :</t>
  </si>
  <si>
    <t>Here the Viewers of our websites are leymens they will never enter negative values and all for pmt and pv values for any calculation. So you can assume all the pmt and pv values are negative (outflows) here in this matter. So you have handle that smartly. Also they should only be allowed to enter the investment period and expected returns in years you should smartly able to calculate the nper and actual monthly rate. So you gotta include such type of metrics in it.</t>
  </si>
  <si>
    <t>Note : I want the exact same logic and Caluclation metrics for swp</t>
  </si>
  <si>
    <t>Investment Today</t>
  </si>
  <si>
    <t>Inflation % (Yearly)</t>
  </si>
  <si>
    <t>Expected Return</t>
  </si>
  <si>
    <t xml:space="preserve">Withdrawal Rate </t>
  </si>
  <si>
    <t xml:space="preserve">Withdrawal Years </t>
  </si>
  <si>
    <t>Year</t>
  </si>
  <si>
    <t>Withdrawal</t>
  </si>
  <si>
    <t>Kitty</t>
  </si>
  <si>
    <t xml:space="preserve">Current age </t>
  </si>
  <si>
    <t>Retirement age 60</t>
  </si>
  <si>
    <t xml:space="preserve">Current monthly expenses </t>
  </si>
  <si>
    <t>Assumptions</t>
  </si>
  <si>
    <t>Note : There should be a dropdown for this. Assumptions can be changed by the viewer, but you can keep the following as base values their. If the user doesn't make any changes use those values for calculation</t>
  </si>
  <si>
    <t xml:space="preserve">Inflation Pre Retirement </t>
  </si>
  <si>
    <t>Inflation post - Retirement</t>
  </si>
  <si>
    <t>Life expectancy</t>
  </si>
  <si>
    <t>Expected Annual Return Post Retirement</t>
  </si>
  <si>
    <t>Here First we will calculate the inflated monthly expenses at the time of retirement age</t>
  </si>
  <si>
    <t>Expenses at the time of retirement</t>
  </si>
  <si>
    <t>Expected Lifespan after retirement</t>
  </si>
  <si>
    <t>nper</t>
  </si>
  <si>
    <t>Real Rate of Return in Retirement</t>
  </si>
  <si>
    <t>Retirement Corpus Required</t>
  </si>
  <si>
    <t>Sip required today</t>
  </si>
  <si>
    <t>or Lumpsum required</t>
  </si>
  <si>
    <t>So this the retirement calculation, if step up sip is needed you need to do calculation accordingly</t>
  </si>
  <si>
    <t>Car Cost today</t>
  </si>
  <si>
    <t>1000000</t>
  </si>
  <si>
    <t>Inflation</t>
  </si>
  <si>
    <t>Years  to maturity</t>
  </si>
  <si>
    <t xml:space="preserve">Downpayment </t>
  </si>
  <si>
    <t>Yearly Expected Returns (%)</t>
  </si>
  <si>
    <t xml:space="preserve">expected Interest on Loan </t>
  </si>
  <si>
    <t>Loan Tenure</t>
  </si>
  <si>
    <t>Cost of car after 5 years</t>
  </si>
  <si>
    <t>sip Needed today</t>
  </si>
  <si>
    <t>Lumpsum needed today</t>
  </si>
  <si>
    <t>Loam amount</t>
  </si>
  <si>
    <t xml:space="preserve">Emi </t>
  </si>
  <si>
    <t>This is exactly how you need to do Home and car planning, by using the same logic and calculation metrics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</si>
</sst>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 #,##0.00;[Red]&quot;₹&quot;\ \-#,##0.00"/>
  </numFmts>
  <fonts count="1">
    <font>
      <sz val="11"/>
      <color theme="1"/>
      <name val="Aptos Narrow"/>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7">
    <xf numFmtId="0" fontId="0" fillId="0" borderId="0" xfId="0"/>
    <xf numFmtId="8" fontId="0" fillId="0" borderId="0" xfId="0" applyNumberFormat="1"/>
    <xf numFmtId="8" fontId="0" fillId="0" borderId="0" xfId="0" applyNumberFormat="1" applyAlignment="1">
      <alignment wrapText="1"/>
    </xf>
    <xf numFmtId="0" fontId="0" fillId="0" borderId="0" xfId="0" applyAlignment="1">
      <alignment wrapText="1"/>
    </xf>
    <xf numFmtId="1" fontId="0" fillId="0" borderId="0" xfId="0" applyNumberFormat="1"/>
    <xf numFmtId="0" fontId="0" fillId="2" borderId="0" xfId="0" applyFill="1"/>
    <xf numFmtId="0" fontId="0" fillId="0" borderId="0" xfId="0" applyFill="1"/>
    <xf numFmtId="0" fontId="0" fillId="0" borderId="0" xfId="0" applyFill="1" applyAlignment="1">
      <alignment wrapText="1"/>
    </xf>
    <xf numFmtId="1" fontId="0" fillId="0" borderId="0" xfId="0" applyNumberFormat="1" applyFill="1"/>
    <xf numFmtId="8" fontId="0" fillId="2" borderId="0" xfId="0" applyNumberFormat="1" applyFill="1"/>
    <xf numFmtId="8" fontId="0" fillId="0" borderId="0" xfId="0" applyNumberFormat="1" applyFill="1"/>
    <xf numFmtId="9" fontId="0" fillId="0" borderId="0" xfId="0" applyNumberFormat="1"/>
    <xf numFmtId="0" fontId="0" fillId="0" borderId="0" xfId="0" applyAlignment="1">
      <alignment horizontal="center"/>
    </xf>
    <xf numFmtId="1" fontId="0" fillId="0" borderId="0" xfId="0" applyNumberFormat="1" applyAlignment="1">
      <alignment horizontal="center"/>
    </xf>
    <xf numFmtId="8" fontId="0" fillId="0" borderId="0" xfId="0" applyNumberFormat="1" applyAlignment="1">
      <alignment horizontal="center"/>
    </xf>
    <xf numFmtId="0" fontId="0" fillId="2" borderId="0" xfId="0" applyFont="1" applyFill="1"/>
    <xf numFmtId="8" fontId="0" fillId="2" borderId="0" xfId="0" applyNumberFormat="1" applyFont="1" applyFill="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E61BF3A-CD0D-43BC-AE26-281C4BD2CF2C}" name="Table1" displayName="Table1" ref="C4:D5" totalsRowShown="0">
  <autoFilter ref="C4:D5" xr:uid="{9E61BF3A-CD0D-43BC-AE26-281C4BD2CF2C}"/>
  <tableColumns count="2">
    <tableColumn id="1" xr3:uid="{B8A59EC6-A6B1-4FA1-826C-2EDA7C536864}" name="Car Cost today"/>
    <tableColumn id="2" xr3:uid="{83EF5D7B-97AF-44B0-A348-0919724BAA1C}" name="100000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L177"/>
  <sheetViews>
    <sheetView topLeftCell="B33" workbookViewId="0">
      <selection activeCell="L34" sqref="L34"/>
    </sheetView>
  </sheetViews>
  <sheetFormatPr defaultRowHeight="15"/>
  <cols>
    <col min="4" max="4" width="19.7109375" bestFit="1" customWidth="1"/>
    <col min="5" max="5" width="25.5703125" customWidth="1"/>
    <col min="6" max="6" width="16" bestFit="1" customWidth="1"/>
    <col min="7" max="7" width="36.5703125" bestFit="1" customWidth="1"/>
    <col min="8" max="8" width="12.7109375" bestFit="1" customWidth="1"/>
    <col min="12" max="12" width="36.5703125" bestFit="1" customWidth="1"/>
  </cols>
  <sheetData>
    <row r="3" spans="3:12">
      <c r="C3" t="s">
        <v>0</v>
      </c>
      <c r="E3" t="s">
        <v>1</v>
      </c>
      <c r="F3">
        <v>-10000</v>
      </c>
    </row>
    <row r="4" spans="3:12">
      <c r="E4" t="s">
        <v>2</v>
      </c>
      <c r="F4">
        <v>3</v>
      </c>
    </row>
    <row r="5" spans="3:12">
      <c r="E5" s="6" t="s">
        <v>3</v>
      </c>
      <c r="F5" s="6">
        <f>F4*12</f>
        <v>36</v>
      </c>
    </row>
    <row r="6" spans="3:12">
      <c r="E6" s="7" t="s">
        <v>4</v>
      </c>
      <c r="F6" s="8">
        <v>12</v>
      </c>
    </row>
    <row r="7" spans="3:12" ht="72.75">
      <c r="E7" s="6" t="s">
        <v>5</v>
      </c>
      <c r="F7" s="6">
        <f>(F6/12)%</f>
        <v>0.01</v>
      </c>
      <c r="G7" s="3" t="s">
        <v>6</v>
      </c>
      <c r="L7" s="2"/>
    </row>
    <row r="9" spans="3:12">
      <c r="E9" s="5" t="s">
        <v>7</v>
      </c>
      <c r="F9" s="9">
        <f>FV(F7,F5,F3,1)</f>
        <v>430767.35282279737</v>
      </c>
    </row>
    <row r="11" spans="3:12">
      <c r="C11" t="s">
        <v>8</v>
      </c>
      <c r="E11" t="s">
        <v>9</v>
      </c>
    </row>
    <row r="12" spans="3:12">
      <c r="E12" t="s">
        <v>10</v>
      </c>
    </row>
    <row r="14" spans="3:12">
      <c r="E14" t="s">
        <v>11</v>
      </c>
      <c r="F14">
        <v>-200000</v>
      </c>
    </row>
    <row r="15" spans="3:12">
      <c r="E15" t="s">
        <v>2</v>
      </c>
      <c r="F15">
        <v>3</v>
      </c>
    </row>
    <row r="16" spans="3:12">
      <c r="E16" s="6" t="s">
        <v>3</v>
      </c>
      <c r="F16" s="6">
        <f>F15*12</f>
        <v>36</v>
      </c>
    </row>
    <row r="17" spans="3:7">
      <c r="E17" t="s">
        <v>4</v>
      </c>
      <c r="F17">
        <v>14</v>
      </c>
    </row>
    <row r="18" spans="3:7">
      <c r="E18" t="s">
        <v>12</v>
      </c>
      <c r="F18" s="6">
        <f>(F17/12)%</f>
        <v>1.1666666666666667E-2</v>
      </c>
      <c r="G18" t="s">
        <v>13</v>
      </c>
    </row>
    <row r="20" spans="3:7">
      <c r="E20" s="5" t="s">
        <v>7</v>
      </c>
      <c r="F20" s="9">
        <f>FV(F18,F16,,F14,1)</f>
        <v>303653.19883754838</v>
      </c>
    </row>
    <row r="22" spans="3:7">
      <c r="E22" s="5" t="s">
        <v>14</v>
      </c>
      <c r="F22" s="9">
        <f>F9+F20</f>
        <v>734420.55166034575</v>
      </c>
      <c r="G22" t="s">
        <v>15</v>
      </c>
    </row>
    <row r="25" spans="3:7">
      <c r="C25" t="s">
        <v>16</v>
      </c>
      <c r="E25" t="s">
        <v>17</v>
      </c>
    </row>
    <row r="26" spans="3:7">
      <c r="E26" t="s">
        <v>18</v>
      </c>
    </row>
    <row r="27" spans="3:7">
      <c r="E27" t="s">
        <v>19</v>
      </c>
    </row>
    <row r="28" spans="3:7">
      <c r="E28" t="s">
        <v>20</v>
      </c>
      <c r="F28" s="11">
        <v>0.2</v>
      </c>
    </row>
    <row r="30" spans="3:7">
      <c r="D30" t="s">
        <v>21</v>
      </c>
      <c r="E30" t="s">
        <v>1</v>
      </c>
      <c r="F30">
        <v>-10000</v>
      </c>
    </row>
    <row r="31" spans="3:7">
      <c r="E31" t="s">
        <v>2</v>
      </c>
      <c r="F31">
        <v>1</v>
      </c>
    </row>
    <row r="32" spans="3:7">
      <c r="E32" s="6" t="s">
        <v>3</v>
      </c>
      <c r="F32" s="6">
        <f>F31*12</f>
        <v>12</v>
      </c>
    </row>
    <row r="33" spans="4:6">
      <c r="E33" s="6" t="s">
        <v>22</v>
      </c>
      <c r="F33" s="6">
        <v>0</v>
      </c>
    </row>
    <row r="34" spans="4:6">
      <c r="E34" s="7" t="s">
        <v>4</v>
      </c>
      <c r="F34" s="8">
        <v>12</v>
      </c>
    </row>
    <row r="35" spans="4:6">
      <c r="E35" s="6" t="s">
        <v>5</v>
      </c>
      <c r="F35" s="6">
        <f>(F34/12)%</f>
        <v>0.01</v>
      </c>
    </row>
    <row r="37" spans="4:6">
      <c r="E37" s="5" t="s">
        <v>7</v>
      </c>
      <c r="F37" s="9">
        <f>FV(F35,F32,F30,1)</f>
        <v>126823.90330693962</v>
      </c>
    </row>
    <row r="39" spans="4:6">
      <c r="D39" t="s">
        <v>23</v>
      </c>
      <c r="E39" t="s">
        <v>1</v>
      </c>
      <c r="F39" s="4">
        <f>(F30*$F$28)+F30</f>
        <v>-12000</v>
      </c>
    </row>
    <row r="40" spans="4:6">
      <c r="E40" t="s">
        <v>2</v>
      </c>
      <c r="F40">
        <v>1</v>
      </c>
    </row>
    <row r="41" spans="4:6">
      <c r="E41" s="6" t="s">
        <v>3</v>
      </c>
      <c r="F41" s="6">
        <f>F40*12</f>
        <v>12</v>
      </c>
    </row>
    <row r="42" spans="4:6">
      <c r="E42" s="6" t="s">
        <v>24</v>
      </c>
      <c r="F42" s="10">
        <f xml:space="preserve"> -(F37)</f>
        <v>-126823.90330693962</v>
      </c>
    </row>
    <row r="43" spans="4:6">
      <c r="E43" s="7" t="s">
        <v>4</v>
      </c>
      <c r="F43" s="8">
        <v>12</v>
      </c>
    </row>
    <row r="44" spans="4:6">
      <c r="E44" s="6" t="s">
        <v>5</v>
      </c>
      <c r="F44" s="6">
        <f>(F43/12)%</f>
        <v>0.01</v>
      </c>
    </row>
    <row r="46" spans="4:6">
      <c r="E46" s="5" t="s">
        <v>7</v>
      </c>
      <c r="F46" s="9">
        <f>FV(F44,F41,F39,F42,1)</f>
        <v>296620.28518524364</v>
      </c>
    </row>
    <row r="48" spans="4:6">
      <c r="D48" t="s">
        <v>25</v>
      </c>
      <c r="E48" t="s">
        <v>1</v>
      </c>
      <c r="F48" s="4">
        <f>(F39*$F$28)+F39</f>
        <v>-14400</v>
      </c>
    </row>
    <row r="49" spans="4:8">
      <c r="E49" t="s">
        <v>2</v>
      </c>
      <c r="F49">
        <v>1</v>
      </c>
    </row>
    <row r="50" spans="4:8">
      <c r="E50" s="6" t="s">
        <v>3</v>
      </c>
      <c r="F50" s="6">
        <f>F49*12</f>
        <v>12</v>
      </c>
    </row>
    <row r="51" spans="4:8">
      <c r="E51" s="6" t="s">
        <v>24</v>
      </c>
      <c r="F51" s="10">
        <f xml:space="preserve"> -(F46)</f>
        <v>-296620.28518524364</v>
      </c>
    </row>
    <row r="52" spans="4:8">
      <c r="E52" s="7" t="s">
        <v>4</v>
      </c>
      <c r="F52" s="8">
        <v>12</v>
      </c>
    </row>
    <row r="53" spans="4:8">
      <c r="E53" s="6" t="s">
        <v>5</v>
      </c>
      <c r="F53" s="6">
        <f>(F52/12)%</f>
        <v>0.01</v>
      </c>
    </row>
    <row r="55" spans="4:8">
      <c r="E55" s="5" t="s">
        <v>7</v>
      </c>
      <c r="F55" s="9">
        <f>FV(F53,F50,F48,F51,1)</f>
        <v>518693.48561555252</v>
      </c>
      <c r="H55" s="1"/>
    </row>
    <row r="57" spans="4:8">
      <c r="D57" t="s">
        <v>26</v>
      </c>
      <c r="E57" t="s">
        <v>1</v>
      </c>
      <c r="F57" s="4">
        <f>(F48*$F$28)+F48</f>
        <v>-17280</v>
      </c>
    </row>
    <row r="58" spans="4:8">
      <c r="E58" t="s">
        <v>2</v>
      </c>
      <c r="F58">
        <v>1</v>
      </c>
    </row>
    <row r="59" spans="4:8">
      <c r="E59" s="6" t="s">
        <v>3</v>
      </c>
      <c r="F59" s="6">
        <f>F58*12</f>
        <v>12</v>
      </c>
    </row>
    <row r="60" spans="4:8">
      <c r="E60" s="6" t="s">
        <v>24</v>
      </c>
      <c r="F60" s="10">
        <f xml:space="preserve"> -(F55)</f>
        <v>-518693.48561555252</v>
      </c>
    </row>
    <row r="61" spans="4:8">
      <c r="E61" s="7" t="s">
        <v>4</v>
      </c>
      <c r="F61" s="8">
        <v>12</v>
      </c>
    </row>
    <row r="62" spans="4:8">
      <c r="E62" s="6" t="s">
        <v>5</v>
      </c>
      <c r="F62" s="6">
        <f>(F61/12)%</f>
        <v>0.01</v>
      </c>
    </row>
    <row r="64" spans="4:8">
      <c r="E64" s="5" t="s">
        <v>7</v>
      </c>
      <c r="F64" s="9">
        <f>FV(F62,F59,F57,F60,1)</f>
        <v>805821.9911467256</v>
      </c>
    </row>
    <row r="66" spans="4:6">
      <c r="D66" t="s">
        <v>27</v>
      </c>
      <c r="E66" t="s">
        <v>1</v>
      </c>
      <c r="F66" s="4">
        <f>(F57*$F$28)+F57</f>
        <v>-20736</v>
      </c>
    </row>
    <row r="67" spans="4:6">
      <c r="E67" t="s">
        <v>2</v>
      </c>
      <c r="F67">
        <v>1</v>
      </c>
    </row>
    <row r="68" spans="4:6">
      <c r="E68" s="6" t="s">
        <v>3</v>
      </c>
      <c r="F68" s="6">
        <f>F67*12</f>
        <v>12</v>
      </c>
    </row>
    <row r="69" spans="4:6">
      <c r="E69" s="6" t="s">
        <v>24</v>
      </c>
      <c r="F69" s="10">
        <f xml:space="preserve"> -(F64)</f>
        <v>-805821.9911467256</v>
      </c>
    </row>
    <row r="70" spans="4:6">
      <c r="E70" s="7" t="s">
        <v>4</v>
      </c>
      <c r="F70" s="8">
        <v>12</v>
      </c>
    </row>
    <row r="71" spans="4:6">
      <c r="E71" s="6" t="s">
        <v>5</v>
      </c>
      <c r="F71" s="6">
        <f>(F70/12)%</f>
        <v>0.01</v>
      </c>
    </row>
    <row r="73" spans="4:6">
      <c r="E73" s="5" t="s">
        <v>7</v>
      </c>
      <c r="F73" s="9">
        <f>FV(F71,F68,F66,F69,1)</f>
        <v>1173634.615761382</v>
      </c>
    </row>
    <row r="75" spans="4:6">
      <c r="D75" t="s">
        <v>28</v>
      </c>
      <c r="E75" t="s">
        <v>1</v>
      </c>
      <c r="F75" s="4">
        <f>(F66*$F$28)+F66</f>
        <v>-24883.200000000001</v>
      </c>
    </row>
    <row r="76" spans="4:6">
      <c r="E76" t="s">
        <v>2</v>
      </c>
      <c r="F76">
        <v>1</v>
      </c>
    </row>
    <row r="77" spans="4:6">
      <c r="E77" s="6" t="s">
        <v>3</v>
      </c>
      <c r="F77" s="6">
        <f>F76*12</f>
        <v>12</v>
      </c>
    </row>
    <row r="78" spans="4:6">
      <c r="E78" s="6" t="s">
        <v>24</v>
      </c>
      <c r="F78" s="10">
        <f xml:space="preserve"> -(F73)</f>
        <v>-1173634.615761382</v>
      </c>
    </row>
    <row r="79" spans="4:6">
      <c r="E79" s="7" t="s">
        <v>4</v>
      </c>
      <c r="F79" s="8">
        <v>12</v>
      </c>
    </row>
    <row r="80" spans="4:6">
      <c r="E80" s="6" t="s">
        <v>5</v>
      </c>
      <c r="F80" s="6">
        <f>(F79/12)%</f>
        <v>0.01</v>
      </c>
    </row>
    <row r="82" spans="4:6">
      <c r="E82" s="5" t="s">
        <v>7</v>
      </c>
      <c r="F82" s="9">
        <f>FV(F80,F77,F75,F78,1)</f>
        <v>1641217.932837005</v>
      </c>
    </row>
    <row r="84" spans="4:6">
      <c r="D84" t="s">
        <v>29</v>
      </c>
      <c r="E84" t="s">
        <v>1</v>
      </c>
      <c r="F84" s="4">
        <f>(F75*$F$28)+F75</f>
        <v>-29859.84</v>
      </c>
    </row>
    <row r="85" spans="4:6">
      <c r="E85" t="s">
        <v>2</v>
      </c>
      <c r="F85">
        <v>1</v>
      </c>
    </row>
    <row r="86" spans="4:6">
      <c r="E86" s="6" t="s">
        <v>3</v>
      </c>
      <c r="F86" s="6">
        <f>F85*12</f>
        <v>12</v>
      </c>
    </row>
    <row r="87" spans="4:6">
      <c r="E87" s="6" t="s">
        <v>24</v>
      </c>
      <c r="F87" s="10">
        <f xml:space="preserve"> -(F82)</f>
        <v>-1641217.932837005</v>
      </c>
    </row>
    <row r="88" spans="4:6">
      <c r="E88" s="7" t="s">
        <v>4</v>
      </c>
      <c r="F88" s="8">
        <v>12</v>
      </c>
    </row>
    <row r="89" spans="4:6">
      <c r="E89" s="6" t="s">
        <v>5</v>
      </c>
      <c r="F89" s="6">
        <f>(F88/12)%</f>
        <v>0.01</v>
      </c>
    </row>
    <row r="91" spans="4:6">
      <c r="E91" s="5" t="s">
        <v>7</v>
      </c>
      <c r="F91" s="9">
        <f>FV(F89,F86,F84,F87,1)</f>
        <v>2231849.9325035028</v>
      </c>
    </row>
    <row r="93" spans="4:6">
      <c r="D93" t="s">
        <v>30</v>
      </c>
      <c r="E93" t="s">
        <v>1</v>
      </c>
      <c r="F93" s="4">
        <f>(F84*$F$28)+F84</f>
        <v>-35831.808000000005</v>
      </c>
    </row>
    <row r="94" spans="4:6">
      <c r="E94" t="s">
        <v>2</v>
      </c>
      <c r="F94">
        <v>1</v>
      </c>
    </row>
    <row r="95" spans="4:6">
      <c r="E95" s="6" t="s">
        <v>3</v>
      </c>
      <c r="F95" s="6">
        <f>F94*12</f>
        <v>12</v>
      </c>
    </row>
    <row r="96" spans="4:6">
      <c r="E96" s="6" t="s">
        <v>24</v>
      </c>
      <c r="F96" s="10">
        <f xml:space="preserve"> -(F91)</f>
        <v>-2231849.9325035028</v>
      </c>
    </row>
    <row r="97" spans="4:6">
      <c r="E97" s="7" t="s">
        <v>4</v>
      </c>
      <c r="F97" s="8">
        <v>12</v>
      </c>
    </row>
    <row r="98" spans="4:6">
      <c r="E98" s="6" t="s">
        <v>5</v>
      </c>
      <c r="F98" s="6">
        <f>(F97/12)%</f>
        <v>0.01</v>
      </c>
    </row>
    <row r="100" spans="4:6">
      <c r="E100" s="5" t="s">
        <v>7</v>
      </c>
      <c r="F100" s="9">
        <f>FV(F98,F95,F93,F96,1)</f>
        <v>2973885.7505008727</v>
      </c>
    </row>
    <row r="102" spans="4:6">
      <c r="D102" t="s">
        <v>31</v>
      </c>
      <c r="E102" t="s">
        <v>1</v>
      </c>
      <c r="F102" s="4">
        <f>(F93*$F$28)+F93</f>
        <v>-42998.169600000008</v>
      </c>
    </row>
    <row r="103" spans="4:6">
      <c r="E103" t="s">
        <v>2</v>
      </c>
      <c r="F103">
        <v>1</v>
      </c>
    </row>
    <row r="104" spans="4:6">
      <c r="E104" s="6" t="s">
        <v>3</v>
      </c>
      <c r="F104" s="6">
        <f>F103*12</f>
        <v>12</v>
      </c>
    </row>
    <row r="105" spans="4:6">
      <c r="E105" s="6" t="s">
        <v>24</v>
      </c>
      <c r="F105" s="10">
        <f xml:space="preserve"> -(F100)</f>
        <v>-2973885.7505008727</v>
      </c>
    </row>
    <row r="106" spans="4:6">
      <c r="E106" s="7" t="s">
        <v>4</v>
      </c>
      <c r="F106" s="8">
        <v>12</v>
      </c>
    </row>
    <row r="107" spans="4:6">
      <c r="E107" s="6" t="s">
        <v>5</v>
      </c>
      <c r="F107" s="6">
        <f>(F106/12)%</f>
        <v>0.01</v>
      </c>
    </row>
    <row r="109" spans="4:6">
      <c r="E109" s="5" t="s">
        <v>7</v>
      </c>
      <c r="F109" s="9">
        <f>FV(F107,F104,F102,F105,1)</f>
        <v>3901826.5600862759</v>
      </c>
    </row>
    <row r="111" spans="4:6">
      <c r="D111" t="s">
        <v>32</v>
      </c>
      <c r="E111" t="s">
        <v>1</v>
      </c>
      <c r="F111" s="4">
        <f>(F102*$F$28)+F102</f>
        <v>-51597.803520000009</v>
      </c>
    </row>
    <row r="112" spans="4:6">
      <c r="E112" t="s">
        <v>2</v>
      </c>
      <c r="F112">
        <v>1</v>
      </c>
    </row>
    <row r="113" spans="4:6">
      <c r="E113" s="6" t="s">
        <v>3</v>
      </c>
      <c r="F113" s="6">
        <f>F112*12</f>
        <v>12</v>
      </c>
    </row>
    <row r="114" spans="4:6">
      <c r="E114" s="6" t="s">
        <v>24</v>
      </c>
      <c r="F114" s="10">
        <f xml:space="preserve"> -(F109)</f>
        <v>-3901826.5600862759</v>
      </c>
    </row>
    <row r="115" spans="4:6">
      <c r="E115" s="7" t="s">
        <v>4</v>
      </c>
      <c r="F115" s="8">
        <v>12</v>
      </c>
    </row>
    <row r="116" spans="4:6">
      <c r="E116" s="6" t="s">
        <v>5</v>
      </c>
      <c r="F116" s="6">
        <f>(F115/12)%</f>
        <v>0.01</v>
      </c>
    </row>
    <row r="118" spans="4:6">
      <c r="E118" s="5" t="s">
        <v>7</v>
      </c>
      <c r="F118" s="9">
        <f>FV(F116,F113,F111,F114,1)</f>
        <v>5057609.0227418505</v>
      </c>
    </row>
    <row r="120" spans="4:6">
      <c r="D120" t="s">
        <v>33</v>
      </c>
      <c r="E120" t="s">
        <v>1</v>
      </c>
      <c r="F120" s="4">
        <f>(F111*$F$28)+F111</f>
        <v>-61917.364224000012</v>
      </c>
    </row>
    <row r="121" spans="4:6">
      <c r="E121" t="s">
        <v>2</v>
      </c>
      <c r="F121">
        <v>1</v>
      </c>
    </row>
    <row r="122" spans="4:6">
      <c r="E122" s="6" t="s">
        <v>3</v>
      </c>
      <c r="F122" s="6">
        <f>F121*12</f>
        <v>12</v>
      </c>
    </row>
    <row r="123" spans="4:6">
      <c r="E123" s="6" t="s">
        <v>24</v>
      </c>
      <c r="F123" s="10">
        <f xml:space="preserve"> -(F118)</f>
        <v>-5057609.0227418505</v>
      </c>
    </row>
    <row r="124" spans="4:6">
      <c r="E124" s="7" t="s">
        <v>4</v>
      </c>
      <c r="F124" s="8">
        <v>12</v>
      </c>
    </row>
    <row r="125" spans="4:6">
      <c r="E125" s="6" t="s">
        <v>5</v>
      </c>
      <c r="F125" s="6">
        <f>(F124/12)%</f>
        <v>0.01</v>
      </c>
    </row>
    <row r="127" spans="4:6">
      <c r="E127" s="5" t="s">
        <v>7</v>
      </c>
      <c r="F127" s="9">
        <f>FV(F125,F122,F120,F123,1)</f>
        <v>6492160.2693703035</v>
      </c>
    </row>
    <row r="129" spans="4:6">
      <c r="D129" t="s">
        <v>34</v>
      </c>
      <c r="E129" t="s">
        <v>1</v>
      </c>
      <c r="F129" s="4">
        <f>(F120*$F$28)+F120</f>
        <v>-74300.837068800014</v>
      </c>
    </row>
    <row r="130" spans="4:6">
      <c r="E130" t="s">
        <v>2</v>
      </c>
      <c r="F130">
        <v>1</v>
      </c>
    </row>
    <row r="131" spans="4:6">
      <c r="E131" s="6" t="s">
        <v>3</v>
      </c>
      <c r="F131" s="6">
        <f>F130*12</f>
        <v>12</v>
      </c>
    </row>
    <row r="132" spans="4:6">
      <c r="E132" s="6" t="s">
        <v>24</v>
      </c>
      <c r="F132" s="10">
        <f xml:space="preserve"> -(F127)</f>
        <v>-6492160.2693703035</v>
      </c>
    </row>
    <row r="133" spans="4:6">
      <c r="E133" s="7" t="s">
        <v>4</v>
      </c>
      <c r="F133" s="8">
        <v>12</v>
      </c>
    </row>
    <row r="134" spans="4:6">
      <c r="E134" s="6" t="s">
        <v>5</v>
      </c>
      <c r="F134" s="6">
        <f>(F133/12)%</f>
        <v>0.01</v>
      </c>
    </row>
    <row r="136" spans="4:6">
      <c r="E136" s="5" t="s">
        <v>7</v>
      </c>
      <c r="F136" s="9">
        <f>FV(F134,F131,F129,F132,1)</f>
        <v>8267272.4870629646</v>
      </c>
    </row>
    <row r="138" spans="4:6">
      <c r="D138" t="s">
        <v>35</v>
      </c>
      <c r="E138" t="s">
        <v>1</v>
      </c>
      <c r="F138" s="4">
        <f>(F129*$F$28)+F129</f>
        <v>-89161.00448256002</v>
      </c>
    </row>
    <row r="139" spans="4:6">
      <c r="E139" t="s">
        <v>2</v>
      </c>
      <c r="F139">
        <v>1</v>
      </c>
    </row>
    <row r="140" spans="4:6">
      <c r="E140" s="6" t="s">
        <v>3</v>
      </c>
      <c r="F140" s="6">
        <f>F139*12</f>
        <v>12</v>
      </c>
    </row>
    <row r="141" spans="4:6">
      <c r="E141" s="6" t="s">
        <v>24</v>
      </c>
      <c r="F141" s="10">
        <f xml:space="preserve"> -(F136)</f>
        <v>-8267272.4870629646</v>
      </c>
    </row>
    <row r="142" spans="4:6">
      <c r="E142" s="7" t="s">
        <v>4</v>
      </c>
      <c r="F142" s="8">
        <v>12</v>
      </c>
    </row>
    <row r="143" spans="4:6">
      <c r="E143" s="6" t="s">
        <v>5</v>
      </c>
      <c r="F143" s="6">
        <f>(F142/12)%</f>
        <v>0.01</v>
      </c>
    </row>
    <row r="145" spans="4:6">
      <c r="E145" s="5" t="s">
        <v>7</v>
      </c>
      <c r="F145" s="9">
        <f>FV(F143,F140,F138,F141,1)</f>
        <v>10457862.124433763</v>
      </c>
    </row>
    <row r="147" spans="4:6">
      <c r="D147" t="s">
        <v>36</v>
      </c>
      <c r="E147" t="s">
        <v>1</v>
      </c>
      <c r="F147" s="4">
        <f>(F138*$F$28)+F138</f>
        <v>-106993.20537907202</v>
      </c>
    </row>
    <row r="148" spans="4:6">
      <c r="E148" t="s">
        <v>2</v>
      </c>
      <c r="F148">
        <v>1</v>
      </c>
    </row>
    <row r="149" spans="4:6">
      <c r="E149" s="6" t="s">
        <v>3</v>
      </c>
      <c r="F149" s="6">
        <f>F148*12</f>
        <v>12</v>
      </c>
    </row>
    <row r="150" spans="4:6">
      <c r="E150" s="6" t="s">
        <v>24</v>
      </c>
      <c r="F150" s="10">
        <f xml:space="preserve"> -(F145)</f>
        <v>-10457862.124433763</v>
      </c>
    </row>
    <row r="151" spans="4:6">
      <c r="E151" s="7" t="s">
        <v>4</v>
      </c>
      <c r="F151" s="8">
        <v>12</v>
      </c>
    </row>
    <row r="152" spans="4:6">
      <c r="E152" s="6" t="s">
        <v>5</v>
      </c>
      <c r="F152" s="6">
        <f>(F151/12)%</f>
        <v>0.01</v>
      </c>
    </row>
    <row r="154" spans="4:6">
      <c r="E154" s="5" t="s">
        <v>7</v>
      </c>
      <c r="F154" s="9">
        <f>FV(F152,F149,F147,F150,1)</f>
        <v>13154691.869588861</v>
      </c>
    </row>
    <row r="156" spans="4:6">
      <c r="D156" t="s">
        <v>37</v>
      </c>
      <c r="E156" t="s">
        <v>1</v>
      </c>
      <c r="F156" s="4">
        <f>(F147*$F$28)+F147</f>
        <v>-128391.84645488643</v>
      </c>
    </row>
    <row r="157" spans="4:6">
      <c r="E157" t="s">
        <v>2</v>
      </c>
      <c r="F157">
        <v>1</v>
      </c>
    </row>
    <row r="158" spans="4:6">
      <c r="E158" s="6" t="s">
        <v>3</v>
      </c>
      <c r="F158" s="6">
        <f>F157*12</f>
        <v>12</v>
      </c>
    </row>
    <row r="159" spans="4:6">
      <c r="E159" s="6" t="s">
        <v>24</v>
      </c>
      <c r="F159" s="10">
        <f xml:space="preserve"> -(F154)</f>
        <v>-13154691.869588861</v>
      </c>
    </row>
    <row r="160" spans="4:6">
      <c r="E160" s="7" t="s">
        <v>4</v>
      </c>
      <c r="F160" s="8">
        <v>12</v>
      </c>
    </row>
    <row r="161" spans="4:6">
      <c r="E161" s="6" t="s">
        <v>5</v>
      </c>
      <c r="F161" s="6">
        <f>(F160/12)%</f>
        <v>0.01</v>
      </c>
    </row>
    <row r="163" spans="4:6">
      <c r="E163" s="5" t="s">
        <v>7</v>
      </c>
      <c r="F163" s="9">
        <f>FV(F161,F158,F156,F159,1)</f>
        <v>16467649.341655608</v>
      </c>
    </row>
    <row r="165" spans="4:6">
      <c r="F165" s="4"/>
    </row>
    <row r="166" spans="4:6">
      <c r="D166" t="s">
        <v>38</v>
      </c>
      <c r="E166" t="s">
        <v>11</v>
      </c>
      <c r="F166">
        <v>-200000</v>
      </c>
    </row>
    <row r="167" spans="4:6">
      <c r="E167" t="s">
        <v>2</v>
      </c>
      <c r="F167">
        <v>15</v>
      </c>
    </row>
    <row r="168" spans="4:6">
      <c r="E168" s="6" t="s">
        <v>3</v>
      </c>
      <c r="F168" s="6">
        <f>F167*12</f>
        <v>180</v>
      </c>
    </row>
    <row r="169" spans="4:6">
      <c r="E169" t="s">
        <v>4</v>
      </c>
      <c r="F169">
        <v>15</v>
      </c>
    </row>
    <row r="170" spans="4:6">
      <c r="E170" t="s">
        <v>12</v>
      </c>
      <c r="F170" s="6">
        <f>(F169/12)%</f>
        <v>1.2500000000000001E-2</v>
      </c>
    </row>
    <row r="172" spans="4:6">
      <c r="E172" s="5" t="s">
        <v>7</v>
      </c>
      <c r="F172" s="9">
        <f>FV(F170,F168,,F166,1)</f>
        <v>1871266.8985013792</v>
      </c>
    </row>
    <row r="174" spans="4:6">
      <c r="E174" s="5" t="s">
        <v>14</v>
      </c>
      <c r="F174" s="9">
        <f>F163+F172</f>
        <v>18338916.240156986</v>
      </c>
    </row>
    <row r="177" spans="4:5">
      <c r="D177" t="s">
        <v>39</v>
      </c>
      <c r="E177" t="s">
        <v>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B84C5-5CBF-4376-B80A-C01FAB010DC4}">
  <dimension ref="C2:F36"/>
  <sheetViews>
    <sheetView workbookViewId="0">
      <selection activeCell="G1" sqref="G1"/>
    </sheetView>
  </sheetViews>
  <sheetFormatPr defaultRowHeight="15"/>
  <cols>
    <col min="3" max="3" width="16.28515625" style="12" bestFit="1" customWidth="1"/>
    <col min="4" max="4" width="15.85546875" style="12" bestFit="1" customWidth="1"/>
    <col min="5" max="5" width="15.42578125" style="12" bestFit="1" customWidth="1"/>
    <col min="6" max="6" width="16.5703125" style="12" bestFit="1" customWidth="1"/>
  </cols>
  <sheetData>
    <row r="2" spans="3:5">
      <c r="D2" s="12" t="s">
        <v>41</v>
      </c>
    </row>
    <row r="4" spans="3:5">
      <c r="D4" s="12" t="s">
        <v>42</v>
      </c>
      <c r="E4" s="12">
        <v>10000000</v>
      </c>
    </row>
    <row r="5" spans="3:5">
      <c r="D5" s="12" t="s">
        <v>43</v>
      </c>
      <c r="E5" s="13">
        <v>6</v>
      </c>
    </row>
    <row r="6" spans="3:5">
      <c r="D6" s="12" t="s">
        <v>44</v>
      </c>
      <c r="E6" s="12">
        <v>10</v>
      </c>
    </row>
    <row r="7" spans="3:5">
      <c r="D7" s="12" t="s">
        <v>45</v>
      </c>
      <c r="E7" s="13">
        <v>5</v>
      </c>
    </row>
    <row r="8" spans="3:5">
      <c r="D8" s="12" t="s">
        <v>46</v>
      </c>
      <c r="E8" s="12">
        <v>25</v>
      </c>
    </row>
    <row r="11" spans="3:5">
      <c r="C11" s="12" t="s">
        <v>47</v>
      </c>
      <c r="D11" s="12" t="s">
        <v>48</v>
      </c>
      <c r="E11" s="12" t="s">
        <v>49</v>
      </c>
    </row>
    <row r="12" spans="3:5">
      <c r="C12" s="12">
        <v>1</v>
      </c>
      <c r="D12" s="12">
        <f>E4*$E$7%</f>
        <v>500000</v>
      </c>
      <c r="E12" s="12">
        <f>E4-D12</f>
        <v>9500000</v>
      </c>
    </row>
    <row r="13" spans="3:5">
      <c r="C13" s="12">
        <v>2</v>
      </c>
      <c r="D13" s="12">
        <f>(D12*$E$5%)+D12</f>
        <v>530000</v>
      </c>
      <c r="E13" s="14">
        <f>FV($E$6%,1,D13,-E12,0)</f>
        <v>9920000</v>
      </c>
    </row>
    <row r="14" spans="3:5">
      <c r="C14" s="12">
        <v>3</v>
      </c>
      <c r="D14" s="12">
        <f t="shared" ref="D14:D36" si="0">(D13*$E$5%)+D13</f>
        <v>561800</v>
      </c>
      <c r="E14" s="14">
        <f t="shared" ref="E14:E36" si="1">FV($E$6%,1,D14,-E13,0)</f>
        <v>10350200</v>
      </c>
    </row>
    <row r="15" spans="3:5">
      <c r="C15" s="12">
        <v>4</v>
      </c>
      <c r="D15" s="12">
        <f t="shared" si="0"/>
        <v>595508</v>
      </c>
      <c r="E15" s="14">
        <f t="shared" si="1"/>
        <v>10789712</v>
      </c>
    </row>
    <row r="16" spans="3:5">
      <c r="C16" s="12">
        <v>5</v>
      </c>
      <c r="D16" s="12">
        <f t="shared" si="0"/>
        <v>631238.48</v>
      </c>
      <c r="E16" s="14">
        <f t="shared" si="1"/>
        <v>11237444.720000001</v>
      </c>
    </row>
    <row r="17" spans="3:5">
      <c r="C17" s="12">
        <v>6</v>
      </c>
      <c r="D17" s="12">
        <f t="shared" si="0"/>
        <v>669112.78879999998</v>
      </c>
      <c r="E17" s="14">
        <f t="shared" si="1"/>
        <v>11692076.403200001</v>
      </c>
    </row>
    <row r="18" spans="3:5">
      <c r="C18" s="12">
        <v>7</v>
      </c>
      <c r="D18" s="12">
        <f t="shared" si="0"/>
        <v>709259.55612800003</v>
      </c>
      <c r="E18" s="14">
        <f t="shared" si="1"/>
        <v>12152024.487392001</v>
      </c>
    </row>
    <row r="19" spans="3:5">
      <c r="C19" s="12">
        <v>8</v>
      </c>
      <c r="D19" s="12">
        <f t="shared" si="0"/>
        <v>751815.12949567998</v>
      </c>
      <c r="E19" s="14">
        <f t="shared" si="1"/>
        <v>12615411.806635521</v>
      </c>
    </row>
    <row r="20" spans="3:5">
      <c r="C20" s="12">
        <v>9</v>
      </c>
      <c r="D20" s="12">
        <f t="shared" si="0"/>
        <v>796924.03726542077</v>
      </c>
      <c r="E20" s="14">
        <f t="shared" si="1"/>
        <v>13080028.950033654</v>
      </c>
    </row>
    <row r="21" spans="3:5">
      <c r="C21" s="12">
        <v>10</v>
      </c>
      <c r="D21" s="12">
        <f t="shared" si="0"/>
        <v>844739.47950134601</v>
      </c>
      <c r="E21" s="14">
        <f t="shared" si="1"/>
        <v>13543292.365535675</v>
      </c>
    </row>
    <row r="22" spans="3:5">
      <c r="C22" s="12">
        <v>11</v>
      </c>
      <c r="D22" s="12">
        <f t="shared" si="0"/>
        <v>895423.84827142674</v>
      </c>
      <c r="E22" s="14">
        <f t="shared" si="1"/>
        <v>14002197.753817815</v>
      </c>
    </row>
    <row r="23" spans="3:5">
      <c r="C23" s="12">
        <v>12</v>
      </c>
      <c r="D23" s="12">
        <f t="shared" si="0"/>
        <v>949149.27916771232</v>
      </c>
      <c r="E23" s="14">
        <f t="shared" si="1"/>
        <v>14453268.250031885</v>
      </c>
    </row>
    <row r="24" spans="3:5">
      <c r="C24" s="12">
        <v>13</v>
      </c>
      <c r="D24" s="12">
        <f t="shared" si="0"/>
        <v>1006098.2359177751</v>
      </c>
      <c r="E24" s="14">
        <f t="shared" si="1"/>
        <v>14892496.839117298</v>
      </c>
    </row>
    <row r="25" spans="3:5">
      <c r="C25" s="12">
        <v>14</v>
      </c>
      <c r="D25" s="12">
        <f t="shared" si="0"/>
        <v>1066464.1300728417</v>
      </c>
      <c r="E25" s="14">
        <f t="shared" si="1"/>
        <v>15315282.392956186</v>
      </c>
    </row>
    <row r="26" spans="3:5">
      <c r="C26" s="12">
        <v>15</v>
      </c>
      <c r="D26" s="12">
        <f t="shared" si="0"/>
        <v>1130451.9778772122</v>
      </c>
      <c r="E26" s="14">
        <f t="shared" si="1"/>
        <v>15716358.654374594</v>
      </c>
    </row>
    <row r="27" spans="3:5">
      <c r="C27" s="12">
        <v>16</v>
      </c>
      <c r="D27" s="12">
        <f t="shared" si="0"/>
        <v>1198279.0965498448</v>
      </c>
      <c r="E27" s="14">
        <f t="shared" si="1"/>
        <v>16089715.423262209</v>
      </c>
    </row>
    <row r="28" spans="3:5">
      <c r="C28" s="12">
        <v>17</v>
      </c>
      <c r="D28" s="12">
        <f t="shared" si="0"/>
        <v>1270175.8423428356</v>
      </c>
      <c r="E28" s="14">
        <f t="shared" si="1"/>
        <v>16428511.123245595</v>
      </c>
    </row>
    <row r="29" spans="3:5">
      <c r="C29" s="12">
        <v>18</v>
      </c>
      <c r="D29" s="12">
        <f t="shared" si="0"/>
        <v>1346386.3928834058</v>
      </c>
      <c r="E29" s="14">
        <f t="shared" si="1"/>
        <v>16724975.842686748</v>
      </c>
    </row>
    <row r="30" spans="3:5">
      <c r="C30" s="12">
        <v>19</v>
      </c>
      <c r="D30" s="12">
        <f t="shared" si="0"/>
        <v>1427169.5764564101</v>
      </c>
      <c r="E30" s="14">
        <f t="shared" si="1"/>
        <v>16970303.850499012</v>
      </c>
    </row>
    <row r="31" spans="3:5">
      <c r="C31" s="12">
        <v>20</v>
      </c>
      <c r="D31" s="12">
        <f t="shared" si="0"/>
        <v>1512799.7510437947</v>
      </c>
      <c r="E31" s="14">
        <f t="shared" si="1"/>
        <v>17154534.484505117</v>
      </c>
    </row>
    <row r="32" spans="3:5">
      <c r="C32" s="12">
        <v>21</v>
      </c>
      <c r="D32" s="12">
        <f t="shared" si="0"/>
        <v>1603567.7361064223</v>
      </c>
      <c r="E32" s="14">
        <f t="shared" si="1"/>
        <v>17266420.196849205</v>
      </c>
    </row>
    <row r="33" spans="3:5">
      <c r="C33" s="12">
        <v>22</v>
      </c>
      <c r="D33" s="12">
        <f t="shared" si="0"/>
        <v>1699781.8002728075</v>
      </c>
      <c r="E33" s="14">
        <f t="shared" si="1"/>
        <v>17293280.416261319</v>
      </c>
    </row>
    <row r="34" spans="3:5">
      <c r="C34" s="12">
        <v>23</v>
      </c>
      <c r="D34" s="12">
        <f t="shared" si="0"/>
        <v>1801768.708289176</v>
      </c>
      <c r="E34" s="14">
        <f t="shared" si="1"/>
        <v>17220839.749598276</v>
      </c>
    </row>
    <row r="35" spans="3:5">
      <c r="C35" s="12">
        <v>24</v>
      </c>
      <c r="D35" s="12">
        <f t="shared" si="0"/>
        <v>1909874.8307865267</v>
      </c>
      <c r="E35" s="14">
        <f t="shared" si="1"/>
        <v>17033048.893771574</v>
      </c>
    </row>
    <row r="36" spans="3:5">
      <c r="C36" s="12">
        <v>25</v>
      </c>
      <c r="D36" s="12">
        <f t="shared" si="0"/>
        <v>2024467.3206337183</v>
      </c>
      <c r="E36" s="14">
        <f t="shared" si="1"/>
        <v>16711886.462515011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94848-FE7A-47D6-8354-BAEC1F3C43E7}">
  <dimension ref="C4:G27"/>
  <sheetViews>
    <sheetView topLeftCell="A17" workbookViewId="0">
      <selection activeCell="C29" sqref="C29"/>
    </sheetView>
  </sheetViews>
  <sheetFormatPr defaultRowHeight="15"/>
  <cols>
    <col min="3" max="3" width="34.85546875" customWidth="1"/>
    <col min="4" max="4" width="51.28515625" customWidth="1"/>
    <col min="7" max="7" width="18.42578125" customWidth="1"/>
  </cols>
  <sheetData>
    <row r="4" spans="3:7">
      <c r="C4" t="s">
        <v>50</v>
      </c>
      <c r="D4">
        <v>30</v>
      </c>
    </row>
    <row r="5" spans="3:7">
      <c r="C5" t="s">
        <v>51</v>
      </c>
      <c r="D5">
        <v>60</v>
      </c>
    </row>
    <row r="6" spans="3:7">
      <c r="C6" t="s">
        <v>52</v>
      </c>
      <c r="D6">
        <v>30000</v>
      </c>
    </row>
    <row r="7" spans="3:7">
      <c r="C7" t="s">
        <v>4</v>
      </c>
      <c r="D7">
        <v>12</v>
      </c>
    </row>
    <row r="9" spans="3:7">
      <c r="C9" t="s">
        <v>53</v>
      </c>
      <c r="D9" t="s">
        <v>54</v>
      </c>
    </row>
    <row r="10" spans="3:7">
      <c r="C10" t="s">
        <v>55</v>
      </c>
      <c r="D10">
        <v>8</v>
      </c>
    </row>
    <row r="11" spans="3:7">
      <c r="C11" t="s">
        <v>56</v>
      </c>
      <c r="D11">
        <v>7</v>
      </c>
    </row>
    <row r="12" spans="3:7">
      <c r="C12" t="s">
        <v>57</v>
      </c>
      <c r="D12">
        <v>85</v>
      </c>
    </row>
    <row r="13" spans="3:7">
      <c r="C13" t="s">
        <v>58</v>
      </c>
      <c r="D13">
        <v>10</v>
      </c>
    </row>
    <row r="14" spans="3:7">
      <c r="C14" t="s">
        <v>59</v>
      </c>
    </row>
    <row r="16" spans="3:7">
      <c r="C16" s="15" t="s">
        <v>60</v>
      </c>
      <c r="D16" s="16">
        <f>FV(D10%,D5-D4,,-D6)</f>
        <v>301879.70667220332</v>
      </c>
      <c r="G16" s="1">
        <f>PV((3/12)%,300,301879,,1)</f>
        <v>-63818320.789964743</v>
      </c>
    </row>
    <row r="17" spans="3:7">
      <c r="C17" t="s">
        <v>61</v>
      </c>
      <c r="D17">
        <f>D12-D5</f>
        <v>25</v>
      </c>
    </row>
    <row r="18" spans="3:7">
      <c r="C18" t="s">
        <v>62</v>
      </c>
      <c r="D18">
        <f>D17*12</f>
        <v>300</v>
      </c>
    </row>
    <row r="19" spans="3:7">
      <c r="C19" t="s">
        <v>63</v>
      </c>
      <c r="D19">
        <f>D13-D11</f>
        <v>3</v>
      </c>
    </row>
    <row r="20" spans="3:7">
      <c r="C20" t="s">
        <v>12</v>
      </c>
      <c r="D20">
        <f>(D19/12)%</f>
        <v>2.5000000000000001E-3</v>
      </c>
    </row>
    <row r="21" spans="3:7">
      <c r="C21" s="5" t="s">
        <v>64</v>
      </c>
      <c r="D21" s="9">
        <f>PV(D20,D18,D16,,1)</f>
        <v>-63818470.183043972</v>
      </c>
    </row>
    <row r="23" spans="3:7">
      <c r="C23" t="s">
        <v>65</v>
      </c>
      <c r="D23" s="1">
        <f>PMT((D7/12)%,(D5-D4)*12,,D21,1)</f>
        <v>18079.328353957964</v>
      </c>
      <c r="G23" s="1">
        <f>FV((12/12)%,30*12,-18100,1)</f>
        <v>63258814.853468642</v>
      </c>
    </row>
    <row r="24" spans="3:7">
      <c r="C24" t="s">
        <v>66</v>
      </c>
      <c r="D24" s="1">
        <f>PV(D7%,(D5-D4),,D21,1)</f>
        <v>2130128.0399023662</v>
      </c>
    </row>
    <row r="27" spans="3:7">
      <c r="C27" t="s">
        <v>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B4180-7FCE-4B94-9E86-4FAAA3CCF388}">
  <dimension ref="C4:D20"/>
  <sheetViews>
    <sheetView tabSelected="1" topLeftCell="A3" workbookViewId="0">
      <selection activeCell="D8" sqref="D8"/>
    </sheetView>
  </sheetViews>
  <sheetFormatPr defaultRowHeight="15"/>
  <cols>
    <col min="3" max="3" width="24.7109375" bestFit="1" customWidth="1"/>
    <col min="4" max="4" width="13.85546875" bestFit="1" customWidth="1"/>
  </cols>
  <sheetData>
    <row r="4" spans="3:4">
      <c r="C4" t="s">
        <v>68</v>
      </c>
      <c r="D4" t="s">
        <v>69</v>
      </c>
    </row>
    <row r="5" spans="3:4">
      <c r="C5" t="s">
        <v>70</v>
      </c>
      <c r="D5" s="4">
        <v>8</v>
      </c>
    </row>
    <row r="6" spans="3:4">
      <c r="C6" t="s">
        <v>71</v>
      </c>
      <c r="D6">
        <v>5</v>
      </c>
    </row>
    <row r="7" spans="3:4">
      <c r="C7" t="s">
        <v>72</v>
      </c>
      <c r="D7">
        <v>20</v>
      </c>
    </row>
    <row r="8" spans="3:4">
      <c r="C8" t="s">
        <v>73</v>
      </c>
      <c r="D8">
        <v>12</v>
      </c>
    </row>
    <row r="9" spans="3:4">
      <c r="C9" t="s">
        <v>74</v>
      </c>
      <c r="D9">
        <v>10</v>
      </c>
    </row>
    <row r="10" spans="3:4">
      <c r="C10" t="s">
        <v>75</v>
      </c>
      <c r="D10">
        <v>8</v>
      </c>
    </row>
    <row r="13" spans="3:4">
      <c r="C13" s="5" t="s">
        <v>76</v>
      </c>
      <c r="D13" s="9">
        <f>FV(D5%,D6,,-D4)</f>
        <v>1469328.0768000004</v>
      </c>
    </row>
    <row r="14" spans="3:4">
      <c r="C14" s="5" t="s">
        <v>72</v>
      </c>
      <c r="D14" s="9">
        <f>D13*D7%</f>
        <v>293865.61536000011</v>
      </c>
    </row>
    <row r="15" spans="3:4">
      <c r="C15" s="5" t="s">
        <v>77</v>
      </c>
      <c r="D15" s="9">
        <f>PMT((D8/12)%,D6*12,,D14)</f>
        <v>-3598.2221536669886</v>
      </c>
    </row>
    <row r="16" spans="3:4">
      <c r="C16" s="5" t="s">
        <v>78</v>
      </c>
      <c r="D16" s="9">
        <f>PV(D8%,D6,,D14)</f>
        <v>-166747.24212753616</v>
      </c>
    </row>
    <row r="17" spans="3:4">
      <c r="C17" s="5" t="s">
        <v>79</v>
      </c>
      <c r="D17" s="9">
        <f>D13-D14</f>
        <v>1175462.4614400002</v>
      </c>
    </row>
    <row r="18" spans="3:4">
      <c r="C18" s="5" t="s">
        <v>80</v>
      </c>
      <c r="D18" s="9">
        <f>PMT((D9/12)%,D10*12,D17,,0)</f>
        <v>-17836.660280699558</v>
      </c>
    </row>
    <row r="20" spans="3:4">
      <c r="C20" t="s">
        <v>81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2025-06-05T06:07:45Z</dcterms:created>
  <dcterms:modified xsi:type="dcterms:W3CDTF">2025-06-06T09:14:12Z</dcterms:modified>
  <cp:category/>
  <cp:contentStatus/>
</cp:coreProperties>
</file>