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EstaPasta_de_trabalho" defaultThemeVersion="124226"/>
  <bookViews>
    <workbookView xWindow="240" yWindow="315" windowWidth="18915" windowHeight="8220" activeTab="5"/>
  </bookViews>
  <sheets>
    <sheet name="VIGAS BIAPOIADAS" sheetId="3" r:id="rId1"/>
    <sheet name="MATERIAIS" sheetId="1" r:id="rId2"/>
    <sheet name="IPT" sheetId="2" r:id="rId3"/>
    <sheet name="IMAGENS" sheetId="4" r:id="rId4"/>
    <sheet name="TABELAS" sheetId="5" r:id="rId5"/>
    <sheet name="MADEIRAS" sheetId="6" r:id="rId6"/>
  </sheets>
  <definedNames>
    <definedName name="_xlnm.Print_Area" localSheetId="5">MADEIRAS!$A$1:$X$46</definedName>
    <definedName name="_xlnm.Print_Area" localSheetId="0">'VIGAS BIAPOIADAS'!$A$10:$I$192</definedName>
    <definedName name="CIRCULAR">TABELAS!$I$2:$L$14</definedName>
    <definedName name="FIGURA">INDIRECT("'IMAGENS'!$E$"&amp;(MATCH('VIGAS BIAPOIADAS'!$B$77,SEÇÃO,0)+1))</definedName>
    <definedName name="FOTOS">INDIRECT("'IMAGENS'!$B$"&amp;(MATCH('VIGAS BIAPOIADAS'!$B$13,NOMES,0)+1))</definedName>
    <definedName name="NOMES">IMAGENS!$A$2:$A$101</definedName>
    <definedName name="RETANGULAR_SIMPLES">TABELAS!$I$17:$L$28</definedName>
    <definedName name="SEÇÃO">IMAGENS!$D$2:$D$50</definedName>
  </definedNames>
  <calcPr calcId="145621"/>
</workbook>
</file>

<file path=xl/calcChain.xml><?xml version="1.0" encoding="utf-8"?>
<calcChain xmlns="http://schemas.openxmlformats.org/spreadsheetml/2006/main">
  <c r="J8" i="6" l="1"/>
  <c r="J9" i="6"/>
  <c r="J10" i="6"/>
  <c r="J11" i="6"/>
  <c r="J7" i="6"/>
  <c r="J5" i="6"/>
  <c r="J6" i="6"/>
  <c r="J4" i="6"/>
  <c r="I8" i="6"/>
  <c r="I9" i="6"/>
  <c r="I10" i="6"/>
  <c r="I11" i="6"/>
  <c r="I7" i="6"/>
  <c r="I5" i="6"/>
  <c r="I6" i="6"/>
  <c r="I4" i="6"/>
  <c r="C15" i="2"/>
  <c r="D15" i="2" s="1"/>
  <c r="U15" i="2" s="1"/>
  <c r="X15" i="2" s="1"/>
  <c r="D45" i="6"/>
  <c r="S15" i="2" l="1"/>
  <c r="C31" i="3"/>
  <c r="C30" i="3"/>
  <c r="C29" i="3"/>
  <c r="C28" i="3"/>
  <c r="C27" i="3"/>
  <c r="C26" i="3"/>
  <c r="C25" i="3"/>
  <c r="C24" i="3"/>
  <c r="C23" i="3"/>
  <c r="C22" i="3"/>
  <c r="C21" i="3"/>
  <c r="C18" i="3"/>
  <c r="C17" i="3"/>
  <c r="C16" i="3"/>
  <c r="C15" i="3"/>
  <c r="B14" i="3"/>
  <c r="B13" i="3"/>
  <c r="T15" i="2" l="1"/>
  <c r="W15" i="2"/>
  <c r="C47" i="6"/>
  <c r="C48" i="6"/>
  <c r="C49" i="6"/>
  <c r="C50" i="6"/>
  <c r="D49" i="6"/>
  <c r="O49" i="6" s="1"/>
  <c r="S49" i="6" s="1"/>
  <c r="E49" i="6"/>
  <c r="F49" i="6"/>
  <c r="I49" i="6"/>
  <c r="J49" i="6"/>
  <c r="K49" i="6"/>
  <c r="L49" i="6"/>
  <c r="W49" i="6" s="1"/>
  <c r="M49" i="6"/>
  <c r="N49" i="6"/>
  <c r="P49" i="6"/>
  <c r="Q49" i="6" s="1"/>
  <c r="R49" i="6"/>
  <c r="V49" i="6"/>
  <c r="D50" i="6"/>
  <c r="O50" i="6" s="1"/>
  <c r="S50" i="6" s="1"/>
  <c r="E50" i="6"/>
  <c r="F50" i="6"/>
  <c r="I50" i="6"/>
  <c r="J50" i="6"/>
  <c r="K50" i="6"/>
  <c r="L50" i="6"/>
  <c r="W50" i="6" s="1"/>
  <c r="M50" i="6"/>
  <c r="N50" i="6"/>
  <c r="P50" i="6"/>
  <c r="Q50" i="6" s="1"/>
  <c r="R50" i="6"/>
  <c r="V50" i="6"/>
  <c r="L14" i="2"/>
  <c r="Z14" i="2"/>
  <c r="R14" i="2"/>
  <c r="O14" i="2"/>
  <c r="J14" i="2" s="1"/>
  <c r="I14" i="2"/>
  <c r="C14" i="2"/>
  <c r="D14" i="2" s="1"/>
  <c r="U14" i="2" s="1"/>
  <c r="X14" i="2" s="1"/>
  <c r="T50" i="6" l="1"/>
  <c r="U50" i="6"/>
  <c r="T49" i="6"/>
  <c r="U49" i="6"/>
  <c r="P14" i="2"/>
  <c r="S14" i="2"/>
  <c r="Z13" i="2"/>
  <c r="R13" i="2"/>
  <c r="O13" i="2"/>
  <c r="P13" i="2" s="1"/>
  <c r="L13" i="2"/>
  <c r="I13" i="2"/>
  <c r="D13" i="2"/>
  <c r="U13" i="2" s="1"/>
  <c r="X13" i="2" s="1"/>
  <c r="C13" i="2"/>
  <c r="S13" i="2" s="1"/>
  <c r="T14" i="2" l="1"/>
  <c r="W14" i="2"/>
  <c r="W13" i="2"/>
  <c r="T13" i="2"/>
  <c r="J13" i="2"/>
  <c r="C122" i="3" l="1"/>
  <c r="Z12" i="2" l="1"/>
  <c r="R12" i="2"/>
  <c r="L11" i="2"/>
  <c r="L12" i="2"/>
  <c r="P12" i="2"/>
  <c r="O12" i="2"/>
  <c r="I12" i="2"/>
  <c r="F48" i="6"/>
  <c r="I48" i="6"/>
  <c r="J48" i="6"/>
  <c r="K48" i="6"/>
  <c r="L48" i="6"/>
  <c r="W48" i="6" s="1"/>
  <c r="M48" i="6"/>
  <c r="N48" i="6"/>
  <c r="R48" i="6"/>
  <c r="V48" i="6"/>
  <c r="C12" i="2"/>
  <c r="D12" i="2" s="1"/>
  <c r="U12" i="2" s="1"/>
  <c r="X12" i="2" s="1"/>
  <c r="Z11" i="2"/>
  <c r="R11" i="2"/>
  <c r="V47" i="6"/>
  <c r="R47" i="6"/>
  <c r="N47" i="6"/>
  <c r="F47" i="6"/>
  <c r="O11" i="2"/>
  <c r="J11" i="2" s="1"/>
  <c r="J47" i="6" s="1"/>
  <c r="I11" i="2"/>
  <c r="I47" i="6" s="1"/>
  <c r="C11" i="2"/>
  <c r="S11" i="2" s="1"/>
  <c r="K47" i="6" l="1"/>
  <c r="P11" i="2"/>
  <c r="M47" i="6" s="1"/>
  <c r="D47" i="6"/>
  <c r="O47" i="6" s="1"/>
  <c r="S47" i="6" s="1"/>
  <c r="L47" i="6"/>
  <c r="W47" i="6" s="1"/>
  <c r="E48" i="6"/>
  <c r="P48" i="6" s="1"/>
  <c r="Q48" i="6" s="1"/>
  <c r="U48" i="6" s="1"/>
  <c r="D48" i="6"/>
  <c r="O48" i="6" s="1"/>
  <c r="S48" i="6" s="1"/>
  <c r="T48" i="6"/>
  <c r="S12" i="2"/>
  <c r="W11" i="2"/>
  <c r="T11" i="2"/>
  <c r="D11" i="2"/>
  <c r="V38" i="6"/>
  <c r="V39" i="6"/>
  <c r="V41" i="6"/>
  <c r="V42" i="6"/>
  <c r="V43" i="6"/>
  <c r="V44" i="6"/>
  <c r="V40" i="6"/>
  <c r="R38" i="6"/>
  <c r="R39" i="6"/>
  <c r="R41" i="6"/>
  <c r="R42" i="6"/>
  <c r="R43" i="6"/>
  <c r="R44" i="6"/>
  <c r="R40" i="6"/>
  <c r="N38" i="6"/>
  <c r="M38" i="6"/>
  <c r="L38" i="6"/>
  <c r="F39" i="6"/>
  <c r="F40" i="6"/>
  <c r="F41" i="6"/>
  <c r="F42" i="6"/>
  <c r="F43" i="6"/>
  <c r="F44" i="6"/>
  <c r="F38" i="6"/>
  <c r="U11" i="2" l="1"/>
  <c r="X11" i="2" s="1"/>
  <c r="E47" i="6"/>
  <c r="P47" i="6" s="1"/>
  <c r="Q47" i="6" s="1"/>
  <c r="T12" i="2"/>
  <c r="W12" i="2"/>
  <c r="X5" i="6"/>
  <c r="X6" i="6"/>
  <c r="X7" i="6"/>
  <c r="X8" i="6"/>
  <c r="X9" i="6"/>
  <c r="X10" i="6"/>
  <c r="X11" i="6"/>
  <c r="X12" i="6"/>
  <c r="X13" i="6"/>
  <c r="X14" i="6"/>
  <c r="X15" i="6"/>
  <c r="X16" i="6"/>
  <c r="X17" i="6"/>
  <c r="X18" i="6"/>
  <c r="X19" i="6"/>
  <c r="X20" i="6"/>
  <c r="X21" i="6"/>
  <c r="X22" i="6"/>
  <c r="X23" i="6"/>
  <c r="X24" i="6"/>
  <c r="X25" i="6"/>
  <c r="X26" i="6"/>
  <c r="X27" i="6"/>
  <c r="X28" i="6"/>
  <c r="X29" i="6"/>
  <c r="X30" i="6"/>
  <c r="X31" i="6"/>
  <c r="X32" i="6"/>
  <c r="X33" i="6"/>
  <c r="X34" i="6"/>
  <c r="X35" i="6"/>
  <c r="X36" i="6"/>
  <c r="X37" i="6"/>
  <c r="X4" i="6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4" i="1"/>
  <c r="T47" i="6" l="1"/>
  <c r="U47" i="6"/>
  <c r="W4" i="6"/>
  <c r="W5" i="6"/>
  <c r="W6" i="6"/>
  <c r="W7" i="6"/>
  <c r="W8" i="6"/>
  <c r="W9" i="6"/>
  <c r="W10" i="6"/>
  <c r="W11" i="6"/>
  <c r="W12" i="6"/>
  <c r="W13" i="6"/>
  <c r="W14" i="6"/>
  <c r="W15" i="6"/>
  <c r="W16" i="6"/>
  <c r="W17" i="6"/>
  <c r="W18" i="6"/>
  <c r="W19" i="6"/>
  <c r="W20" i="6"/>
  <c r="W21" i="6"/>
  <c r="W22" i="6"/>
  <c r="W23" i="6"/>
  <c r="W24" i="6"/>
  <c r="W25" i="6"/>
  <c r="W26" i="6"/>
  <c r="W27" i="6"/>
  <c r="W28" i="6"/>
  <c r="W29" i="6"/>
  <c r="W30" i="6"/>
  <c r="W31" i="6"/>
  <c r="W32" i="6"/>
  <c r="W33" i="6"/>
  <c r="W34" i="6"/>
  <c r="W35" i="6"/>
  <c r="W36" i="6"/>
  <c r="W37" i="6"/>
  <c r="W38" i="6"/>
  <c r="J4" i="2"/>
  <c r="Z4" i="2"/>
  <c r="I4" i="2"/>
  <c r="I38" i="6" s="1"/>
  <c r="C4" i="2"/>
  <c r="S4" i="2" s="1"/>
  <c r="T4" i="2" s="1"/>
  <c r="B44" i="1"/>
  <c r="E44" i="1"/>
  <c r="F44" i="1"/>
  <c r="P44" i="1"/>
  <c r="B45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B46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B47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B48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B49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B50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B51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B52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B53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B54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B55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B56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B57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B58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B59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B60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B61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B62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B63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B64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B65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B66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B67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B68" i="1"/>
  <c r="C68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B69" i="1"/>
  <c r="C69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B70" i="1"/>
  <c r="C70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B71" i="1"/>
  <c r="C71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B72" i="1"/>
  <c r="C72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B73" i="1"/>
  <c r="C73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B74" i="1"/>
  <c r="C74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B75" i="1"/>
  <c r="C75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B76" i="1"/>
  <c r="C76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B77" i="1"/>
  <c r="C77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B78" i="1"/>
  <c r="C78" i="1"/>
  <c r="D78" i="1"/>
  <c r="E78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B79" i="1"/>
  <c r="C79" i="1"/>
  <c r="D79" i="1"/>
  <c r="E79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B80" i="1"/>
  <c r="C80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B81" i="1"/>
  <c r="C81" i="1"/>
  <c r="D81" i="1"/>
  <c r="E81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B82" i="1"/>
  <c r="C82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B83" i="1"/>
  <c r="C83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B84" i="1"/>
  <c r="C84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B85" i="1"/>
  <c r="C85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B86" i="1"/>
  <c r="C86" i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B87" i="1"/>
  <c r="C87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B88" i="1"/>
  <c r="C88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B89" i="1"/>
  <c r="C89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B90" i="1"/>
  <c r="C90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B91" i="1"/>
  <c r="C91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B92" i="1"/>
  <c r="C92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B93" i="1"/>
  <c r="C93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B94" i="1"/>
  <c r="C94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B95" i="1"/>
  <c r="C95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B96" i="1"/>
  <c r="C96" i="1"/>
  <c r="D96" i="1"/>
  <c r="E96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B97" i="1"/>
  <c r="C97" i="1"/>
  <c r="D97" i="1"/>
  <c r="E97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B98" i="1"/>
  <c r="C98" i="1"/>
  <c r="D98" i="1"/>
  <c r="E98" i="1"/>
  <c r="F98" i="1"/>
  <c r="G98" i="1"/>
  <c r="H98" i="1"/>
  <c r="I98" i="1"/>
  <c r="J98" i="1"/>
  <c r="K98" i="1"/>
  <c r="L98" i="1"/>
  <c r="M98" i="1"/>
  <c r="N98" i="1"/>
  <c r="O98" i="1"/>
  <c r="P98" i="1"/>
  <c r="Q98" i="1"/>
  <c r="R98" i="1"/>
  <c r="B99" i="1"/>
  <c r="C99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B100" i="1"/>
  <c r="C100" i="1"/>
  <c r="D100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B101" i="1"/>
  <c r="C101" i="1"/>
  <c r="D101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B102" i="1"/>
  <c r="C102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B103" i="1"/>
  <c r="C103" i="1"/>
  <c r="D103" i="1"/>
  <c r="E103" i="1"/>
  <c r="F103" i="1"/>
  <c r="G103" i="1"/>
  <c r="H103" i="1"/>
  <c r="I103" i="1"/>
  <c r="J103" i="1"/>
  <c r="K103" i="1"/>
  <c r="L103" i="1"/>
  <c r="M103" i="1"/>
  <c r="N103" i="1"/>
  <c r="O103" i="1"/>
  <c r="P103" i="1"/>
  <c r="Q103" i="1"/>
  <c r="R103" i="1"/>
  <c r="K38" i="6" l="1"/>
  <c r="J38" i="6"/>
  <c r="D4" i="2"/>
  <c r="D38" i="6"/>
  <c r="O38" i="6" s="1"/>
  <c r="S38" i="6" s="1"/>
  <c r="W4" i="2"/>
  <c r="M181" i="3"/>
  <c r="B33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B34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B35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B36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B37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B38" i="1"/>
  <c r="C38" i="1"/>
  <c r="E38" i="1"/>
  <c r="F38" i="1"/>
  <c r="G38" i="1"/>
  <c r="H38" i="1"/>
  <c r="I38" i="1"/>
  <c r="J38" i="1"/>
  <c r="K38" i="1"/>
  <c r="L38" i="1"/>
  <c r="M38" i="1"/>
  <c r="P38" i="1"/>
  <c r="Q38" i="1"/>
  <c r="B39" i="1"/>
  <c r="E39" i="1"/>
  <c r="F39" i="1"/>
  <c r="P39" i="1"/>
  <c r="B40" i="1"/>
  <c r="E40" i="1"/>
  <c r="F40" i="1"/>
  <c r="P40" i="1"/>
  <c r="B41" i="1"/>
  <c r="E41" i="1"/>
  <c r="F41" i="1"/>
  <c r="P41" i="1"/>
  <c r="B42" i="1"/>
  <c r="E42" i="1"/>
  <c r="F42" i="1"/>
  <c r="P42" i="1"/>
  <c r="B43" i="1"/>
  <c r="E43" i="1"/>
  <c r="F43" i="1"/>
  <c r="P43" i="1"/>
  <c r="B5" i="1"/>
  <c r="C5" i="1"/>
  <c r="D5" i="1"/>
  <c r="E5" i="1"/>
  <c r="G5" i="1"/>
  <c r="H5" i="1"/>
  <c r="I5" i="1"/>
  <c r="J5" i="1"/>
  <c r="K5" i="1"/>
  <c r="L5" i="1"/>
  <c r="M5" i="1"/>
  <c r="N5" i="1"/>
  <c r="O5" i="1"/>
  <c r="P5" i="1"/>
  <c r="Q5" i="1"/>
  <c r="R5" i="1"/>
  <c r="B6" i="1"/>
  <c r="C6" i="1"/>
  <c r="D6" i="1"/>
  <c r="E6" i="1"/>
  <c r="G6" i="1"/>
  <c r="H6" i="1"/>
  <c r="I6" i="1"/>
  <c r="J6" i="1"/>
  <c r="K6" i="1"/>
  <c r="L6" i="1"/>
  <c r="M6" i="1"/>
  <c r="N6" i="1"/>
  <c r="O6" i="1"/>
  <c r="P6" i="1"/>
  <c r="Q6" i="1"/>
  <c r="R6" i="1"/>
  <c r="B7" i="1"/>
  <c r="C7" i="1"/>
  <c r="D7" i="1"/>
  <c r="E7" i="1"/>
  <c r="G7" i="1"/>
  <c r="H7" i="1"/>
  <c r="I7" i="1"/>
  <c r="J7" i="1"/>
  <c r="K7" i="1"/>
  <c r="L7" i="1"/>
  <c r="M7" i="1"/>
  <c r="N7" i="1"/>
  <c r="O7" i="1"/>
  <c r="P7" i="1"/>
  <c r="Q7" i="1"/>
  <c r="R7" i="1"/>
  <c r="B8" i="1"/>
  <c r="C8" i="1"/>
  <c r="D8" i="1"/>
  <c r="E8" i="1"/>
  <c r="G8" i="1"/>
  <c r="H8" i="1"/>
  <c r="I8" i="1"/>
  <c r="J8" i="1"/>
  <c r="K8" i="1"/>
  <c r="L8" i="1"/>
  <c r="M8" i="1"/>
  <c r="N8" i="1"/>
  <c r="O8" i="1"/>
  <c r="P8" i="1"/>
  <c r="Q8" i="1"/>
  <c r="R8" i="1"/>
  <c r="B9" i="1"/>
  <c r="C9" i="1"/>
  <c r="D9" i="1"/>
  <c r="E9" i="1"/>
  <c r="G9" i="1"/>
  <c r="C19" i="3" s="1"/>
  <c r="H9" i="1"/>
  <c r="C20" i="3" s="1"/>
  <c r="I9" i="1"/>
  <c r="J9" i="1"/>
  <c r="K9" i="1"/>
  <c r="L9" i="1"/>
  <c r="M9" i="1"/>
  <c r="N9" i="1"/>
  <c r="O9" i="1"/>
  <c r="P9" i="1"/>
  <c r="Q9" i="1"/>
  <c r="R9" i="1"/>
  <c r="B10" i="1"/>
  <c r="C10" i="1"/>
  <c r="D10" i="1"/>
  <c r="E10" i="1"/>
  <c r="G10" i="1"/>
  <c r="H10" i="1"/>
  <c r="I10" i="1"/>
  <c r="J10" i="1"/>
  <c r="K10" i="1"/>
  <c r="L10" i="1"/>
  <c r="M10" i="1"/>
  <c r="N10" i="1"/>
  <c r="O10" i="1"/>
  <c r="P10" i="1"/>
  <c r="Q10" i="1"/>
  <c r="R10" i="1"/>
  <c r="B11" i="1"/>
  <c r="C11" i="1"/>
  <c r="D11" i="1"/>
  <c r="E11" i="1"/>
  <c r="G11" i="1"/>
  <c r="H11" i="1"/>
  <c r="I11" i="1"/>
  <c r="J11" i="1"/>
  <c r="K11" i="1"/>
  <c r="L11" i="1"/>
  <c r="M11" i="1"/>
  <c r="N11" i="1"/>
  <c r="O11" i="1"/>
  <c r="P11" i="1"/>
  <c r="Q11" i="1"/>
  <c r="R11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R4" i="1"/>
  <c r="Q4" i="1"/>
  <c r="P4" i="1"/>
  <c r="O4" i="1"/>
  <c r="N4" i="1"/>
  <c r="M4" i="1"/>
  <c r="L4" i="1"/>
  <c r="K4" i="1"/>
  <c r="J4" i="1"/>
  <c r="I4" i="1"/>
  <c r="H4" i="1"/>
  <c r="G4" i="1"/>
  <c r="E4" i="1"/>
  <c r="D4" i="1"/>
  <c r="C4" i="1"/>
  <c r="B4" i="1"/>
  <c r="T29" i="6"/>
  <c r="T28" i="6"/>
  <c r="T27" i="6"/>
  <c r="T26" i="6"/>
  <c r="T25" i="6"/>
  <c r="T24" i="6"/>
  <c r="T23" i="6"/>
  <c r="T22" i="6"/>
  <c r="T21" i="6"/>
  <c r="T20" i="6"/>
  <c r="T19" i="6"/>
  <c r="T18" i="6"/>
  <c r="T17" i="6"/>
  <c r="T16" i="6"/>
  <c r="T15" i="6"/>
  <c r="T14" i="6"/>
  <c r="T13" i="6"/>
  <c r="T12" i="6"/>
  <c r="T11" i="6"/>
  <c r="G11" i="6"/>
  <c r="F11" i="1" s="1"/>
  <c r="T10" i="6"/>
  <c r="G10" i="6"/>
  <c r="F10" i="1" s="1"/>
  <c r="T9" i="6"/>
  <c r="G9" i="6"/>
  <c r="F9" i="1" s="1"/>
  <c r="T8" i="6"/>
  <c r="G8" i="6"/>
  <c r="F8" i="1" s="1"/>
  <c r="T7" i="6"/>
  <c r="G7" i="6"/>
  <c r="F7" i="1" s="1"/>
  <c r="T6" i="6"/>
  <c r="G6" i="6"/>
  <c r="F6" i="1" s="1"/>
  <c r="T5" i="6"/>
  <c r="G5" i="6"/>
  <c r="F5" i="1" s="1"/>
  <c r="T4" i="6"/>
  <c r="G4" i="6"/>
  <c r="F4" i="1" s="1"/>
  <c r="B182" i="3"/>
  <c r="B181" i="3"/>
  <c r="B183" i="3" s="1"/>
  <c r="U4" i="2" l="1"/>
  <c r="X4" i="2" s="1"/>
  <c r="E38" i="6"/>
  <c r="D181" i="3"/>
  <c r="P38" i="6" l="1"/>
  <c r="D38" i="1"/>
  <c r="R6" i="2"/>
  <c r="N40" i="6" s="1"/>
  <c r="L40" i="1" s="1"/>
  <c r="O6" i="2"/>
  <c r="L40" i="6" s="1"/>
  <c r="L6" i="2"/>
  <c r="Z6" i="2"/>
  <c r="I6" i="2"/>
  <c r="I40" i="6" s="1"/>
  <c r="G40" i="1" s="1"/>
  <c r="C6" i="2"/>
  <c r="Z10" i="2"/>
  <c r="R10" i="2"/>
  <c r="N44" i="6" s="1"/>
  <c r="L44" i="1" s="1"/>
  <c r="O10" i="2"/>
  <c r="L44" i="6" s="1"/>
  <c r="L10" i="2"/>
  <c r="I10" i="2"/>
  <c r="I44" i="6" s="1"/>
  <c r="G44" i="1" s="1"/>
  <c r="C10" i="2"/>
  <c r="J2" i="3"/>
  <c r="P10" i="2" l="1"/>
  <c r="M44" i="6" s="1"/>
  <c r="K44" i="1" s="1"/>
  <c r="D10" i="2"/>
  <c r="D44" i="6"/>
  <c r="J10" i="2"/>
  <c r="S6" i="2"/>
  <c r="D40" i="6"/>
  <c r="W40" i="6"/>
  <c r="J40" i="1"/>
  <c r="W44" i="6"/>
  <c r="J44" i="1"/>
  <c r="Q38" i="6"/>
  <c r="N38" i="1"/>
  <c r="P6" i="2"/>
  <c r="M40" i="6" s="1"/>
  <c r="K40" i="1" s="1"/>
  <c r="J6" i="2"/>
  <c r="W6" i="2"/>
  <c r="T6" i="2"/>
  <c r="S10" i="2"/>
  <c r="T10" i="2" s="1"/>
  <c r="D6" i="2"/>
  <c r="E40" i="6" s="1"/>
  <c r="W10" i="2"/>
  <c r="I128" i="3"/>
  <c r="G128" i="3"/>
  <c r="E128" i="3"/>
  <c r="A207" i="5"/>
  <c r="A208" i="5" s="1"/>
  <c r="A209" i="5" s="1"/>
  <c r="A201" i="5"/>
  <c r="A202" i="5" s="1"/>
  <c r="A203" i="5" s="1"/>
  <c r="A182" i="5"/>
  <c r="P40" i="6" l="1"/>
  <c r="D40" i="1"/>
  <c r="K40" i="6"/>
  <c r="I40" i="1" s="1"/>
  <c r="J40" i="6"/>
  <c r="H40" i="1" s="1"/>
  <c r="O40" i="6"/>
  <c r="C40" i="1"/>
  <c r="J44" i="6"/>
  <c r="H44" i="1" s="1"/>
  <c r="K44" i="6"/>
  <c r="I44" i="1" s="1"/>
  <c r="U10" i="2"/>
  <c r="X10" i="2" s="1"/>
  <c r="E44" i="6"/>
  <c r="T38" i="6"/>
  <c r="O38" i="1"/>
  <c r="U38" i="6"/>
  <c r="R38" i="1" s="1"/>
  <c r="O44" i="6"/>
  <c r="C44" i="1"/>
  <c r="U6" i="2"/>
  <c r="X6" i="2" s="1"/>
  <c r="A183" i="5"/>
  <c r="A184" i="5" s="1"/>
  <c r="A185" i="5" s="1"/>
  <c r="A186" i="5" s="1"/>
  <c r="A187" i="5" s="1"/>
  <c r="A188" i="5" s="1"/>
  <c r="C123" i="3" s="1"/>
  <c r="C124" i="3"/>
  <c r="C125" i="3"/>
  <c r="A68" i="5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35" i="5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80" i="3"/>
  <c r="D74" i="3"/>
  <c r="D73" i="3"/>
  <c r="A74" i="3"/>
  <c r="A73" i="3"/>
  <c r="D75" i="3"/>
  <c r="A75" i="3"/>
  <c r="B77" i="3"/>
  <c r="A3" i="3" s="1"/>
  <c r="E93" i="3"/>
  <c r="I90" i="3"/>
  <c r="S44" i="6" l="1"/>
  <c r="Q44" i="1" s="1"/>
  <c r="M44" i="1"/>
  <c r="D44" i="1"/>
  <c r="P44" i="6"/>
  <c r="S40" i="6"/>
  <c r="Q40" i="1" s="1"/>
  <c r="M40" i="1"/>
  <c r="Q40" i="6"/>
  <c r="N40" i="1"/>
  <c r="A123" i="5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5" i="5" s="1"/>
  <c r="A166" i="5" s="1"/>
  <c r="A167" i="5" s="1"/>
  <c r="A168" i="5" s="1"/>
  <c r="A169" i="5" s="1"/>
  <c r="A170" i="5" s="1"/>
  <c r="A171" i="5" s="1"/>
  <c r="A172" i="5" s="1"/>
  <c r="A173" i="5" s="1"/>
  <c r="A174" i="5" s="1"/>
  <c r="A175" i="5" s="1"/>
  <c r="A176" i="5" s="1"/>
  <c r="A177" i="5" s="1"/>
  <c r="A178" i="5" s="1"/>
  <c r="E118" i="3"/>
  <c r="E116" i="3"/>
  <c r="G118" i="3"/>
  <c r="E117" i="3"/>
  <c r="G117" i="3"/>
  <c r="G116" i="3"/>
  <c r="A50" i="5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G114" i="3"/>
  <c r="G113" i="3"/>
  <c r="G115" i="3"/>
  <c r="G112" i="3"/>
  <c r="A189" i="5"/>
  <c r="A190" i="5" s="1"/>
  <c r="A191" i="5" s="1"/>
  <c r="A192" i="5" s="1"/>
  <c r="A193" i="5" s="1"/>
  <c r="A194" i="5" s="1"/>
  <c r="A195" i="5" s="1"/>
  <c r="A196" i="5" s="1"/>
  <c r="E91" i="3"/>
  <c r="B2" i="3" s="1"/>
  <c r="E92" i="3"/>
  <c r="I2" i="3" s="1"/>
  <c r="E90" i="3"/>
  <c r="C27" i="5"/>
  <c r="C28" i="5" s="1"/>
  <c r="C29" i="5" s="1"/>
  <c r="C30" i="5" s="1"/>
  <c r="K32" i="5"/>
  <c r="K31" i="5"/>
  <c r="K34" i="5"/>
  <c r="K33" i="5"/>
  <c r="D72" i="3"/>
  <c r="D71" i="3"/>
  <c r="D70" i="3"/>
  <c r="D69" i="3"/>
  <c r="D68" i="3"/>
  <c r="D67" i="3"/>
  <c r="D66" i="3"/>
  <c r="D65" i="3"/>
  <c r="A72" i="3"/>
  <c r="A71" i="3"/>
  <c r="A70" i="3"/>
  <c r="A69" i="3"/>
  <c r="A68" i="3"/>
  <c r="A67" i="3"/>
  <c r="A66" i="3"/>
  <c r="A65" i="3"/>
  <c r="A64" i="3"/>
  <c r="A63" i="3"/>
  <c r="K18" i="5"/>
  <c r="K17" i="5"/>
  <c r="K3" i="5"/>
  <c r="K2" i="5"/>
  <c r="Z9" i="2"/>
  <c r="R9" i="2"/>
  <c r="N43" i="6" s="1"/>
  <c r="L43" i="1" s="1"/>
  <c r="O9" i="2"/>
  <c r="L43" i="6" s="1"/>
  <c r="L9" i="2"/>
  <c r="I9" i="2"/>
  <c r="I43" i="6" s="1"/>
  <c r="G43" i="1" s="1"/>
  <c r="C9" i="2"/>
  <c r="H27" i="3"/>
  <c r="H26" i="3"/>
  <c r="C23" i="5"/>
  <c r="C22" i="5"/>
  <c r="I14" i="3"/>
  <c r="I13" i="3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W43" i="6" l="1"/>
  <c r="J43" i="1"/>
  <c r="S9" i="2"/>
  <c r="D43" i="6"/>
  <c r="Q44" i="6"/>
  <c r="N44" i="1"/>
  <c r="T40" i="6"/>
  <c r="U40" i="6"/>
  <c r="R40" i="1" s="1"/>
  <c r="O40" i="1"/>
  <c r="D20" i="5"/>
  <c r="E2" i="3"/>
  <c r="B186" i="3"/>
  <c r="T9" i="2"/>
  <c r="W9" i="2"/>
  <c r="J9" i="2"/>
  <c r="P9" i="2"/>
  <c r="M43" i="6" s="1"/>
  <c r="K43" i="1" s="1"/>
  <c r="D9" i="2"/>
  <c r="E43" i="6" s="1"/>
  <c r="K10" i="5"/>
  <c r="E161" i="3"/>
  <c r="E143" i="3"/>
  <c r="B143" i="3"/>
  <c r="B155" i="3" s="1"/>
  <c r="B161" i="3"/>
  <c r="H143" i="3"/>
  <c r="H155" i="3" s="1"/>
  <c r="H161" i="3"/>
  <c r="K28" i="5"/>
  <c r="K27" i="5"/>
  <c r="D30" i="5"/>
  <c r="D28" i="5"/>
  <c r="D27" i="5"/>
  <c r="D29" i="5"/>
  <c r="K36" i="5"/>
  <c r="K37" i="5" s="1"/>
  <c r="K40" i="5"/>
  <c r="K41" i="5" s="1"/>
  <c r="K46" i="5"/>
  <c r="K35" i="5"/>
  <c r="K8" i="5"/>
  <c r="K23" i="5"/>
  <c r="K20" i="5"/>
  <c r="K22" i="5"/>
  <c r="K26" i="5"/>
  <c r="K19" i="5"/>
  <c r="K21" i="5"/>
  <c r="K6" i="5"/>
  <c r="K5" i="5"/>
  <c r="H28" i="3"/>
  <c r="I15" i="3"/>
  <c r="I16" i="3" s="1"/>
  <c r="O43" i="6" l="1"/>
  <c r="C43" i="1"/>
  <c r="P43" i="6"/>
  <c r="D43" i="1"/>
  <c r="K43" i="6"/>
  <c r="I43" i="1" s="1"/>
  <c r="J43" i="6"/>
  <c r="H43" i="1" s="1"/>
  <c r="O44" i="1"/>
  <c r="U44" i="6"/>
  <c r="R44" i="1" s="1"/>
  <c r="T44" i="6"/>
  <c r="U9" i="2"/>
  <c r="X9" i="2" s="1"/>
  <c r="E155" i="3"/>
  <c r="B39" i="3"/>
  <c r="K38" i="5"/>
  <c r="K39" i="5" s="1"/>
  <c r="K44" i="5" s="1"/>
  <c r="K45" i="5"/>
  <c r="B69" i="3"/>
  <c r="B67" i="3"/>
  <c r="K25" i="5"/>
  <c r="B66" i="3"/>
  <c r="K24" i="5"/>
  <c r="K4" i="5"/>
  <c r="K12" i="5"/>
  <c r="B73" i="3" s="1"/>
  <c r="B65" i="3" l="1"/>
  <c r="B88" i="3" s="1"/>
  <c r="K13" i="5"/>
  <c r="B74" i="3" s="1"/>
  <c r="B83" i="3" s="1"/>
  <c r="K14" i="5"/>
  <c r="B75" i="3" s="1"/>
  <c r="Q43" i="6"/>
  <c r="N43" i="1"/>
  <c r="S43" i="6"/>
  <c r="Q43" i="1" s="1"/>
  <c r="M43" i="1"/>
  <c r="B71" i="3"/>
  <c r="B86" i="3" s="1"/>
  <c r="K43" i="5"/>
  <c r="K42" i="5"/>
  <c r="K11" i="5"/>
  <c r="B72" i="3" s="1"/>
  <c r="B87" i="3" s="1"/>
  <c r="K7" i="5"/>
  <c r="B68" i="3" s="1"/>
  <c r="K9" i="5"/>
  <c r="B70" i="3" s="1"/>
  <c r="B78" i="3" l="1"/>
  <c r="B84" i="3"/>
  <c r="T43" i="6"/>
  <c r="U43" i="6"/>
  <c r="R43" i="1" s="1"/>
  <c r="O43" i="1"/>
  <c r="B81" i="3"/>
  <c r="B82" i="3"/>
  <c r="B85" i="3"/>
  <c r="B80" i="3"/>
  <c r="B79" i="3"/>
  <c r="C5" i="2"/>
  <c r="D39" i="6" s="1"/>
  <c r="I5" i="2"/>
  <c r="I39" i="6" s="1"/>
  <c r="G39" i="1" s="1"/>
  <c r="L5" i="2"/>
  <c r="O5" i="2"/>
  <c r="L39" i="6" s="1"/>
  <c r="R5" i="2"/>
  <c r="N39" i="6" s="1"/>
  <c r="L39" i="1" s="1"/>
  <c r="Z5" i="2"/>
  <c r="C7" i="2"/>
  <c r="D41" i="6" s="1"/>
  <c r="I7" i="2"/>
  <c r="I41" i="6" s="1"/>
  <c r="G41" i="1" s="1"/>
  <c r="L7" i="2"/>
  <c r="O7" i="2"/>
  <c r="L41" i="6" s="1"/>
  <c r="R7" i="2"/>
  <c r="N41" i="6" s="1"/>
  <c r="L41" i="1" s="1"/>
  <c r="Z7" i="2"/>
  <c r="Z8" i="2"/>
  <c r="R8" i="2"/>
  <c r="N42" i="6" s="1"/>
  <c r="L42" i="1" s="1"/>
  <c r="L8" i="2"/>
  <c r="O8" i="2"/>
  <c r="L42" i="6" s="1"/>
  <c r="I8" i="2"/>
  <c r="C8" i="2"/>
  <c r="C45" i="3" l="1"/>
  <c r="G45" i="3" s="1"/>
  <c r="L188" i="3" s="1"/>
  <c r="I42" i="6"/>
  <c r="G42" i="1" s="1"/>
  <c r="O41" i="6"/>
  <c r="C41" i="1"/>
  <c r="W39" i="6"/>
  <c r="J39" i="1"/>
  <c r="D8" i="2"/>
  <c r="E42" i="6" s="1"/>
  <c r="D42" i="6"/>
  <c r="W42" i="6"/>
  <c r="J42" i="1"/>
  <c r="W41" i="6"/>
  <c r="J41" i="1"/>
  <c r="O39" i="6"/>
  <c r="C39" i="1"/>
  <c r="E50" i="3"/>
  <c r="I50" i="3" s="1"/>
  <c r="D7" i="2"/>
  <c r="J5" i="2"/>
  <c r="P8" i="2"/>
  <c r="M42" i="6" s="1"/>
  <c r="K42" i="1" s="1"/>
  <c r="D5" i="2"/>
  <c r="J7" i="2"/>
  <c r="S7" i="2"/>
  <c r="T7" i="2" s="1"/>
  <c r="S5" i="2"/>
  <c r="T5" i="2" s="1"/>
  <c r="E43" i="3"/>
  <c r="I43" i="3" s="1"/>
  <c r="C43" i="3"/>
  <c r="G43" i="3" s="1"/>
  <c r="I91" i="3" s="1"/>
  <c r="I92" i="3" s="1"/>
  <c r="I93" i="3" s="1"/>
  <c r="G111" i="3" s="1"/>
  <c r="E47" i="3"/>
  <c r="I47" i="3" s="1"/>
  <c r="C47" i="3"/>
  <c r="G47" i="3" s="1"/>
  <c r="E57" i="3"/>
  <c r="I57" i="3" s="1"/>
  <c r="C57" i="3"/>
  <c r="G57" i="3" s="1"/>
  <c r="E54" i="3"/>
  <c r="I54" i="3" s="1"/>
  <c r="C54" i="3"/>
  <c r="G54" i="3" s="1"/>
  <c r="E44" i="3"/>
  <c r="I44" i="3" s="1"/>
  <c r="C44" i="3"/>
  <c r="G44" i="3" s="1"/>
  <c r="U8" i="2"/>
  <c r="X8" i="2" s="1"/>
  <c r="J8" i="2"/>
  <c r="S8" i="2"/>
  <c r="P5" i="2"/>
  <c r="M39" i="6" s="1"/>
  <c r="K39" i="1" s="1"/>
  <c r="P7" i="2"/>
  <c r="M41" i="6" s="1"/>
  <c r="K41" i="1" s="1"/>
  <c r="E45" i="3" l="1"/>
  <c r="I45" i="3" s="1"/>
  <c r="K41" i="6"/>
  <c r="I41" i="1" s="1"/>
  <c r="J41" i="6"/>
  <c r="H41" i="1" s="1"/>
  <c r="U7" i="2"/>
  <c r="X7" i="2" s="1"/>
  <c r="E41" i="6"/>
  <c r="O42" i="6"/>
  <c r="C42" i="1"/>
  <c r="J42" i="6"/>
  <c r="H42" i="1" s="1"/>
  <c r="K42" i="6"/>
  <c r="I42" i="1" s="1"/>
  <c r="U5" i="2"/>
  <c r="X5" i="2" s="1"/>
  <c r="E39" i="6"/>
  <c r="J39" i="6"/>
  <c r="H39" i="1" s="1"/>
  <c r="K39" i="6"/>
  <c r="I39" i="1" s="1"/>
  <c r="S39" i="6"/>
  <c r="Q39" i="1" s="1"/>
  <c r="M39" i="1"/>
  <c r="P42" i="6"/>
  <c r="D42" i="1"/>
  <c r="S41" i="6"/>
  <c r="Q41" i="1" s="1"/>
  <c r="M41" i="1"/>
  <c r="W7" i="2"/>
  <c r="C41" i="3"/>
  <c r="G41" i="3" s="1"/>
  <c r="C50" i="3"/>
  <c r="G50" i="3" s="1"/>
  <c r="D166" i="3" s="1"/>
  <c r="C46" i="3"/>
  <c r="G46" i="3" s="1"/>
  <c r="W5" i="2"/>
  <c r="G120" i="3"/>
  <c r="G134" i="3" s="1"/>
  <c r="G130" i="3"/>
  <c r="G131" i="3"/>
  <c r="G132" i="3"/>
  <c r="E56" i="3"/>
  <c r="I56" i="3" s="1"/>
  <c r="C56" i="3"/>
  <c r="G56" i="3" s="1"/>
  <c r="E51" i="3"/>
  <c r="I51" i="3" s="1"/>
  <c r="C51" i="3"/>
  <c r="G51" i="3" s="1"/>
  <c r="E48" i="3"/>
  <c r="I48" i="3" s="1"/>
  <c r="C48" i="3"/>
  <c r="G48" i="3" s="1"/>
  <c r="T8" i="2"/>
  <c r="W8" i="2"/>
  <c r="L183" i="3" s="1"/>
  <c r="P39" i="6" l="1"/>
  <c r="D39" i="1"/>
  <c r="P41" i="6"/>
  <c r="D41" i="1"/>
  <c r="Q42" i="6"/>
  <c r="N42" i="1"/>
  <c r="S42" i="6"/>
  <c r="Q42" i="1" s="1"/>
  <c r="M42" i="1"/>
  <c r="E41" i="3"/>
  <c r="I41" i="3" s="1"/>
  <c r="B185" i="3" s="1"/>
  <c r="B9" i="3" s="1"/>
  <c r="E46" i="3"/>
  <c r="I46" i="3" s="1"/>
  <c r="G166" i="3"/>
  <c r="C53" i="3"/>
  <c r="G53" i="3" s="1"/>
  <c r="E53" i="3"/>
  <c r="I53" i="3" s="1"/>
  <c r="L182" i="3"/>
  <c r="L187" i="3"/>
  <c r="L186" i="3"/>
  <c r="L184" i="3"/>
  <c r="L185" i="3" s="1"/>
  <c r="L189" i="3" s="1"/>
  <c r="E49" i="3"/>
  <c r="I49" i="3" s="1"/>
  <c r="C49" i="3"/>
  <c r="G49" i="3" s="1"/>
  <c r="J7" i="3"/>
  <c r="B140" i="3"/>
  <c r="E144" i="3" s="1"/>
  <c r="J4" i="3"/>
  <c r="J6" i="3"/>
  <c r="B175" i="3"/>
  <c r="E175" i="3"/>
  <c r="H175" i="3"/>
  <c r="B176" i="3"/>
  <c r="H176" i="3"/>
  <c r="E176" i="3"/>
  <c r="B138" i="3"/>
  <c r="I132" i="3"/>
  <c r="B139" i="3"/>
  <c r="E52" i="3"/>
  <c r="I52" i="3" s="1"/>
  <c r="C52" i="3"/>
  <c r="G52" i="3" s="1"/>
  <c r="E55" i="3"/>
  <c r="I55" i="3" s="1"/>
  <c r="C55" i="3"/>
  <c r="G55" i="3" s="1"/>
  <c r="T42" i="6" l="1"/>
  <c r="U42" i="6"/>
  <c r="R42" i="1" s="1"/>
  <c r="O42" i="1"/>
  <c r="Q41" i="6"/>
  <c r="N41" i="1"/>
  <c r="Q39" i="6"/>
  <c r="N39" i="1"/>
  <c r="B184" i="3"/>
  <c r="D184" i="3" s="1"/>
  <c r="N186" i="3"/>
  <c r="N187" i="3" s="1"/>
  <c r="H9" i="3"/>
  <c r="C42" i="3"/>
  <c r="G42" i="3" s="1"/>
  <c r="E42" i="3"/>
  <c r="I42" i="3" s="1"/>
  <c r="G185" i="3"/>
  <c r="E9" i="3" s="1"/>
  <c r="B153" i="3"/>
  <c r="B4" i="3" s="1"/>
  <c r="G150" i="3"/>
  <c r="H153" i="3"/>
  <c r="H4" i="3" s="1"/>
  <c r="G146" i="3"/>
  <c r="H144" i="3"/>
  <c r="B144" i="3"/>
  <c r="D150" i="3"/>
  <c r="D146" i="3"/>
  <c r="E148" i="3" s="1"/>
  <c r="E151" i="3" s="1"/>
  <c r="G171" i="3"/>
  <c r="D164" i="3"/>
  <c r="F170" i="3" s="1"/>
  <c r="E162" i="3"/>
  <c r="D171" i="3"/>
  <c r="G164" i="3"/>
  <c r="G165" i="3" s="1"/>
  <c r="G167" i="3" s="1"/>
  <c r="G6" i="3" s="1"/>
  <c r="H162" i="3"/>
  <c r="B162" i="3"/>
  <c r="U39" i="6" l="1"/>
  <c r="R39" i="1" s="1"/>
  <c r="O39" i="1"/>
  <c r="T39" i="6"/>
  <c r="T41" i="6"/>
  <c r="O41" i="1"/>
  <c r="U41" i="6"/>
  <c r="R41" i="1" s="1"/>
  <c r="G186" i="3"/>
  <c r="H156" i="3"/>
  <c r="H5" i="3" s="1"/>
  <c r="B156" i="3"/>
  <c r="B5" i="3" s="1"/>
  <c r="F149" i="3"/>
  <c r="E153" i="3" s="1"/>
  <c r="E4" i="3" s="1"/>
  <c r="G168" i="3"/>
  <c r="H157" i="3"/>
  <c r="H174" i="3"/>
  <c r="H173" i="3"/>
  <c r="B173" i="3"/>
  <c r="B174" i="3"/>
  <c r="D165" i="3"/>
  <c r="D167" i="3" s="1"/>
  <c r="D6" i="3" s="1"/>
  <c r="E169" i="3"/>
  <c r="E172" i="3" s="1"/>
  <c r="E174" i="3" l="1"/>
  <c r="L190" i="3"/>
  <c r="M189" i="3" s="1"/>
  <c r="M190" i="3" s="1"/>
  <c r="B157" i="3"/>
  <c r="E156" i="3"/>
  <c r="E5" i="3" s="1"/>
  <c r="B178" i="3"/>
  <c r="B8" i="3" s="1"/>
  <c r="H177" i="3"/>
  <c r="H7" i="3" s="1"/>
  <c r="D168" i="3"/>
  <c r="B177" i="3"/>
  <c r="B7" i="3" s="1"/>
  <c r="H178" i="3"/>
  <c r="H8" i="3" s="1"/>
  <c r="E173" i="3"/>
  <c r="E177" i="3" l="1"/>
  <c r="E7" i="3" s="1"/>
  <c r="E157" i="3"/>
  <c r="B179" i="3"/>
  <c r="H179" i="3"/>
  <c r="E178" i="3"/>
  <c r="E8" i="3" s="1"/>
  <c r="E179" i="3" l="1"/>
  <c r="B3" i="3"/>
</calcChain>
</file>

<file path=xl/sharedStrings.xml><?xml version="1.0" encoding="utf-8"?>
<sst xmlns="http://schemas.openxmlformats.org/spreadsheetml/2006/main" count="891" uniqueCount="555">
  <si>
    <t>Nome</t>
  </si>
  <si>
    <t>Módulo de Elasticidade</t>
  </si>
  <si>
    <t>Coeficiente de expansão térmica</t>
  </si>
  <si>
    <t>Módulo de Elasticidade (E)</t>
  </si>
  <si>
    <t>Módulo de Rigidez (G)</t>
  </si>
  <si>
    <t>MPa</t>
  </si>
  <si>
    <t>1/°C</t>
  </si>
  <si>
    <t>Kg/m³</t>
  </si>
  <si>
    <t>CARACTERÍSTICAS FÍSICAS</t>
  </si>
  <si>
    <t>Flexão</t>
  </si>
  <si>
    <t>Tração paralela às fibras</t>
  </si>
  <si>
    <t>Flexão (fm,k)</t>
  </si>
  <si>
    <t>Tração paralela às fibras (ft,0,k)</t>
  </si>
  <si>
    <t>Tração perpendicular às fibras (ft,90,k)</t>
  </si>
  <si>
    <t>Compressão paralela às fibras</t>
  </si>
  <si>
    <t>Compressão perpendicular às fibras</t>
  </si>
  <si>
    <t>Compressão paralela às fibras (fc,0,k)</t>
  </si>
  <si>
    <t>Compressão perpendicular às fibras (fc,90,k)</t>
  </si>
  <si>
    <t>Cisalhamento (fv,k)</t>
  </si>
  <si>
    <t>Módulo de Elasticidade paralela às fibras (E0,m)</t>
  </si>
  <si>
    <t>Módulo de Elasticidade perpendicular às fibras (E90,m)</t>
  </si>
  <si>
    <t>ITAÚBA</t>
  </si>
  <si>
    <t>Módulo de Rigidez (G,m)</t>
  </si>
  <si>
    <t>Módulo de Elasticidade paralela às fibras (E0,05)</t>
  </si>
  <si>
    <t>Módulo de Rigidez (G05)</t>
  </si>
  <si>
    <t>Fendilhamento (fR,k)</t>
  </si>
  <si>
    <t>Módulo de Elasticidade Madeira Verde (E)</t>
  </si>
  <si>
    <t>Módulo de Elasticidade 12% (E)</t>
  </si>
  <si>
    <t>Flexão madeira verde(fm,k)</t>
  </si>
  <si>
    <t>Flexão madeira 15% (fm,k)</t>
  </si>
  <si>
    <t>Flexão madeira 12% (fm,k)</t>
  </si>
  <si>
    <t>Compressão paralela às fibras madeira verde (fc,0,k)</t>
  </si>
  <si>
    <t>Compressão paralela às fibras 15% (fc,0,k)</t>
  </si>
  <si>
    <t>Compressão paralela às fibras 12% (fc,0,k)</t>
  </si>
  <si>
    <t>Tração perpendicular às fibras madeira verde (ft,90,k)</t>
  </si>
  <si>
    <t>Tração perpendicular às fibras 12% (ft,90,k)</t>
  </si>
  <si>
    <t>Cisalhamento madeira verde (fv,k)</t>
  </si>
  <si>
    <t>Cisalhamento 12% (fv,k)</t>
  </si>
  <si>
    <t>Fendilhamento madeira verde (fR,k)</t>
  </si>
  <si>
    <t>GARAPEIRA</t>
  </si>
  <si>
    <t>CUMARÚ</t>
  </si>
  <si>
    <t>Unidades</t>
  </si>
  <si>
    <t>1.1 - Madeira :</t>
  </si>
  <si>
    <t>E</t>
  </si>
  <si>
    <t>G</t>
  </si>
  <si>
    <t>fm,k</t>
  </si>
  <si>
    <t>ft,0,k</t>
  </si>
  <si>
    <t>ft,90,k</t>
  </si>
  <si>
    <t>fc,0,k</t>
  </si>
  <si>
    <t>fc,90,k</t>
  </si>
  <si>
    <t>fv,k</t>
  </si>
  <si>
    <t>E0,05</t>
  </si>
  <si>
    <t>G05</t>
  </si>
  <si>
    <t>fR,k</t>
  </si>
  <si>
    <t>Densidade Média</t>
  </si>
  <si>
    <t>Tração perpendicular às fibras</t>
  </si>
  <si>
    <t>Cisalhamento</t>
  </si>
  <si>
    <t>Módulo de Elasticidade paralelo às fibras</t>
  </si>
  <si>
    <t>Módulo de Elasticidade perpendicular às fibras</t>
  </si>
  <si>
    <t>Fendilhamento</t>
  </si>
  <si>
    <t>ρ,m</t>
  </si>
  <si>
    <t>α</t>
  </si>
  <si>
    <t>E0,m</t>
  </si>
  <si>
    <t>E90,m</t>
  </si>
  <si>
    <t>Gm</t>
  </si>
  <si>
    <t>ρ</t>
  </si>
  <si>
    <t>Número</t>
  </si>
  <si>
    <t>Nome científico</t>
  </si>
  <si>
    <t>Científico</t>
  </si>
  <si>
    <t>Densidade média (ρ,m)</t>
  </si>
  <si>
    <t>Coeficiente de expansão térmica (α)</t>
  </si>
  <si>
    <t>Densidade básica (ρ)</t>
  </si>
  <si>
    <t>EUROCODE5-D70</t>
  </si>
  <si>
    <t>NBR7190-C20</t>
  </si>
  <si>
    <t>NBR7190-D20</t>
  </si>
  <si>
    <t>NBR7190-C30</t>
  </si>
  <si>
    <t>NBR7190-C25</t>
  </si>
  <si>
    <t>NBR7190-D30</t>
  </si>
  <si>
    <t>NBR7190-D40</t>
  </si>
  <si>
    <t>NBR7190-D50</t>
  </si>
  <si>
    <t>NBR7190-D60</t>
  </si>
  <si>
    <t>NOMES</t>
  </si>
  <si>
    <t>FOTOS</t>
  </si>
  <si>
    <t>Kmod 1</t>
  </si>
  <si>
    <t>Carga Permanente</t>
  </si>
  <si>
    <t>Longa Duração</t>
  </si>
  <si>
    <t>Média Duração</t>
  </si>
  <si>
    <t>Curta Duração</t>
  </si>
  <si>
    <t>Instantânea</t>
  </si>
  <si>
    <t>Não Considerada</t>
  </si>
  <si>
    <t>Kmod 2</t>
  </si>
  <si>
    <t>I = 12%</t>
  </si>
  <si>
    <t>II = 15%</t>
  </si>
  <si>
    <t>III = 18%</t>
  </si>
  <si>
    <t>IV &gt; 25%</t>
  </si>
  <si>
    <t>Submersa</t>
  </si>
  <si>
    <t>Kmod 3</t>
  </si>
  <si>
    <t>Dicotiledônia 1a.</t>
  </si>
  <si>
    <t>Dicotiledônia 2a.</t>
  </si>
  <si>
    <t>Conífera 1a.</t>
  </si>
  <si>
    <t>Conífera 2a.</t>
  </si>
  <si>
    <t>Laminada Reta</t>
  </si>
  <si>
    <t>Laminada Curva</t>
  </si>
  <si>
    <t>Para as Vigas Laminadas Curvas :</t>
  </si>
  <si>
    <t>Lâmina de espessura "t" :</t>
  </si>
  <si>
    <t>Raio de curvatura "r" :</t>
  </si>
  <si>
    <t>Kmod1 :</t>
  </si>
  <si>
    <t>Kmod2 :</t>
  </si>
  <si>
    <t>Kmod3 :</t>
  </si>
  <si>
    <t>Kmod = Kmod1 x Kmod2 x Kmod3 =</t>
  </si>
  <si>
    <t>Para vigas laminadas coladas curvas :</t>
  </si>
  <si>
    <t>1.3 - Coeficiente de Fluência (φ) :</t>
  </si>
  <si>
    <t>Classe de umidade selecionada :</t>
  </si>
  <si>
    <t>Tipo de Carga Selecionada :</t>
  </si>
  <si>
    <t>Coeficiente de Fluência =</t>
  </si>
  <si>
    <t>Carga permanente : Vida útil da construção</t>
  </si>
  <si>
    <t>Longa duração : Mais de 6 meses</t>
  </si>
  <si>
    <t>Média duração : Uma semana a 6 meses</t>
  </si>
  <si>
    <t>Curta duração : Menos de uma semana</t>
  </si>
  <si>
    <t>Duração instantânea : Muito curta</t>
  </si>
  <si>
    <t>a) Para Estados Limites Últimos (ELU) :</t>
  </si>
  <si>
    <t>b) Para Estados Limites de Utilização (ELUtil) :</t>
  </si>
  <si>
    <t>Todos os casos :</t>
  </si>
  <si>
    <t>Módulo de Elasticidade Transversal</t>
  </si>
  <si>
    <t>fnk/fnm =</t>
  </si>
  <si>
    <t>fvk/fvn =</t>
  </si>
  <si>
    <t>Tração paralela às fibras (γtm)  :</t>
  </si>
  <si>
    <t>Compressão paralela às fibras (γcm) :</t>
  </si>
  <si>
    <t>Cisalhamento  (γvm)  :</t>
  </si>
  <si>
    <r>
      <t>1.4 - Coeficientes de Ponderação (</t>
    </r>
    <r>
      <rPr>
        <sz val="11"/>
        <color theme="3"/>
        <rFont val="Calibri"/>
        <family val="2"/>
      </rPr>
      <t>γ</t>
    </r>
    <r>
      <rPr>
        <i/>
        <sz val="11"/>
        <color theme="3"/>
        <rFont val="Calibri"/>
        <family val="2"/>
      </rPr>
      <t>m)</t>
    </r>
    <r>
      <rPr>
        <i/>
        <sz val="11"/>
        <color theme="3"/>
        <rFont val="Calibri"/>
        <family val="2"/>
        <scheme val="minor"/>
      </rPr>
      <t xml:space="preserve"> :</t>
    </r>
  </si>
  <si>
    <t>1.2 - Coeficientes de Modificação (kmod) :</t>
  </si>
  <si>
    <t>JATOBÁ</t>
  </si>
  <si>
    <t>1.5 - Valores de Cálculo :</t>
  </si>
  <si>
    <t>E.L.U.</t>
  </si>
  <si>
    <t>E.L.Util.</t>
  </si>
  <si>
    <t>Madeira Selecionada :</t>
  </si>
  <si>
    <t>MEMÓRIA DE CÁLCULO PARA VIGAS BIAPOIADAS</t>
  </si>
  <si>
    <t>1 - Materiais :</t>
  </si>
  <si>
    <t>2 - Geometria e Cargas :</t>
  </si>
  <si>
    <t>Tipos de seções</t>
  </si>
  <si>
    <t>Circular</t>
  </si>
  <si>
    <t>Retangular Simples</t>
  </si>
  <si>
    <t>Retangular Tripla</t>
  </si>
  <si>
    <t>Retangular Quadrupla</t>
  </si>
  <si>
    <t>Retangular Quíntupla</t>
  </si>
  <si>
    <t>Simples com 1 tábua</t>
  </si>
  <si>
    <t>Simples com 2 tábuas</t>
  </si>
  <si>
    <t>Dupla com 1 tábua</t>
  </si>
  <si>
    <t>Dupla com 2 tábuas</t>
  </si>
  <si>
    <t>Quadrado de Lado :</t>
  </si>
  <si>
    <t>Área da seção (A) :</t>
  </si>
  <si>
    <t>Momento de inércia da seção circular (Jxy) :</t>
  </si>
  <si>
    <t>Momento de inércia do quadrado equiv. (Jxy) :</t>
  </si>
  <si>
    <t>Módulo de resistência seção circular (Wxy) :</t>
  </si>
  <si>
    <t>Momento estático do semi-círculo (Ms) :</t>
  </si>
  <si>
    <t>Momento estático do quadrado (Ms) :</t>
  </si>
  <si>
    <t>Raio de Giração (i) :</t>
  </si>
  <si>
    <t>CIRCULAR</t>
  </si>
  <si>
    <t>Módulo de resistência do quad. equiv. (Wxy) :</t>
  </si>
  <si>
    <t>Base (b) :</t>
  </si>
  <si>
    <t>Altura (h) :</t>
  </si>
  <si>
    <t>Momento de inércia (Jx) :</t>
  </si>
  <si>
    <t>Momento de inércia (Jy) :</t>
  </si>
  <si>
    <t>Módulo de resistência (Wx) :</t>
  </si>
  <si>
    <t>Módulo de resistência (Wy) :</t>
  </si>
  <si>
    <t>Raio de Giração (ix) :</t>
  </si>
  <si>
    <t>Raio de Giração (iy) :</t>
  </si>
  <si>
    <t>Momento estático da seção (Ms) :</t>
  </si>
  <si>
    <t>RETANGULAR SIMPLES</t>
  </si>
  <si>
    <t>cm</t>
  </si>
  <si>
    <t>Diâmetro inicial (Ø) :</t>
  </si>
  <si>
    <t>Diâmetro final (Ø) :</t>
  </si>
  <si>
    <t>cm²</t>
  </si>
  <si>
    <t>cm4</t>
  </si>
  <si>
    <t>cm³</t>
  </si>
  <si>
    <t>Simples com 1 tábua (T)</t>
  </si>
  <si>
    <t>Base (b1) :</t>
  </si>
  <si>
    <t>Altura (h1) :</t>
  </si>
  <si>
    <t>ysuperior :</t>
  </si>
  <si>
    <t>Momento de inércia Jx efetivo (0,95) :</t>
  </si>
  <si>
    <t>Momento de inércia Jy efetivo (0,95) :</t>
  </si>
  <si>
    <t>Módulo de resist. à compressão (Wsup.) :</t>
  </si>
  <si>
    <t>Módulo de resist. à tração (Winf.) :</t>
  </si>
  <si>
    <t>Base (b2) :</t>
  </si>
  <si>
    <t>Altura (h2) :</t>
  </si>
  <si>
    <t>yinferior :</t>
  </si>
  <si>
    <t>VIGAS T</t>
  </si>
  <si>
    <t>Comprimento do balanço à esquerda :</t>
  </si>
  <si>
    <t>Comprimento do balanço à direita :</t>
  </si>
  <si>
    <t>Espaçamento entre vigas :</t>
  </si>
  <si>
    <t>Comprimento Axial da viga :</t>
  </si>
  <si>
    <t>Inclinação da viga :</t>
  </si>
  <si>
    <t>x</t>
  </si>
  <si>
    <t>y</t>
  </si>
  <si>
    <t>GRÁFICO DA VIGA</t>
  </si>
  <si>
    <t>Peso TOTAL da peça :</t>
  </si>
  <si>
    <t>Comprim. TOTAL da peça  :</t>
  </si>
  <si>
    <t>Tipo de seção :</t>
  </si>
  <si>
    <t>Área adotada :</t>
  </si>
  <si>
    <t>Momento de inércia (Jx) adotado :</t>
  </si>
  <si>
    <t>Módulo de resistência (Wsup.) adotado :</t>
  </si>
  <si>
    <t>Módulo de resistência (Winf.) adotado :</t>
  </si>
  <si>
    <t>Centróide superior (ys) adotado :</t>
  </si>
  <si>
    <t>Centróide inferior (yi) adotado :</t>
  </si>
  <si>
    <t>Raio de Giração (ix) adotado :</t>
  </si>
  <si>
    <t>Raio de Giração (iy) adotado :</t>
  </si>
  <si>
    <t>Largura efetiva da peça no apoio :</t>
  </si>
  <si>
    <t>Momento estático (Ms) da seção adotado :</t>
  </si>
  <si>
    <t>2.1 - Seleção das seções das vigas :</t>
  </si>
  <si>
    <t>2.2 - Seção Adotada para Cálculo :</t>
  </si>
  <si>
    <t>2.3 - Comprimento das peças :</t>
  </si>
  <si>
    <t>Peso PRÓPRIO da peça :</t>
  </si>
  <si>
    <t>2.4 - Esforços solicitantes :</t>
  </si>
  <si>
    <t>Flat-tiled Concrete Bricks</t>
  </si>
  <si>
    <t>Plain-tailed Cinderblock Double Roofing</t>
  </si>
  <si>
    <t>Double-skin Partition Roofing with 22 mm Framework</t>
  </si>
  <si>
    <t>Mission Tiling</t>
  </si>
  <si>
    <t>Single Slate Roof Cladding</t>
  </si>
  <si>
    <t>Plexiglass</t>
  </si>
  <si>
    <t>Straw Roofing incl. Lathing</t>
  </si>
  <si>
    <t>MATERIAL</t>
  </si>
  <si>
    <t>PESO</t>
  </si>
  <si>
    <t>Extensive Planting</t>
  </si>
  <si>
    <t>Intensive Planting</t>
  </si>
  <si>
    <t>----------------------------------------------------------</t>
  </si>
  <si>
    <t>Bitumen Board, Bare</t>
  </si>
  <si>
    <t>Bitumen Shingles</t>
  </si>
  <si>
    <t>NENHUM</t>
  </si>
  <si>
    <t>Espessura [cm]</t>
  </si>
  <si>
    <t>Particleboards</t>
  </si>
  <si>
    <t>Veneer Boards</t>
  </si>
  <si>
    <t>Laminated Boards</t>
  </si>
  <si>
    <t>Medium-hard Fibreboards HFM</t>
  </si>
  <si>
    <t>Insulation Boards</t>
  </si>
  <si>
    <t>DENSIDADE</t>
  </si>
  <si>
    <t>Gypsum Mortar without Sand</t>
  </si>
  <si>
    <t>Lime Mortar, Lime-gypsum Mortar, Anhydrite Mortar</t>
  </si>
  <si>
    <t>Cement-lime Mortar and Lime-trass Mortar</t>
  </si>
  <si>
    <t>Loam Mortar</t>
  </si>
  <si>
    <t>Cement Mortar and Cement Trass Mortar</t>
  </si>
  <si>
    <t>Asphalt Concrete</t>
  </si>
  <si>
    <t>Asphalt Mastic</t>
  </si>
  <si>
    <t>Poured Asphalt</t>
  </si>
  <si>
    <t>Cast Stone Slabs</t>
  </si>
  <si>
    <t>Anhydrite Screed</t>
  </si>
  <si>
    <t>Gypsum Finish</t>
  </si>
  <si>
    <t>Poured Asphalt Finish</t>
  </si>
  <si>
    <t>Cementitious Hard Aggregate Screed</t>
  </si>
  <si>
    <t>Artificial Resin Finish</t>
  </si>
  <si>
    <t>Magnesium Oxychloride Composition</t>
  </si>
  <si>
    <t>Cement Finish</t>
  </si>
  <si>
    <t>Glass Slabs, Glass Tiles, Glass Mosaics</t>
  </si>
  <si>
    <t>Rubber</t>
  </si>
  <si>
    <t>Ceramic Flooring Tiles</t>
  </si>
  <si>
    <t>Plastic Flooring</t>
  </si>
  <si>
    <t>Linoleum</t>
  </si>
  <si>
    <t>Natural Stone Slabs</t>
  </si>
  <si>
    <t>Fitted Carpets</t>
  </si>
  <si>
    <t>Asbestos Fibers</t>
  </si>
  <si>
    <t>Pumice stones, Heaped-up</t>
  </si>
  <si>
    <t>Exfoliated Vermiculite, Heaped-up</t>
  </si>
  <si>
    <t>Expanded Perlite</t>
  </si>
  <si>
    <t>Expanded shale and lightweight expanded clay, heaped-up</t>
  </si>
  <si>
    <t>Fiber Insulating Materials</t>
  </si>
  <si>
    <t>Fibrous Materials, Bituminized, Heaped-up</t>
  </si>
  <si>
    <t>Rubber Cuttings</t>
  </si>
  <si>
    <t>Hemp Panels, Bituminized</t>
  </si>
  <si>
    <t>Lightweight Cinder, Coal Cinder, Breeze</t>
  </si>
  <si>
    <t>Cinder Sand</t>
  </si>
  <si>
    <t>Kieselguhr</t>
  </si>
  <si>
    <t>Granulated Cork, Heaped-up</t>
  </si>
  <si>
    <t>Magnesium Monooxide, Calcined</t>
  </si>
  <si>
    <t>Foamed Plastics</t>
  </si>
  <si>
    <t>Asbestos Millboard</t>
  </si>
  <si>
    <t>Asphalt Blocks</t>
  </si>
  <si>
    <t>Wood Fiberboards - Hard</t>
  </si>
  <si>
    <t>Wood Fiberboards - Medium Hard</t>
  </si>
  <si>
    <t>Wood Fiberboards - Soft</t>
  </si>
  <si>
    <t>Wood Excelsior Slabs with 15 mm Slab Thickness</t>
  </si>
  <si>
    <t>Wood Excelsior Slabs with 100 mm Slab Thickness</t>
  </si>
  <si>
    <t>Kieselguhr Slabs</t>
  </si>
  <si>
    <t>Granulated Cork Boards, Bituminized</t>
  </si>
  <si>
    <t>Granulated Cork Sheets from Agglomerated Cork</t>
  </si>
  <si>
    <t>Perlite Slabs</t>
  </si>
  <si>
    <t>Foam Glass</t>
  </si>
  <si>
    <t>Foam Plastic Slabs</t>
  </si>
  <si>
    <t>Glass Wool</t>
  </si>
  <si>
    <t>Wood Fiberboard</t>
  </si>
  <si>
    <t>Granulated Cork Boards</t>
  </si>
  <si>
    <t>Rock Wool</t>
  </si>
  <si>
    <t>Styropor</t>
  </si>
  <si>
    <t>N/F Formwork</t>
  </si>
  <si>
    <t>Rough Forms</t>
  </si>
  <si>
    <t>Multi-layer Panels</t>
  </si>
  <si>
    <t>Cross Laminated Timber</t>
  </si>
  <si>
    <t>Construction Veneer Boards BU</t>
  </si>
  <si>
    <t>Kerto</t>
  </si>
  <si>
    <t>Carga [Kgf/m²]</t>
  </si>
  <si>
    <t>Densidade [Kgf/m³]</t>
  </si>
  <si>
    <t>Total :</t>
  </si>
  <si>
    <t>a) Cargas Permanentes (G) :</t>
  </si>
  <si>
    <t>b) Cargas Variáveis (Q) e (V):</t>
  </si>
  <si>
    <t>Vento Sobrepressão - SÃO PAULO</t>
  </si>
  <si>
    <t>Vento Sucção - SÃO PAULO</t>
  </si>
  <si>
    <t>Fatores de combinação</t>
  </si>
  <si>
    <t>ψ0</t>
  </si>
  <si>
    <t>ψ1</t>
  </si>
  <si>
    <t>ψ2</t>
  </si>
  <si>
    <t>variações unif. de temp. em relação à média anual local</t>
  </si>
  <si>
    <t>pressão dinâmica do vento</t>
  </si>
  <si>
    <t>s/ predom. de pesos de equip. fixos nem de elevadas concent. de pessoas</t>
  </si>
  <si>
    <t>há predom. de pesos de equip. fixos e de elevadas concent. de pessoas</t>
  </si>
  <si>
    <t>bibliotecas, arquivos, oficinas e garagens</t>
  </si>
  <si>
    <t>pontes de pedestres</t>
  </si>
  <si>
    <t>pontes rodoviárias</t>
  </si>
  <si>
    <t>pontes ferroviárias</t>
  </si>
  <si>
    <t>Vento Sobrepressão - RIO DE JANEIRO</t>
  </si>
  <si>
    <t>Vento Sucção - RIO DE JANEIRO</t>
  </si>
  <si>
    <t>[V1]</t>
  </si>
  <si>
    <t>[V2]</t>
  </si>
  <si>
    <t>[Q1]</t>
  </si>
  <si>
    <t>[Q2]</t>
  </si>
  <si>
    <t>[G1]</t>
  </si>
  <si>
    <t>[G2]</t>
  </si>
  <si>
    <t>[G3]</t>
  </si>
  <si>
    <t>[G4]</t>
  </si>
  <si>
    <t>[G5]</t>
  </si>
  <si>
    <t>[G6]</t>
  </si>
  <si>
    <t>[G7]</t>
  </si>
  <si>
    <t>[G8]</t>
  </si>
  <si>
    <r>
      <t>[</t>
    </r>
    <r>
      <rPr>
        <sz val="11"/>
        <color theme="1"/>
        <rFont val="Calibri"/>
        <family val="2"/>
      </rPr>
      <t>ΣG]</t>
    </r>
  </si>
  <si>
    <t>Peso Próprio da peça de Madeira</t>
  </si>
  <si>
    <t>Peso PRÓPRIO da peça / m² :</t>
  </si>
  <si>
    <t>c) Fatores para as combinações:</t>
  </si>
  <si>
    <t>2.5 - Combinações para o Estado Limite Último (E.L.U.):</t>
  </si>
  <si>
    <t>[pp]</t>
  </si>
  <si>
    <r>
      <t xml:space="preserve">a) </t>
    </r>
    <r>
      <rPr>
        <b/>
        <sz val="11"/>
        <color theme="1"/>
        <rFont val="Calibri"/>
        <family val="2"/>
        <scheme val="minor"/>
      </rPr>
      <t>Acidentais como principais</t>
    </r>
    <r>
      <rPr>
        <sz val="11"/>
        <color theme="1"/>
        <rFont val="Calibri"/>
        <family val="2"/>
        <scheme val="minor"/>
      </rPr>
      <t xml:space="preserve"> : </t>
    </r>
    <r>
      <rPr>
        <sz val="11"/>
        <color theme="3" tint="-0.249977111117893"/>
        <rFont val="Calibri"/>
        <family val="2"/>
        <scheme val="minor"/>
      </rPr>
      <t>1,3*pp+1,4*(ΣG)+1,4*(ΣQ)+1,4*0,5(V1)</t>
    </r>
    <r>
      <rPr>
        <sz val="11"/>
        <color theme="1"/>
        <rFont val="Calibri"/>
        <family val="2"/>
        <scheme val="minor"/>
      </rPr>
      <t xml:space="preserve"> =</t>
    </r>
  </si>
  <si>
    <r>
      <t xml:space="preserve">b) </t>
    </r>
    <r>
      <rPr>
        <b/>
        <sz val="11"/>
        <color theme="1"/>
        <rFont val="Calibri"/>
        <family val="2"/>
        <scheme val="minor"/>
      </rPr>
      <t>Vento V1 principal</t>
    </r>
    <r>
      <rPr>
        <sz val="11"/>
        <color theme="1"/>
        <rFont val="Calibri"/>
        <family val="2"/>
        <scheme val="minor"/>
      </rPr>
      <t xml:space="preserve"> : </t>
    </r>
    <r>
      <rPr>
        <sz val="11"/>
        <color theme="3" tint="-0.249977111117893"/>
        <rFont val="Calibri"/>
        <family val="2"/>
        <scheme val="minor"/>
      </rPr>
      <t>1,3*pp+1,4*(ΣG)+1,4*ψ0(ΣQ)+1,4*0,75*(V1)</t>
    </r>
    <r>
      <rPr>
        <sz val="11"/>
        <color theme="1"/>
        <rFont val="Calibri"/>
        <family val="2"/>
        <scheme val="minor"/>
      </rPr>
      <t xml:space="preserve"> =</t>
    </r>
  </si>
  <si>
    <r>
      <t xml:space="preserve">c) </t>
    </r>
    <r>
      <rPr>
        <b/>
        <sz val="11"/>
        <color theme="1"/>
        <rFont val="Calibri"/>
        <family val="2"/>
        <scheme val="minor"/>
      </rPr>
      <t>Vento V2 principal</t>
    </r>
    <r>
      <rPr>
        <sz val="11"/>
        <color theme="1"/>
        <rFont val="Calibri"/>
        <family val="2"/>
        <scheme val="minor"/>
      </rPr>
      <t xml:space="preserve"> : </t>
    </r>
    <r>
      <rPr>
        <sz val="11"/>
        <color theme="3" tint="-0.249977111117893"/>
        <rFont val="Calibri"/>
        <family val="2"/>
        <scheme val="minor"/>
      </rPr>
      <t>1,0*pp+0,9*(ΣG)-1,4*0,75*(V2)</t>
    </r>
    <r>
      <rPr>
        <sz val="11"/>
        <color theme="1"/>
        <rFont val="Calibri"/>
        <family val="2"/>
        <scheme val="minor"/>
      </rPr>
      <t xml:space="preserve"> =</t>
    </r>
  </si>
  <si>
    <t>2.6 - Combinações para o Estado Limite de Utilização (E.L.Util.):</t>
  </si>
  <si>
    <r>
      <t xml:space="preserve">a) Caso Único : </t>
    </r>
    <r>
      <rPr>
        <sz val="11"/>
        <color theme="3" tint="-0.249977111117893"/>
        <rFont val="Calibri"/>
        <family val="2"/>
        <scheme val="minor"/>
      </rPr>
      <t>1,0*pp+1,0*(ΣG)+1,0*ψ2*(ΣQ)</t>
    </r>
    <r>
      <rPr>
        <sz val="11"/>
        <color theme="1"/>
        <rFont val="Calibri"/>
        <family val="2"/>
        <scheme val="minor"/>
      </rPr>
      <t xml:space="preserve"> =</t>
    </r>
  </si>
  <si>
    <t>3 - Cálculo dos esforços solicitantes :</t>
  </si>
  <si>
    <t>c) Carga distribuída na peça (E.L.Util.) =</t>
  </si>
  <si>
    <t>a) Carga distribuída na peça (E.L.U.) positiva =</t>
  </si>
  <si>
    <t>b) Carga distribuída na peça (E.L.U.) negativa =</t>
  </si>
  <si>
    <t>3.2 - Cálculo para Estados Limites de Utilização (E.L.Util.) :</t>
  </si>
  <si>
    <t>3.1 - Cálculo das cargas distribuídas :</t>
  </si>
  <si>
    <t>Imposta por projeto [25,00 Kgf/m²]</t>
  </si>
  <si>
    <t>1 - Arquibancadas [400,00 Kgf/m²]</t>
  </si>
  <si>
    <t>2.1 - Bancos - Escritórios e Banheiros [200,00 Kgf/m²]</t>
  </si>
  <si>
    <t>2.2 - Bancos - Diretoria e gerência [150,00 Kgf/m²]</t>
  </si>
  <si>
    <t>3.1 - Bibliotecas - Sala de Leitura [250,00 Kgf/m²]</t>
  </si>
  <si>
    <t>3.2 - Bibliotecas - Sala p/ dep. de livros [400,00 Kgf/m²]</t>
  </si>
  <si>
    <t>3.3 - Bibliotecas - Sala c/ estantes de livros [600,00 Kgf/m²]</t>
  </si>
  <si>
    <t>4 - Casa de Máquinas [750,00 Kgf/m²]</t>
  </si>
  <si>
    <t>5.1 - Cinemas - Com assentos fixos [300,00 Kgf/m²]</t>
  </si>
  <si>
    <t>5.2 - Cinemas - Com assentos móveis [400,00 Kgf/m²]</t>
  </si>
  <si>
    <t>5.3 - Cinemas - Banheiros [200,00 Kgf/m²]</t>
  </si>
  <si>
    <t>10.1 - Residências - Quarto, Sala, Cozinha e WC [150,00 Kgf/m²]</t>
  </si>
  <si>
    <t>10.2 - Residências - Desp., Serviço e Lavanderia [200,00 Kgf/m²]</t>
  </si>
  <si>
    <t>Caibros [10,00 Kgf/m²]</t>
  </si>
  <si>
    <t>Telha Metálica Trapezoidal [15,00 Kgf/m²]</t>
  </si>
  <si>
    <t>Telhado Verde Comum [250,00 Kgf/m²]</t>
  </si>
  <si>
    <t>Telhas Cerâmicas + Ripas [55,00 Kgf/m²]</t>
  </si>
  <si>
    <t>Telhas Eternit [20,00 Kgf/m²]</t>
  </si>
  <si>
    <t>Terças [15,00 Kgf/m²]</t>
  </si>
  <si>
    <t>Vidro [40,00 Kgf/m²]</t>
  </si>
  <si>
    <t>Subcobertura Aluminizada [2,00 Kgf/m²]</t>
  </si>
  <si>
    <t>Barreira de Vapor [2,00 Kgf/m²]</t>
  </si>
  <si>
    <t>Balanço à esquerda</t>
  </si>
  <si>
    <t>Viga Biapoiada</t>
  </si>
  <si>
    <t>Balanço à direita</t>
  </si>
  <si>
    <t>a) Força Cortante (V):</t>
  </si>
  <si>
    <t>RA =</t>
  </si>
  <si>
    <t>= RB</t>
  </si>
  <si>
    <t>b) Momento Fletor (M):</t>
  </si>
  <si>
    <t>c) Deslocamento (flecha):</t>
  </si>
  <si>
    <t>MA =</t>
  </si>
  <si>
    <t>= MB</t>
  </si>
  <si>
    <t>Mmáx =</t>
  </si>
  <si>
    <t>Flechas limite</t>
  </si>
  <si>
    <t>Flechas limites :</t>
  </si>
  <si>
    <t>Verificação :</t>
  </si>
  <si>
    <t>3.3 - Cálculo para Estados Limites Últimos (E.L.U.) :</t>
  </si>
  <si>
    <t>Tensões Limites de Cisalhamento :</t>
  </si>
  <si>
    <t>Tensões de Cisalhamento Horiz. de Projeto :</t>
  </si>
  <si>
    <t>Tensão de projeto na aba superior :</t>
  </si>
  <si>
    <t>Tensão de projeto na aba inferior :</t>
  </si>
  <si>
    <t>Tensão Limite de Compressão // às fibras :</t>
  </si>
  <si>
    <t>Tensão Limite de Tração // às fibras :</t>
  </si>
  <si>
    <t>Verificação da Compressão :</t>
  </si>
  <si>
    <t>Verificação da Tração :</t>
  </si>
  <si>
    <t>Madeira adotada no cálculo :</t>
  </si>
  <si>
    <t>Espaçamento</t>
  </si>
  <si>
    <t>Verificação da Flecha (E.L.Util.) :</t>
  </si>
  <si>
    <t>Verificação da Compressão (E.L.U.) :</t>
  </si>
  <si>
    <t>Verificação da Tração (E.L.U.) :</t>
  </si>
  <si>
    <t>Verificação do Cisalhamento (E.L.U.) :</t>
  </si>
  <si>
    <t>Verificação da flambagem lateral :</t>
  </si>
  <si>
    <t>Flecha Calculada :</t>
  </si>
  <si>
    <t>Cargas (E.L.U.) :</t>
  </si>
  <si>
    <t>Carga (E.L.Util.) :</t>
  </si>
  <si>
    <t>MAÇARANDUBA</t>
  </si>
  <si>
    <t>Fôrro de Gesso + Estrutura [250,00 Kgf/m²]</t>
  </si>
  <si>
    <t>Assoalho de Madeira Maciça [1100,00 Kgf/m³]</t>
  </si>
  <si>
    <t>Alumínio [2700,00 Kgf/m³]</t>
  </si>
  <si>
    <t>Aço e Aço Cortén [7850,00 Kgf/m³]</t>
  </si>
  <si>
    <t>OSB [600,00 Kgf/m³]</t>
  </si>
  <si>
    <t>Pedriscos [1800,00 Kgf/m³]</t>
  </si>
  <si>
    <t>Laje de Concreto Armado [2300,00 Kgf/m³]</t>
  </si>
  <si>
    <t>Laje de Concreto Armado [2400,00 Kgf/m³]</t>
  </si>
  <si>
    <t>Laje de Concreto Armado [2500,00 Kgf/m³]</t>
  </si>
  <si>
    <t>Laje Treliça de Concreto + EPS [1150,00 Kgf/m³]</t>
  </si>
  <si>
    <t>Laje Treliça de Concreto + EPS [1300,00 Kgf/m³]</t>
  </si>
  <si>
    <t>Laje Treliça de Concreto + EPS [1550,00 Kgf/m³]</t>
  </si>
  <si>
    <t>Laje Treliça de Concreto + Cerâmica [1750,00 Kgf/m³]</t>
  </si>
  <si>
    <t>Laje Treliça de Concreto + Cerâmica [1950,00 Kgf/m³]</t>
  </si>
  <si>
    <t>Laje Treliça de Concreto + Cerâmica [2050,00 Kgf/m³]</t>
  </si>
  <si>
    <t>Painel Wall [500,00 Kgf/m³]</t>
  </si>
  <si>
    <t>Painel Wall [600,00 Kgf/m³]</t>
  </si>
  <si>
    <t>Painel Wall [700,00 Kgf/m³]</t>
  </si>
  <si>
    <t>Painel Wall [800,00 Kgf/m³]</t>
  </si>
  <si>
    <t>Contrapiso de Cimento [620,00 Kgf/m³]</t>
  </si>
  <si>
    <t>Contrapiso de Cimento [720,00 Kgf/m³]</t>
  </si>
  <si>
    <t>Contrapiso de Cimento [840,00 Kgf/m³]</t>
  </si>
  <si>
    <t>Contrapiso de Cimento [950,00 Kgf/m³]</t>
  </si>
  <si>
    <t>Contrapiso de Concreto Armado [1050,00 Kgf/m³]</t>
  </si>
  <si>
    <t>Contrapiso de Concreto Armado [1250,00 Kgf/m³]</t>
  </si>
  <si>
    <t>Contrapiso de Concreto Armado [1450,00 Kgf/m³]</t>
  </si>
  <si>
    <t>Contrapiso de Concreto Armado [1650,00 Kgf/m³]</t>
  </si>
  <si>
    <t>Contrapiso de Concreto Armado [1850,00 Kgf/m³]</t>
  </si>
  <si>
    <t>Contrapiso de Concreto Armado [2050,00 Kgf/m³]</t>
  </si>
  <si>
    <t>Chumbo [11400,00 Kgf/m³]</t>
  </si>
  <si>
    <t>Ferro [7250,00 Kgf/m³]</t>
  </si>
  <si>
    <t>Cobre [8900,00 Kgf/m³]</t>
  </si>
  <si>
    <t>Latão [8500,00 Kgf/m³]</t>
  </si>
  <si>
    <t>Contra Caibros [3,00 Kgf/m²]</t>
  </si>
  <si>
    <t>Fôrro de Madeira Conífera [500,00 Kgf/m³]</t>
  </si>
  <si>
    <t>Fôrro de Madeira Folhosa [800,00 Kgf/m³]</t>
  </si>
  <si>
    <t>SEÇÃO</t>
  </si>
  <si>
    <t>FIGURA</t>
  </si>
  <si>
    <t>Densidade básica</t>
  </si>
  <si>
    <t>EUCALIPTO CITRIODORA</t>
  </si>
  <si>
    <t>Telhas de Concreto + Ripas [70,00 Kgf/m²]</t>
  </si>
  <si>
    <t>Impermeabilização com Betume [7,00 Kgf/m²]</t>
  </si>
  <si>
    <t>Células Fotovoltaicas [250,00 Kgf/m²]</t>
  </si>
  <si>
    <t>Shingles + Compensado Naval [25,00 Kgf/m²]</t>
  </si>
  <si>
    <t>Alwitra + Compensado Naval [25,00 Kgf/m²]</t>
  </si>
  <si>
    <t>Carga permanente adicional imposta :</t>
  </si>
  <si>
    <t>Rotação da viga :</t>
  </si>
  <si>
    <t>h/b :</t>
  </si>
  <si>
    <t>l/b :</t>
  </si>
  <si>
    <r>
      <rPr>
        <sz val="10"/>
        <color theme="1"/>
        <rFont val="Calibri"/>
        <family val="2"/>
      </rPr>
      <t>β</t>
    </r>
    <r>
      <rPr>
        <sz val="10"/>
        <color theme="1"/>
        <rFont val="Arial Narrow"/>
        <family val="2"/>
      </rPr>
      <t>M :</t>
    </r>
  </si>
  <si>
    <r>
      <t>Ec/(</t>
    </r>
    <r>
      <rPr>
        <sz val="10"/>
        <color theme="1"/>
        <rFont val="Calibri"/>
        <family val="2"/>
      </rPr>
      <t>β</t>
    </r>
    <r>
      <rPr>
        <sz val="10"/>
        <color theme="1"/>
        <rFont val="Arial Narrow"/>
        <family val="2"/>
      </rPr>
      <t>M*fc) :</t>
    </r>
  </si>
  <si>
    <t>Distância máxima livre da peça :</t>
  </si>
  <si>
    <t>CASO 1 : Não há necessidade de suportes laterais, nem de amarração intermediária</t>
  </si>
  <si>
    <t>CASO 2 : Contenção lateral nos apoios, sem necessidade de amarração intermediária</t>
  </si>
  <si>
    <t>CASO 3 : Contenção lateral nos apoios, alinhamento da viga mantido com auxílio das terças ou tirantes intermediários</t>
  </si>
  <si>
    <t>CASO 5 : Igual ao CASO 4, acrescentando-se diafragmas ou escoras intermediárias com espaçameto não superior a 6h</t>
  </si>
  <si>
    <t>CASO 6 : Contenção lateral nos apoios, os lados comprim. e trac. devem ser firmemente amarrados, para manter o alinhamento</t>
  </si>
  <si>
    <t>Comprimento livre da peça :</t>
  </si>
  <si>
    <t>4.0 - Flambagem Lateral (EC5)</t>
  </si>
  <si>
    <t>fator do lef :</t>
  </si>
  <si>
    <t>My, crít :</t>
  </si>
  <si>
    <t>σm,crit :</t>
  </si>
  <si>
    <t>λrel,m :</t>
  </si>
  <si>
    <t>4.0 - Flambagem Lateral (NBR7190)</t>
  </si>
  <si>
    <t>kgf/cm²</t>
  </si>
  <si>
    <t>kcrit :</t>
  </si>
  <si>
    <t>CASO 4 : Contenção lateral nos apoios, o alinham. do lado comprim. deve ser mantido por ligação direta com o estrado ou travessas</t>
  </si>
  <si>
    <t>Distância totalmente travada :</t>
  </si>
  <si>
    <r>
      <rPr>
        <sz val="10"/>
        <color theme="1"/>
        <rFont val="Calibri"/>
        <family val="2"/>
      </rPr>
      <t>λ</t>
    </r>
    <r>
      <rPr>
        <sz val="10"/>
        <color theme="1"/>
        <rFont val="Arial Narrow"/>
        <family val="2"/>
      </rPr>
      <t>rel,m = 0,75</t>
    </r>
  </si>
  <si>
    <r>
      <rPr>
        <sz val="10"/>
        <color theme="1"/>
        <rFont val="Calibri"/>
        <family val="2"/>
      </rPr>
      <t>λ</t>
    </r>
    <r>
      <rPr>
        <sz val="10"/>
        <color theme="1"/>
        <rFont val="Arial Narrow"/>
        <family val="2"/>
      </rPr>
      <t>rel,m = 1,40</t>
    </r>
  </si>
  <si>
    <t>Tensão limite flexão :</t>
  </si>
  <si>
    <t>Tensão limite flexão com flamb. lat. :</t>
  </si>
  <si>
    <t>Tensão de projeto :</t>
  </si>
  <si>
    <t>kgf x m</t>
  </si>
  <si>
    <t>MAIN PROPERTIES</t>
  </si>
  <si>
    <t>ADDITIONAL PROPERTIES</t>
  </si>
  <si>
    <t>kN/m³</t>
  </si>
  <si>
    <t>kg/m³</t>
  </si>
  <si>
    <t>No.</t>
  </si>
  <si>
    <t>NORMA</t>
  </si>
  <si>
    <t>CLASSES</t>
  </si>
  <si>
    <t>E (Modulus of Elasticity)</t>
  </si>
  <si>
    <t>G (Shear Modulus)</t>
  </si>
  <si>
    <t>ϒ (Specific Weight)</t>
  </si>
  <si>
    <t>α (Thermal Expansion)</t>
  </si>
  <si>
    <t>ϒM (Safety Factor)</t>
  </si>
  <si>
    <t>fm,k (Bending)</t>
  </si>
  <si>
    <t>ft,0,k (Tension)</t>
  </si>
  <si>
    <t>ft,90,k (Tension 90°)</t>
  </si>
  <si>
    <t>fc,0,k (Compression)</t>
  </si>
  <si>
    <t>fc,90,k (Compression 90°)</t>
  </si>
  <si>
    <t>fv,k (Shear/Torsion)</t>
  </si>
  <si>
    <t>E0,m (MOE Parallel)</t>
  </si>
  <si>
    <t>E90,m (MOE 90°)</t>
  </si>
  <si>
    <t>Gm (Shear Modulus)</t>
  </si>
  <si>
    <t>(ρk)Density</t>
  </si>
  <si>
    <t>E0,05 (MOE Parallel)</t>
  </si>
  <si>
    <t>E90,05 (MOE 90°)</t>
  </si>
  <si>
    <t>G05 (Shear Modulus)</t>
  </si>
  <si>
    <t>fR,k (Rolling Shear)</t>
  </si>
  <si>
    <t>NBR7190</t>
  </si>
  <si>
    <t>EC5</t>
  </si>
  <si>
    <t>E.CITRIODORA</t>
  </si>
  <si>
    <t>EC5-C14</t>
  </si>
  <si>
    <t>EC5-C16</t>
  </si>
  <si>
    <t>EC5-C18</t>
  </si>
  <si>
    <t>EC5-C20</t>
  </si>
  <si>
    <t>EC5-C22</t>
  </si>
  <si>
    <t>EC5-C24</t>
  </si>
  <si>
    <t>EC5-C27</t>
  </si>
  <si>
    <t>EC5-C30</t>
  </si>
  <si>
    <t>EC5-C35</t>
  </si>
  <si>
    <t>EC5-C40</t>
  </si>
  <si>
    <t>EC5-C45</t>
  </si>
  <si>
    <t>EC5-C50</t>
  </si>
  <si>
    <t>EC5-D30</t>
  </si>
  <si>
    <t>EC5-D35</t>
  </si>
  <si>
    <t>EC5-D40</t>
  </si>
  <si>
    <t>EC5-D50</t>
  </si>
  <si>
    <t>EC5-D60</t>
  </si>
  <si>
    <t>EC5-D70</t>
  </si>
  <si>
    <t>EC5-GL24h</t>
  </si>
  <si>
    <t>EC5-GL24c</t>
  </si>
  <si>
    <t>EC5-GL28h</t>
  </si>
  <si>
    <t>EC5-GL28c</t>
  </si>
  <si>
    <t>EC5-GL32h</t>
  </si>
  <si>
    <t>EC5-GL32c</t>
  </si>
  <si>
    <t>EC5-GL36h</t>
  </si>
  <si>
    <t>EC5-GL36c</t>
  </si>
  <si>
    <t>ANGELIM</t>
  </si>
  <si>
    <t>Classe de Res.</t>
  </si>
  <si>
    <t>Nome Cient.</t>
  </si>
  <si>
    <t>EXTRAS</t>
  </si>
  <si>
    <t>Hymenolobium petraeum</t>
  </si>
  <si>
    <t>Dypterix odorata</t>
  </si>
  <si>
    <t>Eucalyptus citriodora</t>
  </si>
  <si>
    <t>Apuleia leocarpa</t>
  </si>
  <si>
    <t>Mezilaurus itauba</t>
  </si>
  <si>
    <t>AMARU</t>
  </si>
  <si>
    <t>Hymenaea sp.</t>
  </si>
  <si>
    <t>Manilkara sp.</t>
  </si>
  <si>
    <t>EUCALIPTO GRANDIS</t>
  </si>
  <si>
    <t>Eucalyptus grandis</t>
  </si>
  <si>
    <t>LYPTUS</t>
  </si>
  <si>
    <t>Eucalyptus urograndis</t>
  </si>
  <si>
    <t>Imposta por projeto [100,00 Kgf/m²]</t>
  </si>
  <si>
    <t>ANGELIM VERMELHO</t>
  </si>
  <si>
    <t>NBR7191</t>
  </si>
  <si>
    <t>NBR7192</t>
  </si>
  <si>
    <t>Amaru</t>
  </si>
  <si>
    <t>Dinizia excelsa</t>
  </si>
  <si>
    <t>CROSSLAM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</si>
</sst>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5">
    <numFmt numFmtId="164" formatCode="0.000"/>
    <numFmt numFmtId="165" formatCode="0.00&quot;cm&quot;"/>
    <numFmt numFmtId="166" formatCode="0.00\ &quot;Kgf/cm²&quot;"/>
    <numFmt numFmtId="167" formatCode="0.00\ &quot;Kg/m³&quot;"/>
    <numFmt numFmtId="168" formatCode="0.000\ &quot;1/°C&quot;"/>
    <numFmt numFmtId="169" formatCode="0.00\ &quot;cm&quot;"/>
    <numFmt numFmtId="170" formatCode="0.00\ &quot;cm &quot;"/>
    <numFmt numFmtId="171" formatCode="0.00\ &quot;m&quot;"/>
    <numFmt numFmtId="172" formatCode="0.00&quot;°&quot;"/>
    <numFmt numFmtId="173" formatCode="0.000\ &quot;m&quot;"/>
    <numFmt numFmtId="174" formatCode="0.00\ &quot;Kg&quot;"/>
    <numFmt numFmtId="175" formatCode="0.00\ &quot;Kg/m&quot;"/>
    <numFmt numFmtId="176" formatCode="0.00\ &quot;Kgf/m²&quot;"/>
    <numFmt numFmtId="177" formatCode="0.00\ &quot;Kg/m²&quot;"/>
    <numFmt numFmtId="178" formatCode="0.00\ &quot;Kgf/m&quot;"/>
    <numFmt numFmtId="179" formatCode="0.00\ &quot;Kgf&quot;"/>
    <numFmt numFmtId="180" formatCode="0.00\ &quot;Kgf x m&quot;"/>
    <numFmt numFmtId="181" formatCode="0.000\ &quot;cm&quot;"/>
    <numFmt numFmtId="182" formatCode="&quot;xmáx =&quot;\ 0.00\ &quot;m&quot;"/>
    <numFmt numFmtId="183" formatCode="0.000\ &quot;Kgf/cm²&quot;"/>
    <numFmt numFmtId="184" formatCode="&quot;Seção : &quot;@"/>
    <numFmt numFmtId="185" formatCode="&quot;=&quot;\ 0.00\ &quot;Kgf&quot;"/>
    <numFmt numFmtId="186" formatCode="0.00\ &quot;m (máx)&quot;"/>
    <numFmt numFmtId="187" formatCode="0.0"/>
    <numFmt numFmtId="188" formatCode="0.000000"/>
  </numFmts>
  <fonts count="5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8"/>
      <color theme="1"/>
      <name val="Arial Narrow"/>
      <family val="2"/>
    </font>
    <font>
      <sz val="9"/>
      <color theme="1"/>
      <name val="Arial Narrow"/>
      <family val="2"/>
    </font>
    <font>
      <sz val="10"/>
      <color theme="1"/>
      <name val="Arial Narrow"/>
      <family val="2"/>
    </font>
    <font>
      <i/>
      <sz val="10"/>
      <color theme="1"/>
      <name val="Arial Narrow"/>
      <family val="2"/>
    </font>
    <font>
      <b/>
      <sz val="8"/>
      <color theme="1"/>
      <name val="Arial Narrow"/>
      <family val="2"/>
    </font>
    <font>
      <sz val="8"/>
      <color rgb="FFFF0000"/>
      <name val="Arial Narrow"/>
      <family val="2"/>
    </font>
    <font>
      <b/>
      <sz val="10"/>
      <color theme="1"/>
      <name val="Arial Narrow"/>
      <family val="2"/>
    </font>
    <font>
      <i/>
      <sz val="11"/>
      <color theme="3"/>
      <name val="Calibri"/>
      <family val="2"/>
      <scheme val="minor"/>
    </font>
    <font>
      <sz val="11"/>
      <color theme="2"/>
      <name val="Calibri"/>
      <family val="2"/>
      <scheme val="minor"/>
    </font>
    <font>
      <sz val="9"/>
      <color theme="2"/>
      <name val="Arial Narrow"/>
      <family val="2"/>
    </font>
    <font>
      <sz val="10"/>
      <name val="Arial Narrow"/>
      <family val="2"/>
    </font>
    <font>
      <sz val="10"/>
      <color theme="1"/>
      <name val="Calibri"/>
      <family val="2"/>
      <scheme val="minor"/>
    </font>
    <font>
      <b/>
      <sz val="10"/>
      <color theme="1"/>
      <name val="Arial Black"/>
      <family val="2"/>
    </font>
    <font>
      <sz val="10"/>
      <color theme="6" tint="0.59999389629810485"/>
      <name val="Arial Narrow"/>
      <family val="2"/>
    </font>
    <font>
      <sz val="10"/>
      <color theme="1"/>
      <name val="Arial Black"/>
      <family val="2"/>
    </font>
    <font>
      <i/>
      <sz val="10"/>
      <color theme="1"/>
      <name val="Calibri"/>
      <family val="2"/>
      <scheme val="minor"/>
    </font>
    <font>
      <sz val="11"/>
      <color theme="3"/>
      <name val="Calibri"/>
      <family val="2"/>
    </font>
    <font>
      <i/>
      <sz val="11"/>
      <color theme="3"/>
      <name val="Calibri"/>
      <family val="2"/>
    </font>
    <font>
      <b/>
      <i/>
      <sz val="10"/>
      <color theme="1"/>
      <name val="Arial Narrow"/>
      <family val="2"/>
    </font>
    <font>
      <sz val="11"/>
      <color theme="0"/>
      <name val="Arial Black"/>
      <family val="2"/>
    </font>
    <font>
      <sz val="9"/>
      <color indexed="18"/>
      <name val="Cambria"/>
      <family val="1"/>
      <scheme val="major"/>
    </font>
    <font>
      <sz val="11"/>
      <color rgb="FFFF0000"/>
      <name val="Calibri"/>
      <family val="2"/>
      <scheme val="minor"/>
    </font>
    <font>
      <sz val="10"/>
      <color theme="3"/>
      <name val="Arial Narrow"/>
      <family val="2"/>
    </font>
    <font>
      <sz val="11"/>
      <color theme="1"/>
      <name val="Arial Narrow"/>
      <family val="2"/>
    </font>
    <font>
      <sz val="9"/>
      <color theme="1"/>
      <name val="Arial Black"/>
      <family val="2"/>
    </font>
    <font>
      <b/>
      <sz val="11"/>
      <color theme="1"/>
      <name val="Arial Narrow"/>
      <family val="2"/>
    </font>
    <font>
      <sz val="10"/>
      <color theme="3" tint="-0.249977111117893"/>
      <name val="Arial Narrow"/>
      <family val="2"/>
    </font>
    <font>
      <b/>
      <sz val="10"/>
      <name val="Arial"/>
      <family val="2"/>
    </font>
    <font>
      <b/>
      <sz val="9"/>
      <name val="Arial"/>
      <family val="2"/>
    </font>
    <font>
      <b/>
      <sz val="9"/>
      <name val="Courier New"/>
      <family val="3"/>
    </font>
    <font>
      <sz val="11"/>
      <color theme="1"/>
      <name val="Calibri"/>
      <family val="2"/>
    </font>
    <font>
      <sz val="9"/>
      <color indexed="18"/>
      <name val="Courier New"/>
      <family val="3"/>
    </font>
    <font>
      <i/>
      <sz val="11"/>
      <color theme="1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b/>
      <sz val="9"/>
      <color rgb="FFFF0000"/>
      <name val="Arial Narrow"/>
      <family val="2"/>
    </font>
    <font>
      <b/>
      <sz val="10"/>
      <color rgb="FFFF0000"/>
      <name val="Arial Narrow"/>
      <family val="2"/>
    </font>
    <font>
      <i/>
      <sz val="10"/>
      <color rgb="FFFF0000"/>
      <name val="Arial Narrow"/>
      <family val="2"/>
    </font>
    <font>
      <b/>
      <sz val="9"/>
      <color theme="1"/>
      <name val="Arial Black"/>
      <family val="2"/>
    </font>
    <font>
      <b/>
      <i/>
      <sz val="10"/>
      <color theme="3"/>
      <name val="Arial Narrow"/>
      <family val="2"/>
    </font>
    <font>
      <sz val="11"/>
      <color theme="5" tint="0.79998168889431442"/>
      <name val="Calibri"/>
      <family val="2"/>
      <scheme val="minor"/>
    </font>
    <font>
      <sz val="8"/>
      <color theme="5" tint="0.79998168889431442"/>
      <name val="Arial Narrow"/>
      <family val="2"/>
    </font>
    <font>
      <sz val="8"/>
      <name val="Arial Narrow"/>
      <family val="2"/>
    </font>
    <font>
      <sz val="10"/>
      <color theme="1"/>
      <name val="Calibri"/>
      <family val="2"/>
    </font>
    <font>
      <sz val="8"/>
      <color indexed="62"/>
      <name val="Cambria"/>
      <family val="1"/>
      <scheme val="major"/>
    </font>
    <font>
      <b/>
      <sz val="11"/>
      <color rgb="FFFF0000"/>
      <name val="Arial Black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i/>
      <sz val="9"/>
      <color theme="1"/>
      <name val="Arial"/>
      <family val="2"/>
    </font>
  </fonts>
  <fills count="2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66"/>
        <bgColor indexed="64"/>
      </patternFill>
    </fill>
    <fill>
      <patternFill patternType="gray0625">
        <bgColor theme="9" tint="0.39988402966399123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</fills>
  <borders count="9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ashed">
        <color auto="1"/>
      </bottom>
      <diagonal/>
    </border>
    <border>
      <left/>
      <right/>
      <top style="dashed">
        <color auto="1"/>
      </top>
      <bottom style="dashed">
        <color auto="1"/>
      </bottom>
      <diagonal/>
    </border>
    <border>
      <left/>
      <right/>
      <top style="dashed">
        <color auto="1"/>
      </top>
      <bottom/>
      <diagonal/>
    </border>
    <border>
      <left style="medium">
        <color indexed="64"/>
      </left>
      <right/>
      <top/>
      <bottom style="dashed">
        <color auto="1"/>
      </bottom>
      <diagonal/>
    </border>
    <border>
      <left/>
      <right style="medium">
        <color indexed="64"/>
      </right>
      <top/>
      <bottom style="dashed">
        <color auto="1"/>
      </bottom>
      <diagonal/>
    </border>
    <border>
      <left style="medium">
        <color indexed="64"/>
      </left>
      <right/>
      <top style="dashed">
        <color auto="1"/>
      </top>
      <bottom style="dashed">
        <color auto="1"/>
      </bottom>
      <diagonal/>
    </border>
    <border>
      <left/>
      <right style="medium">
        <color indexed="64"/>
      </right>
      <top style="dashed">
        <color auto="1"/>
      </top>
      <bottom style="dashed">
        <color auto="1"/>
      </bottom>
      <diagonal/>
    </border>
    <border>
      <left style="medium">
        <color indexed="64"/>
      </left>
      <right/>
      <top style="dashed">
        <color auto="1"/>
      </top>
      <bottom/>
      <diagonal/>
    </border>
    <border>
      <left/>
      <right style="medium">
        <color indexed="64"/>
      </right>
      <top style="dashed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dashed">
        <color auto="1"/>
      </left>
      <right/>
      <top style="dashed">
        <color auto="1"/>
      </top>
      <bottom style="dashed">
        <color auto="1"/>
      </bottom>
      <diagonal/>
    </border>
    <border>
      <left style="dashed">
        <color auto="1"/>
      </left>
      <right/>
      <top style="dashed">
        <color auto="1"/>
      </top>
      <bottom/>
      <diagonal/>
    </border>
    <border>
      <left style="dashed">
        <color auto="1"/>
      </left>
      <right/>
      <top/>
      <bottom style="dashed">
        <color auto="1"/>
      </bottom>
      <diagonal/>
    </border>
    <border>
      <left/>
      <right style="dashed">
        <color auto="1"/>
      </right>
      <top/>
      <bottom style="dashed">
        <color auto="1"/>
      </bottom>
      <diagonal/>
    </border>
    <border>
      <left/>
      <right style="dashed">
        <color auto="1"/>
      </right>
      <top style="dashed">
        <color auto="1"/>
      </top>
      <bottom/>
      <diagonal/>
    </border>
    <border>
      <left/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medium">
        <color indexed="64"/>
      </right>
      <top style="dashed">
        <color auto="1"/>
      </top>
      <bottom/>
      <diagonal/>
    </border>
    <border>
      <left style="dashed">
        <color auto="1"/>
      </left>
      <right style="medium">
        <color indexed="64"/>
      </right>
      <top/>
      <bottom style="dashed">
        <color auto="1"/>
      </bottom>
      <diagonal/>
    </border>
    <border>
      <left style="dashed">
        <color auto="1"/>
      </left>
      <right/>
      <top/>
      <bottom style="medium">
        <color indexed="64"/>
      </bottom>
      <diagonal/>
    </border>
    <border>
      <left/>
      <right style="dashed">
        <color auto="1"/>
      </right>
      <top/>
      <bottom style="medium">
        <color indexed="64"/>
      </bottom>
      <diagonal/>
    </border>
    <border>
      <left style="dashed">
        <color auto="1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dashed">
        <color auto="1"/>
      </top>
      <bottom style="medium">
        <color indexed="64"/>
      </bottom>
      <diagonal/>
    </border>
    <border>
      <left/>
      <right/>
      <top style="dashed">
        <color auto="1"/>
      </top>
      <bottom style="medium">
        <color indexed="64"/>
      </bottom>
      <diagonal/>
    </border>
    <border>
      <left/>
      <right style="dashed">
        <color auto="1"/>
      </right>
      <top style="dashed">
        <color auto="1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dashed">
        <color auto="1"/>
      </bottom>
      <diagonal/>
    </border>
    <border>
      <left/>
      <right style="thin">
        <color indexed="64"/>
      </right>
      <top/>
      <bottom style="dashed">
        <color auto="1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dashed">
        <color auto="1"/>
      </top>
      <bottom/>
      <diagonal/>
    </border>
    <border>
      <left/>
      <right style="thin">
        <color indexed="64"/>
      </right>
      <top style="dashed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ck">
        <color theme="9" tint="-0.499984740745262"/>
      </left>
      <right/>
      <top style="thick">
        <color theme="9" tint="-0.499984740745262"/>
      </top>
      <bottom/>
      <diagonal/>
    </border>
    <border>
      <left style="medium">
        <color indexed="64"/>
      </left>
      <right/>
      <top style="thick">
        <color theme="9" tint="-0.499984740745262"/>
      </top>
      <bottom/>
      <diagonal/>
    </border>
    <border>
      <left/>
      <right/>
      <top style="thick">
        <color theme="9" tint="-0.499984740745262"/>
      </top>
      <bottom/>
      <diagonal/>
    </border>
    <border>
      <left/>
      <right style="medium">
        <color indexed="64"/>
      </right>
      <top style="thick">
        <color theme="9" tint="-0.499984740745262"/>
      </top>
      <bottom/>
      <diagonal/>
    </border>
    <border>
      <left/>
      <right style="thick">
        <color theme="9" tint="-0.499984740745262"/>
      </right>
      <top style="thick">
        <color theme="9" tint="-0.499984740745262"/>
      </top>
      <bottom/>
      <diagonal/>
    </border>
    <border>
      <left style="thick">
        <color theme="9" tint="-0.499984740745262"/>
      </left>
      <right/>
      <top/>
      <bottom/>
      <diagonal/>
    </border>
    <border>
      <left/>
      <right style="thick">
        <color theme="9" tint="-0.499984740745262"/>
      </right>
      <top/>
      <bottom style="medium">
        <color indexed="64"/>
      </bottom>
      <diagonal/>
    </border>
    <border>
      <left style="thin">
        <color indexed="64"/>
      </left>
      <right style="thick">
        <color theme="9" tint="-0.499984740745262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theme="9" tint="-0.499984740745262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theme="9" tint="-0.499984740745262"/>
      </right>
      <top style="thin">
        <color indexed="64"/>
      </top>
      <bottom style="thin">
        <color indexed="64"/>
      </bottom>
      <diagonal/>
    </border>
    <border>
      <left/>
      <right style="thick">
        <color theme="9" tint="-0.499984740745262"/>
      </right>
      <top/>
      <bottom/>
      <diagonal/>
    </border>
    <border>
      <left style="thick">
        <color theme="9" tint="-0.499984740745262"/>
      </left>
      <right/>
      <top/>
      <bottom style="thick">
        <color theme="9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theme="9" tint="-0.499984740745262"/>
      </bottom>
      <diagonal/>
    </border>
    <border>
      <left/>
      <right/>
      <top/>
      <bottom style="thick">
        <color theme="9" tint="-0.499984740745262"/>
      </bottom>
      <diagonal/>
    </border>
    <border>
      <left/>
      <right style="thick">
        <color theme="9" tint="-0.499984740745262"/>
      </right>
      <top/>
      <bottom style="thick">
        <color theme="9" tint="-0.49998474074526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07">
    <xf numFmtId="0" fontId="0" fillId="0" borderId="0" xfId="0"/>
    <xf numFmtId="2" fontId="0" fillId="0" borderId="0" xfId="0" applyNumberFormat="1" applyAlignment="1">
      <alignment horizontal="center"/>
    </xf>
    <xf numFmtId="2" fontId="0" fillId="0" borderId="0" xfId="0" applyNumberFormat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6" fillId="0" borderId="0" xfId="0" applyFont="1" applyBorder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2" fontId="4" fillId="0" borderId="0" xfId="0" applyNumberFormat="1" applyFont="1" applyAlignment="1">
      <alignment horizontal="center"/>
    </xf>
    <xf numFmtId="2" fontId="4" fillId="3" borderId="5" xfId="0" applyNumberFormat="1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/>
    </xf>
    <xf numFmtId="2" fontId="4" fillId="3" borderId="6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0" borderId="0" xfId="0" applyFont="1" applyFill="1" applyAlignment="1">
      <alignment horizontal="center"/>
    </xf>
    <xf numFmtId="0" fontId="4" fillId="0" borderId="1" xfId="0" applyFont="1" applyBorder="1" applyAlignment="1">
      <alignment horizontal="center"/>
    </xf>
    <xf numFmtId="164" fontId="4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left"/>
    </xf>
    <xf numFmtId="2" fontId="9" fillId="0" borderId="0" xfId="0" applyNumberFormat="1" applyFont="1" applyAlignment="1">
      <alignment horizontal="center"/>
    </xf>
    <xf numFmtId="0" fontId="6" fillId="2" borderId="20" xfId="0" applyFont="1" applyFill="1" applyBorder="1"/>
    <xf numFmtId="0" fontId="6" fillId="2" borderId="22" xfId="0" applyFont="1" applyFill="1" applyBorder="1"/>
    <xf numFmtId="0" fontId="6" fillId="2" borderId="18" xfId="0" applyFont="1" applyFill="1" applyBorder="1"/>
    <xf numFmtId="0" fontId="6" fillId="2" borderId="23" xfId="0" applyFont="1" applyFill="1" applyBorder="1"/>
    <xf numFmtId="0" fontId="0" fillId="0" borderId="1" xfId="0" applyBorder="1"/>
    <xf numFmtId="0" fontId="12" fillId="0" borderId="11" xfId="0" applyFont="1" applyBorder="1"/>
    <xf numFmtId="0" fontId="1" fillId="2" borderId="0" xfId="0" applyFont="1" applyFill="1" applyBorder="1" applyAlignment="1">
      <alignment horizontal="center"/>
    </xf>
    <xf numFmtId="2" fontId="4" fillId="0" borderId="0" xfId="0" applyNumberFormat="1" applyFont="1" applyBorder="1" applyAlignment="1">
      <alignment horizontal="left"/>
    </xf>
    <xf numFmtId="0" fontId="8" fillId="6" borderId="0" xfId="0" applyFont="1" applyFill="1" applyBorder="1" applyAlignment="1">
      <alignment horizontal="left"/>
    </xf>
    <xf numFmtId="0" fontId="8" fillId="7" borderId="0" xfId="0" applyFont="1" applyFill="1" applyBorder="1" applyAlignment="1">
      <alignment horizontal="left"/>
    </xf>
    <xf numFmtId="0" fontId="8" fillId="8" borderId="0" xfId="0" applyFont="1" applyFill="1" applyBorder="1" applyAlignment="1">
      <alignment horizontal="left"/>
    </xf>
    <xf numFmtId="0" fontId="0" fillId="5" borderId="0" xfId="0" applyFill="1" applyBorder="1"/>
    <xf numFmtId="0" fontId="1" fillId="0" borderId="0" xfId="0" applyFont="1" applyFill="1" applyBorder="1" applyAlignment="1">
      <alignment horizontal="center"/>
    </xf>
    <xf numFmtId="0" fontId="0" fillId="0" borderId="0" xfId="0" applyFill="1" applyBorder="1"/>
    <xf numFmtId="2" fontId="0" fillId="0" borderId="30" xfId="0" applyNumberFormat="1" applyBorder="1"/>
    <xf numFmtId="0" fontId="0" fillId="0" borderId="32" xfId="0" applyBorder="1"/>
    <xf numFmtId="2" fontId="0" fillId="0" borderId="33" xfId="0" applyNumberFormat="1" applyBorder="1"/>
    <xf numFmtId="2" fontId="0" fillId="0" borderId="30" xfId="0" applyNumberFormat="1" applyFill="1" applyBorder="1"/>
    <xf numFmtId="2" fontId="0" fillId="0" borderId="33" xfId="0" applyNumberFormat="1" applyFill="1" applyBorder="1"/>
    <xf numFmtId="165" fontId="0" fillId="0" borderId="0" xfId="0" applyNumberFormat="1" applyBorder="1"/>
    <xf numFmtId="165" fontId="0" fillId="0" borderId="14" xfId="0" applyNumberFormat="1" applyBorder="1"/>
    <xf numFmtId="0" fontId="0" fillId="0" borderId="29" xfId="0" applyBorder="1" applyAlignment="1">
      <alignment horizontal="center"/>
    </xf>
    <xf numFmtId="0" fontId="0" fillId="0" borderId="31" xfId="0" applyBorder="1" applyAlignment="1">
      <alignment horizontal="center"/>
    </xf>
    <xf numFmtId="0" fontId="14" fillId="0" borderId="0" xfId="0" applyFont="1" applyFill="1" applyBorder="1"/>
    <xf numFmtId="0" fontId="17" fillId="0" borderId="0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2" fontId="10" fillId="0" borderId="12" xfId="0" applyNumberFormat="1" applyFont="1" applyBorder="1" applyAlignment="1">
      <alignment horizontal="center"/>
    </xf>
    <xf numFmtId="0" fontId="15" fillId="0" borderId="11" xfId="0" applyFont="1" applyBorder="1"/>
    <xf numFmtId="0" fontId="2" fillId="0" borderId="11" xfId="0" applyFont="1" applyBorder="1"/>
    <xf numFmtId="2" fontId="10" fillId="0" borderId="0" xfId="0" applyNumberFormat="1" applyFont="1" applyBorder="1" applyAlignment="1">
      <alignment horizontal="center"/>
    </xf>
    <xf numFmtId="0" fontId="0" fillId="0" borderId="16" xfId="0" applyBorder="1"/>
    <xf numFmtId="0" fontId="2" fillId="0" borderId="0" xfId="0" applyFont="1" applyBorder="1"/>
    <xf numFmtId="2" fontId="16" fillId="0" borderId="12" xfId="0" applyNumberFormat="1" applyFont="1" applyBorder="1" applyAlignment="1">
      <alignment horizontal="center"/>
    </xf>
    <xf numFmtId="0" fontId="15" fillId="0" borderId="34" xfId="0" applyFont="1" applyBorder="1"/>
    <xf numFmtId="0" fontId="19" fillId="5" borderId="11" xfId="0" applyFont="1" applyFill="1" applyBorder="1"/>
    <xf numFmtId="0" fontId="0" fillId="5" borderId="12" xfId="0" applyFill="1" applyBorder="1"/>
    <xf numFmtId="0" fontId="19" fillId="5" borderId="13" xfId="0" applyFont="1" applyFill="1" applyBorder="1"/>
    <xf numFmtId="0" fontId="0" fillId="5" borderId="14" xfId="0" applyFill="1" applyBorder="1"/>
    <xf numFmtId="0" fontId="0" fillId="5" borderId="15" xfId="0" applyFill="1" applyBorder="1"/>
    <xf numFmtId="0" fontId="6" fillId="0" borderId="11" xfId="0" applyFont="1" applyFill="1" applyBorder="1"/>
    <xf numFmtId="0" fontId="6" fillId="0" borderId="13" xfId="0" applyFont="1" applyFill="1" applyBorder="1"/>
    <xf numFmtId="2" fontId="10" fillId="0" borderId="15" xfId="0" applyNumberFormat="1" applyFont="1" applyFill="1" applyBorder="1" applyAlignment="1">
      <alignment horizontal="center"/>
    </xf>
    <xf numFmtId="0" fontId="22" fillId="2" borderId="0" xfId="0" applyFont="1" applyFill="1" applyBorder="1" applyAlignment="1">
      <alignment horizontal="center"/>
    </xf>
    <xf numFmtId="0" fontId="6" fillId="2" borderId="17" xfId="0" applyFont="1" applyFill="1" applyBorder="1"/>
    <xf numFmtId="0" fontId="6" fillId="2" borderId="11" xfId="0" applyFont="1" applyFill="1" applyBorder="1"/>
    <xf numFmtId="0" fontId="6" fillId="2" borderId="41" xfId="0" applyFont="1" applyFill="1" applyBorder="1" applyAlignment="1">
      <alignment horizontal="center"/>
    </xf>
    <xf numFmtId="0" fontId="6" fillId="2" borderId="13" xfId="0" applyFont="1" applyFill="1" applyBorder="1"/>
    <xf numFmtId="0" fontId="6" fillId="2" borderId="14" xfId="0" applyFont="1" applyFill="1" applyBorder="1"/>
    <xf numFmtId="166" fontId="10" fillId="2" borderId="42" xfId="0" applyNumberFormat="1" applyFont="1" applyFill="1" applyBorder="1" applyAlignment="1">
      <alignment horizontal="right"/>
    </xf>
    <xf numFmtId="166" fontId="10" fillId="2" borderId="45" xfId="0" applyNumberFormat="1" applyFont="1" applyFill="1" applyBorder="1" applyAlignment="1">
      <alignment horizontal="right"/>
    </xf>
    <xf numFmtId="2" fontId="10" fillId="2" borderId="37" xfId="0" applyNumberFormat="1" applyFont="1" applyFill="1" applyBorder="1" applyAlignment="1">
      <alignment horizontal="right"/>
    </xf>
    <xf numFmtId="167" fontId="10" fillId="2" borderId="42" xfId="0" applyNumberFormat="1" applyFont="1" applyFill="1" applyBorder="1" applyAlignment="1">
      <alignment horizontal="right"/>
    </xf>
    <xf numFmtId="168" fontId="10" fillId="2" borderId="42" xfId="0" applyNumberFormat="1" applyFont="1" applyFill="1" applyBorder="1" applyAlignment="1">
      <alignment horizontal="right"/>
    </xf>
    <xf numFmtId="0" fontId="10" fillId="2" borderId="17" xfId="0" applyFont="1" applyFill="1" applyBorder="1"/>
    <xf numFmtId="0" fontId="10" fillId="2" borderId="14" xfId="0" applyFont="1" applyFill="1" applyBorder="1"/>
    <xf numFmtId="164" fontId="10" fillId="2" borderId="37" xfId="0" applyNumberFormat="1" applyFont="1" applyFill="1" applyBorder="1" applyAlignment="1">
      <alignment horizontal="right"/>
    </xf>
    <xf numFmtId="2" fontId="10" fillId="2" borderId="43" xfId="0" applyNumberFormat="1" applyFont="1" applyFill="1" applyBorder="1" applyAlignment="1">
      <alignment horizontal="right"/>
    </xf>
    <xf numFmtId="2" fontId="10" fillId="2" borderId="18" xfId="0" applyNumberFormat="1" applyFont="1" applyFill="1" applyBorder="1" applyAlignment="1">
      <alignment horizontal="right"/>
    </xf>
    <xf numFmtId="0" fontId="23" fillId="9" borderId="0" xfId="0" applyFont="1" applyFill="1" applyAlignment="1">
      <alignment horizontal="center"/>
    </xf>
    <xf numFmtId="0" fontId="3" fillId="0" borderId="1" xfId="0" applyFont="1" applyBorder="1"/>
    <xf numFmtId="0" fontId="2" fillId="0" borderId="1" xfId="0" applyFont="1" applyBorder="1"/>
    <xf numFmtId="0" fontId="0" fillId="0" borderId="1" xfId="0" applyBorder="1" applyAlignment="1">
      <alignment horizontal="center"/>
    </xf>
    <xf numFmtId="0" fontId="0" fillId="0" borderId="0" xfId="0" applyFill="1" applyBorder="1" applyAlignment="1">
      <alignment horizontal="center"/>
    </xf>
    <xf numFmtId="170" fontId="0" fillId="0" borderId="0" xfId="0" applyNumberFormat="1"/>
    <xf numFmtId="2" fontId="24" fillId="0" borderId="0" xfId="0" applyNumberFormat="1" applyFont="1" applyFill="1" applyBorder="1" applyAlignment="1" applyProtection="1">
      <alignment horizontal="center"/>
      <protection hidden="1"/>
    </xf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165" fontId="16" fillId="10" borderId="30" xfId="0" applyNumberFormat="1" applyFont="1" applyFill="1" applyBorder="1" applyAlignment="1">
      <alignment horizontal="center"/>
    </xf>
    <xf numFmtId="169" fontId="18" fillId="10" borderId="1" xfId="0" applyNumberFormat="1" applyFont="1" applyFill="1" applyBorder="1"/>
    <xf numFmtId="0" fontId="15" fillId="0" borderId="0" xfId="0" applyFont="1" applyFill="1" applyBorder="1" applyAlignment="1"/>
    <xf numFmtId="0" fontId="0" fillId="0" borderId="1" xfId="0" applyFill="1" applyBorder="1" applyAlignment="1"/>
    <xf numFmtId="0" fontId="2" fillId="0" borderId="1" xfId="0" applyFont="1" applyBorder="1" applyAlignment="1"/>
    <xf numFmtId="2" fontId="27" fillId="0" borderId="0" xfId="0" applyNumberFormat="1" applyFont="1"/>
    <xf numFmtId="0" fontId="0" fillId="0" borderId="1" xfId="0" applyFill="1" applyBorder="1"/>
    <xf numFmtId="2" fontId="0" fillId="0" borderId="0" xfId="0" applyNumberFormat="1" applyBorder="1" applyAlignment="1">
      <alignment horizontal="center"/>
    </xf>
    <xf numFmtId="0" fontId="6" fillId="0" borderId="11" xfId="0" applyFont="1" applyBorder="1" applyAlignment="1">
      <alignment horizontal="right"/>
    </xf>
    <xf numFmtId="0" fontId="6" fillId="0" borderId="0" xfId="0" applyFont="1" applyBorder="1" applyAlignment="1">
      <alignment horizontal="left"/>
    </xf>
    <xf numFmtId="0" fontId="6" fillId="0" borderId="13" xfId="0" applyFont="1" applyBorder="1" applyAlignment="1">
      <alignment horizontal="right"/>
    </xf>
    <xf numFmtId="0" fontId="6" fillId="0" borderId="14" xfId="0" applyFont="1" applyBorder="1" applyAlignment="1">
      <alignment horizontal="left"/>
    </xf>
    <xf numFmtId="0" fontId="6" fillId="11" borderId="20" xfId="0" applyFont="1" applyFill="1" applyBorder="1"/>
    <xf numFmtId="0" fontId="6" fillId="5" borderId="40" xfId="0" applyFont="1" applyFill="1" applyBorder="1" applyAlignment="1">
      <alignment horizontal="left"/>
    </xf>
    <xf numFmtId="0" fontId="6" fillId="5" borderId="22" xfId="0" applyFont="1" applyFill="1" applyBorder="1" applyAlignment="1">
      <alignment horizontal="right"/>
    </xf>
    <xf numFmtId="0" fontId="6" fillId="5" borderId="48" xfId="0" applyFont="1" applyFill="1" applyBorder="1" applyAlignment="1">
      <alignment horizontal="right"/>
    </xf>
    <xf numFmtId="0" fontId="6" fillId="5" borderId="50" xfId="0" applyFont="1" applyFill="1" applyBorder="1" applyAlignment="1">
      <alignment horizontal="left"/>
    </xf>
    <xf numFmtId="171" fontId="26" fillId="0" borderId="0" xfId="0" applyNumberFormat="1" applyFont="1" applyBorder="1" applyAlignment="1">
      <alignment horizontal="center"/>
    </xf>
    <xf numFmtId="173" fontId="26" fillId="0" borderId="12" xfId="0" applyNumberFormat="1" applyFont="1" applyBorder="1" applyAlignment="1">
      <alignment horizontal="center"/>
    </xf>
    <xf numFmtId="175" fontId="26" fillId="0" borderId="12" xfId="0" applyNumberFormat="1" applyFont="1" applyBorder="1" applyAlignment="1">
      <alignment horizontal="center"/>
    </xf>
    <xf numFmtId="174" fontId="26" fillId="0" borderId="12" xfId="0" applyNumberFormat="1" applyFont="1" applyBorder="1" applyAlignment="1">
      <alignment horizontal="center"/>
    </xf>
    <xf numFmtId="10" fontId="26" fillId="0" borderId="0" xfId="0" applyNumberFormat="1" applyFont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0" fontId="25" fillId="0" borderId="11" xfId="0" applyFont="1" applyBorder="1"/>
    <xf numFmtId="0" fontId="0" fillId="0" borderId="47" xfId="0" quotePrefix="1" applyFill="1" applyBorder="1"/>
    <xf numFmtId="0" fontId="1" fillId="12" borderId="1" xfId="0" applyFont="1" applyFill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0" fontId="1" fillId="12" borderId="5" xfId="0" applyFont="1" applyFill="1" applyBorder="1" applyAlignment="1">
      <alignment horizontal="center"/>
    </xf>
    <xf numFmtId="2" fontId="32" fillId="13" borderId="57" xfId="0" applyNumberFormat="1" applyFont="1" applyFill="1" applyBorder="1" applyAlignment="1" applyProtection="1">
      <alignment horizontal="center"/>
      <protection hidden="1"/>
    </xf>
    <xf numFmtId="2" fontId="32" fillId="13" borderId="58" xfId="0" applyNumberFormat="1" applyFont="1" applyFill="1" applyBorder="1" applyAlignment="1" applyProtection="1">
      <alignment horizontal="center"/>
      <protection hidden="1"/>
    </xf>
    <xf numFmtId="2" fontId="32" fillId="13" borderId="59" xfId="0" applyNumberFormat="1" applyFont="1" applyFill="1" applyBorder="1" applyAlignment="1" applyProtection="1">
      <alignment horizontal="center"/>
      <protection hidden="1"/>
    </xf>
    <xf numFmtId="0" fontId="0" fillId="0" borderId="60" xfId="0" applyBorder="1" applyAlignment="1">
      <alignment horizontal="center"/>
    </xf>
    <xf numFmtId="2" fontId="33" fillId="0" borderId="61" xfId="0" applyNumberFormat="1" applyFont="1" applyFill="1" applyBorder="1" applyAlignment="1" applyProtection="1">
      <alignment horizontal="center"/>
      <protection hidden="1"/>
    </xf>
    <xf numFmtId="2" fontId="33" fillId="0" borderId="62" xfId="0" applyNumberFormat="1" applyFont="1" applyFill="1" applyBorder="1" applyAlignment="1" applyProtection="1">
      <alignment horizontal="center"/>
      <protection hidden="1"/>
    </xf>
    <xf numFmtId="2" fontId="33" fillId="0" borderId="32" xfId="0" applyNumberFormat="1" applyFont="1" applyFill="1" applyBorder="1" applyAlignment="1" applyProtection="1">
      <alignment horizontal="center"/>
      <protection hidden="1"/>
    </xf>
    <xf numFmtId="2" fontId="33" fillId="0" borderId="33" xfId="0" applyNumberFormat="1" applyFont="1" applyFill="1" applyBorder="1" applyAlignment="1" applyProtection="1">
      <alignment horizontal="center"/>
      <protection hidden="1"/>
    </xf>
    <xf numFmtId="2" fontId="33" fillId="0" borderId="1" xfId="0" applyNumberFormat="1" applyFont="1" applyFill="1" applyBorder="1" applyAlignment="1" applyProtection="1">
      <alignment horizontal="center"/>
      <protection hidden="1"/>
    </xf>
    <xf numFmtId="2" fontId="33" fillId="0" borderId="30" xfId="0" applyNumberFormat="1" applyFont="1" applyFill="1" applyBorder="1" applyAlignment="1" applyProtection="1">
      <alignment horizontal="center"/>
      <protection hidden="1"/>
    </xf>
    <xf numFmtId="2" fontId="6" fillId="0" borderId="0" xfId="0" applyNumberFormat="1" applyFont="1" applyBorder="1" applyAlignment="1">
      <alignment horizontal="center"/>
    </xf>
    <xf numFmtId="177" fontId="26" fillId="0" borderId="12" xfId="0" applyNumberFormat="1" applyFont="1" applyBorder="1" applyAlignment="1">
      <alignment horizontal="center"/>
    </xf>
    <xf numFmtId="2" fontId="6" fillId="0" borderId="0" xfId="0" applyNumberFormat="1" applyFont="1" applyBorder="1" applyAlignment="1"/>
    <xf numFmtId="2" fontId="35" fillId="0" borderId="0" xfId="0" applyNumberFormat="1" applyFont="1" applyFill="1" applyBorder="1" applyAlignment="1" applyProtection="1">
      <alignment horizontal="center"/>
      <protection hidden="1"/>
    </xf>
    <xf numFmtId="2" fontId="32" fillId="0" borderId="0" xfId="0" applyNumberFormat="1" applyFont="1" applyFill="1" applyBorder="1" applyAlignment="1" applyProtection="1">
      <alignment horizontal="center"/>
      <protection hidden="1"/>
    </xf>
    <xf numFmtId="0" fontId="6" fillId="0" borderId="0" xfId="0" applyFont="1"/>
    <xf numFmtId="0" fontId="38" fillId="0" borderId="0" xfId="0" applyFont="1" applyAlignment="1">
      <alignment horizontal="center"/>
    </xf>
    <xf numFmtId="0" fontId="18" fillId="0" borderId="0" xfId="0" applyFont="1"/>
    <xf numFmtId="2" fontId="0" fillId="0" borderId="0" xfId="0" applyNumberFormat="1" applyBorder="1" applyAlignment="1">
      <alignment horizontal="right"/>
    </xf>
    <xf numFmtId="179" fontId="10" fillId="0" borderId="3" xfId="0" applyNumberFormat="1" applyFont="1" applyFill="1" applyBorder="1" applyAlignment="1">
      <alignment horizontal="center"/>
    </xf>
    <xf numFmtId="2" fontId="0" fillId="0" borderId="0" xfId="0" applyNumberFormat="1" applyFill="1" applyBorder="1" applyAlignment="1">
      <alignment horizontal="right"/>
    </xf>
    <xf numFmtId="180" fontId="10" fillId="0" borderId="3" xfId="0" applyNumberFormat="1" applyFont="1" applyFill="1" applyBorder="1" applyAlignment="1">
      <alignment horizontal="center"/>
    </xf>
    <xf numFmtId="181" fontId="0" fillId="0" borderId="0" xfId="0" applyNumberFormat="1"/>
    <xf numFmtId="179" fontId="6" fillId="0" borderId="0" xfId="0" applyNumberFormat="1" applyFont="1" applyBorder="1"/>
    <xf numFmtId="49" fontId="0" fillId="0" borderId="12" xfId="0" applyNumberFormat="1" applyBorder="1"/>
    <xf numFmtId="179" fontId="6" fillId="0" borderId="0" xfId="0" applyNumberFormat="1" applyFont="1" applyFill="1" applyBorder="1"/>
    <xf numFmtId="49" fontId="0" fillId="0" borderId="12" xfId="0" applyNumberFormat="1" applyFill="1" applyBorder="1"/>
    <xf numFmtId="0" fontId="0" fillId="0" borderId="12" xfId="0" applyFill="1" applyBorder="1"/>
    <xf numFmtId="0" fontId="0" fillId="0" borderId="12" xfId="0" applyBorder="1" applyAlignment="1">
      <alignment horizontal="left"/>
    </xf>
    <xf numFmtId="0" fontId="6" fillId="0" borderId="11" xfId="0" applyFont="1" applyFill="1" applyBorder="1" applyAlignment="1">
      <alignment horizontal="right"/>
    </xf>
    <xf numFmtId="0" fontId="18" fillId="0" borderId="0" xfId="0" applyFont="1" applyFill="1" applyBorder="1" applyAlignment="1"/>
    <xf numFmtId="10" fontId="16" fillId="0" borderId="0" xfId="0" applyNumberFormat="1" applyFont="1" applyFill="1" applyBorder="1" applyAlignment="1"/>
    <xf numFmtId="2" fontId="0" fillId="0" borderId="0" xfId="0" applyNumberFormat="1" applyBorder="1" applyAlignment="1">
      <alignment horizontal="right"/>
    </xf>
    <xf numFmtId="0" fontId="6" fillId="0" borderId="0" xfId="0" applyFont="1" applyBorder="1" applyAlignment="1">
      <alignment horizontal="center"/>
    </xf>
    <xf numFmtId="0" fontId="6" fillId="0" borderId="20" xfId="0" applyFont="1" applyFill="1" applyBorder="1" applyAlignment="1">
      <alignment horizontal="right"/>
    </xf>
    <xf numFmtId="0" fontId="6" fillId="0" borderId="22" xfId="0" applyFont="1" applyFill="1" applyBorder="1" applyAlignment="1">
      <alignment horizontal="right"/>
    </xf>
    <xf numFmtId="0" fontId="39" fillId="0" borderId="15" xfId="0" applyFont="1" applyBorder="1" applyAlignment="1"/>
    <xf numFmtId="171" fontId="39" fillId="0" borderId="13" xfId="0" applyNumberFormat="1" applyFont="1" applyBorder="1" applyAlignment="1"/>
    <xf numFmtId="171" fontId="39" fillId="19" borderId="15" xfId="0" applyNumberFormat="1" applyFont="1" applyFill="1" applyBorder="1" applyAlignment="1">
      <alignment horizontal="center"/>
    </xf>
    <xf numFmtId="169" fontId="39" fillId="19" borderId="13" xfId="0" applyNumberFormat="1" applyFont="1" applyFill="1" applyBorder="1" applyAlignment="1">
      <alignment horizontal="center"/>
    </xf>
    <xf numFmtId="0" fontId="0" fillId="3" borderId="0" xfId="0" applyFill="1" applyBorder="1"/>
    <xf numFmtId="0" fontId="0" fillId="3" borderId="0" xfId="0" applyFill="1" applyBorder="1" applyAlignment="1"/>
    <xf numFmtId="0" fontId="39" fillId="3" borderId="15" xfId="0" applyFont="1" applyFill="1" applyBorder="1" applyAlignment="1"/>
    <xf numFmtId="0" fontId="6" fillId="3" borderId="75" xfId="0" applyFont="1" applyFill="1" applyBorder="1"/>
    <xf numFmtId="0" fontId="0" fillId="3" borderId="80" xfId="0" applyFill="1" applyBorder="1"/>
    <xf numFmtId="0" fontId="0" fillId="3" borderId="81" xfId="0" applyFill="1" applyBorder="1"/>
    <xf numFmtId="184" fontId="42" fillId="3" borderId="80" xfId="0" applyNumberFormat="1" applyFont="1" applyFill="1" applyBorder="1" applyAlignment="1">
      <alignment horizontal="right"/>
    </xf>
    <xf numFmtId="0" fontId="42" fillId="3" borderId="80" xfId="0" applyNumberFormat="1" applyFont="1" applyFill="1" applyBorder="1" applyAlignment="1">
      <alignment horizontal="right"/>
    </xf>
    <xf numFmtId="0" fontId="40" fillId="3" borderId="80" xfId="0" applyNumberFormat="1" applyFont="1" applyFill="1" applyBorder="1" applyAlignment="1">
      <alignment horizontal="right"/>
    </xf>
    <xf numFmtId="0" fontId="0" fillId="3" borderId="85" xfId="0" applyFill="1" applyBorder="1"/>
    <xf numFmtId="0" fontId="40" fillId="3" borderId="86" xfId="0" applyNumberFormat="1" applyFont="1" applyFill="1" applyBorder="1" applyAlignment="1">
      <alignment horizontal="right"/>
    </xf>
    <xf numFmtId="0" fontId="0" fillId="3" borderId="88" xfId="0" applyFill="1" applyBorder="1"/>
    <xf numFmtId="0" fontId="0" fillId="3" borderId="89" xfId="0" applyFill="1" applyBorder="1"/>
    <xf numFmtId="10" fontId="16" fillId="0" borderId="12" xfId="0" applyNumberFormat="1" applyFont="1" applyFill="1" applyBorder="1" applyAlignment="1"/>
    <xf numFmtId="0" fontId="18" fillId="0" borderId="12" xfId="0" applyFont="1" applyFill="1" applyBorder="1" applyAlignment="1"/>
    <xf numFmtId="181" fontId="30" fillId="0" borderId="17" xfId="0" applyNumberFormat="1" applyFont="1" applyFill="1" applyBorder="1" applyAlignment="1"/>
    <xf numFmtId="181" fontId="30" fillId="0" borderId="21" xfId="0" applyNumberFormat="1" applyFont="1" applyFill="1" applyBorder="1" applyAlignment="1"/>
    <xf numFmtId="0" fontId="36" fillId="0" borderId="0" xfId="0" applyFont="1" applyBorder="1"/>
    <xf numFmtId="0" fontId="43" fillId="0" borderId="0" xfId="0" applyFont="1" applyBorder="1"/>
    <xf numFmtId="0" fontId="43" fillId="0" borderId="0" xfId="0" applyFont="1"/>
    <xf numFmtId="2" fontId="44" fillId="0" borderId="0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169" fontId="6" fillId="0" borderId="0" xfId="0" applyNumberFormat="1" applyFont="1" applyBorder="1" applyAlignment="1">
      <alignment horizontal="center"/>
    </xf>
    <xf numFmtId="0" fontId="27" fillId="0" borderId="0" xfId="0" applyFont="1" applyBorder="1"/>
    <xf numFmtId="0" fontId="11" fillId="4" borderId="0" xfId="0" applyFont="1" applyFill="1" applyBorder="1" applyAlignment="1"/>
    <xf numFmtId="0" fontId="11" fillId="0" borderId="0" xfId="0" applyFont="1" applyFill="1" applyBorder="1" applyAlignment="1"/>
    <xf numFmtId="0" fontId="11" fillId="4" borderId="8" xfId="0" applyFont="1" applyFill="1" applyBorder="1" applyAlignment="1"/>
    <xf numFmtId="0" fontId="11" fillId="4" borderId="9" xfId="0" applyFont="1" applyFill="1" applyBorder="1" applyAlignment="1"/>
    <xf numFmtId="0" fontId="11" fillId="0" borderId="9" xfId="0" applyFont="1" applyFill="1" applyBorder="1" applyAlignment="1"/>
    <xf numFmtId="0" fontId="11" fillId="0" borderId="10" xfId="0" applyFont="1" applyFill="1" applyBorder="1" applyAlignment="1"/>
    <xf numFmtId="2" fontId="45" fillId="0" borderId="0" xfId="0" applyNumberFormat="1" applyFont="1" applyAlignment="1">
      <alignment horizontal="center"/>
    </xf>
    <xf numFmtId="0" fontId="47" fillId="0" borderId="0" xfId="0" applyFont="1" applyFill="1" applyBorder="1" applyAlignment="1"/>
    <xf numFmtId="0" fontId="0" fillId="0" borderId="0" xfId="0" applyBorder="1" applyAlignment="1"/>
    <xf numFmtId="0" fontId="47" fillId="0" borderId="14" xfId="0" applyFont="1" applyFill="1" applyBorder="1" applyAlignment="1"/>
    <xf numFmtId="185" fontId="24" fillId="0" borderId="11" xfId="0" applyNumberFormat="1" applyFont="1" applyFill="1" applyBorder="1" applyAlignment="1" applyProtection="1">
      <alignment horizontal="left"/>
      <protection hidden="1"/>
    </xf>
    <xf numFmtId="185" fontId="24" fillId="0" borderId="13" xfId="0" applyNumberFormat="1" applyFont="1" applyFill="1" applyBorder="1" applyAlignment="1" applyProtection="1">
      <alignment horizontal="left"/>
      <protection hidden="1"/>
    </xf>
    <xf numFmtId="2" fontId="0" fillId="0" borderId="0" xfId="0" applyNumberFormat="1" applyBorder="1" applyAlignment="1">
      <alignment horizontal="center"/>
    </xf>
    <xf numFmtId="171" fontId="48" fillId="0" borderId="0" xfId="0" applyNumberFormat="1" applyFont="1" applyBorder="1" applyAlignment="1">
      <alignment horizontal="center"/>
    </xf>
    <xf numFmtId="10" fontId="18" fillId="21" borderId="5" xfId="0" applyNumberFormat="1" applyFont="1" applyFill="1" applyBorder="1" applyAlignment="1">
      <alignment horizontal="center"/>
    </xf>
    <xf numFmtId="2" fontId="18" fillId="21" borderId="6" xfId="0" applyNumberFormat="1" applyFont="1" applyFill="1" applyBorder="1" applyAlignment="1">
      <alignment horizontal="center"/>
    </xf>
    <xf numFmtId="2" fontId="27" fillId="0" borderId="0" xfId="0" applyNumberFormat="1" applyFont="1" applyBorder="1"/>
    <xf numFmtId="164" fontId="0" fillId="0" borderId="0" xfId="0" applyNumberFormat="1" applyBorder="1" applyAlignment="1">
      <alignment horizontal="center"/>
    </xf>
    <xf numFmtId="2" fontId="6" fillId="0" borderId="0" xfId="0" applyNumberFormat="1" applyFont="1" applyBorder="1"/>
    <xf numFmtId="166" fontId="0" fillId="0" borderId="0" xfId="0" applyNumberFormat="1" applyBorder="1"/>
    <xf numFmtId="2" fontId="27" fillId="0" borderId="14" xfId="0" applyNumberFormat="1" applyFont="1" applyBorder="1"/>
    <xf numFmtId="0" fontId="11" fillId="14" borderId="8" xfId="0" applyFont="1" applyFill="1" applyBorder="1" applyAlignment="1"/>
    <xf numFmtId="0" fontId="11" fillId="14" borderId="9" xfId="0" applyFont="1" applyFill="1" applyBorder="1" applyAlignment="1"/>
    <xf numFmtId="0" fontId="11" fillId="14" borderId="10" xfId="0" applyFont="1" applyFill="1" applyBorder="1" applyAlignment="1"/>
    <xf numFmtId="10" fontId="18" fillId="21" borderId="90" xfId="0" applyNumberFormat="1" applyFont="1" applyFill="1" applyBorder="1" applyAlignment="1">
      <alignment horizontal="center"/>
    </xf>
    <xf numFmtId="2" fontId="18" fillId="21" borderId="91" xfId="0" applyNumberFormat="1" applyFont="1" applyFill="1" applyBorder="1" applyAlignment="1">
      <alignment horizontal="center"/>
    </xf>
    <xf numFmtId="2" fontId="0" fillId="0" borderId="0" xfId="0" applyNumberFormat="1" applyBorder="1" applyAlignment="1">
      <alignment horizontal="center" vertical="center"/>
    </xf>
    <xf numFmtId="0" fontId="49" fillId="0" borderId="0" xfId="0" applyFont="1"/>
    <xf numFmtId="0" fontId="50" fillId="0" borderId="0" xfId="0" applyFont="1"/>
    <xf numFmtId="0" fontId="50" fillId="0" borderId="0" xfId="0" applyFont="1" applyAlignment="1">
      <alignment horizontal="center"/>
    </xf>
    <xf numFmtId="0" fontId="49" fillId="0" borderId="0" xfId="0" applyFont="1" applyFill="1" applyBorder="1"/>
    <xf numFmtId="0" fontId="49" fillId="0" borderId="0" xfId="0" applyFont="1" applyFill="1" applyBorder="1" applyAlignment="1">
      <alignment horizontal="center"/>
    </xf>
    <xf numFmtId="187" fontId="49" fillId="23" borderId="16" xfId="0" applyNumberFormat="1" applyFont="1" applyFill="1" applyBorder="1" applyAlignment="1">
      <alignment horizontal="center"/>
    </xf>
    <xf numFmtId="2" fontId="49" fillId="23" borderId="16" xfId="0" applyNumberFormat="1" applyFont="1" applyFill="1" applyBorder="1" applyAlignment="1">
      <alignment horizontal="center"/>
    </xf>
    <xf numFmtId="187" fontId="49" fillId="23" borderId="68" xfId="0" applyNumberFormat="1" applyFont="1" applyFill="1" applyBorder="1" applyAlignment="1">
      <alignment horizontal="center"/>
    </xf>
    <xf numFmtId="2" fontId="49" fillId="23" borderId="11" xfId="0" applyNumberFormat="1" applyFont="1" applyFill="1" applyBorder="1" applyAlignment="1">
      <alignment horizontal="center"/>
    </xf>
    <xf numFmtId="2" fontId="49" fillId="23" borderId="0" xfId="0" applyNumberFormat="1" applyFont="1" applyFill="1" applyBorder="1" applyAlignment="1">
      <alignment horizontal="center"/>
    </xf>
    <xf numFmtId="187" fontId="49" fillId="23" borderId="0" xfId="0" applyNumberFormat="1" applyFont="1" applyFill="1" applyBorder="1" applyAlignment="1">
      <alignment horizontal="center"/>
    </xf>
    <xf numFmtId="0" fontId="50" fillId="5" borderId="1" xfId="0" applyFont="1" applyFill="1" applyBorder="1"/>
    <xf numFmtId="0" fontId="50" fillId="5" borderId="2" xfId="0" applyFont="1" applyFill="1" applyBorder="1" applyAlignment="1">
      <alignment horizontal="center"/>
    </xf>
    <xf numFmtId="2" fontId="50" fillId="5" borderId="6" xfId="0" applyNumberFormat="1" applyFont="1" applyFill="1" applyBorder="1"/>
    <xf numFmtId="0" fontId="50" fillId="5" borderId="6" xfId="0" applyFont="1" applyFill="1" applyBorder="1" applyAlignment="1">
      <alignment horizontal="center"/>
    </xf>
    <xf numFmtId="0" fontId="50" fillId="5" borderId="91" xfId="0" applyFont="1" applyFill="1" applyBorder="1" applyAlignment="1">
      <alignment horizontal="center"/>
    </xf>
    <xf numFmtId="2" fontId="50" fillId="5" borderId="29" xfId="0" applyNumberFormat="1" applyFont="1" applyFill="1" applyBorder="1" applyAlignment="1">
      <alignment horizontal="center"/>
    </xf>
    <xf numFmtId="2" fontId="50" fillId="5" borderId="1" xfId="0" applyNumberFormat="1" applyFont="1" applyFill="1" applyBorder="1" applyAlignment="1">
      <alignment horizontal="center"/>
    </xf>
    <xf numFmtId="187" fontId="50" fillId="5" borderId="1" xfId="0" applyNumberFormat="1" applyFont="1" applyFill="1" applyBorder="1" applyAlignment="1">
      <alignment horizontal="center"/>
    </xf>
    <xf numFmtId="0" fontId="50" fillId="5" borderId="1" xfId="0" applyFont="1" applyFill="1" applyBorder="1" applyAlignment="1">
      <alignment horizontal="center"/>
    </xf>
    <xf numFmtId="0" fontId="50" fillId="15" borderId="1" xfId="0" applyFont="1" applyFill="1" applyBorder="1"/>
    <xf numFmtId="0" fontId="49" fillId="15" borderId="2" xfId="0" applyFont="1" applyFill="1" applyBorder="1" applyAlignment="1">
      <alignment horizontal="center"/>
    </xf>
    <xf numFmtId="187" fontId="50" fillId="15" borderId="1" xfId="0" applyNumberFormat="1" applyFont="1" applyFill="1" applyBorder="1" applyAlignment="1">
      <alignment horizontal="center"/>
    </xf>
    <xf numFmtId="2" fontId="50" fillId="15" borderId="1" xfId="0" applyNumberFormat="1" applyFont="1" applyFill="1" applyBorder="1" applyAlignment="1">
      <alignment horizontal="center"/>
    </xf>
    <xf numFmtId="0" fontId="50" fillId="15" borderId="1" xfId="0" applyFont="1" applyFill="1" applyBorder="1" applyAlignment="1">
      <alignment horizontal="center"/>
    </xf>
    <xf numFmtId="0" fontId="50" fillId="15" borderId="30" xfId="0" applyFont="1" applyFill="1" applyBorder="1" applyAlignment="1">
      <alignment horizontal="center"/>
    </xf>
    <xf numFmtId="2" fontId="50" fillId="15" borderId="29" xfId="0" applyNumberFormat="1" applyFont="1" applyFill="1" applyBorder="1" applyAlignment="1">
      <alignment horizontal="center"/>
    </xf>
    <xf numFmtId="0" fontId="50" fillId="24" borderId="1" xfId="0" applyFont="1" applyFill="1" applyBorder="1"/>
    <xf numFmtId="0" fontId="49" fillId="24" borderId="2" xfId="0" applyFont="1" applyFill="1" applyBorder="1" applyAlignment="1">
      <alignment horizontal="center"/>
    </xf>
    <xf numFmtId="187" fontId="50" fillId="24" borderId="1" xfId="0" applyNumberFormat="1" applyFont="1" applyFill="1" applyBorder="1" applyAlignment="1">
      <alignment horizontal="center"/>
    </xf>
    <xf numFmtId="2" fontId="50" fillId="24" borderId="1" xfId="0" applyNumberFormat="1" applyFont="1" applyFill="1" applyBorder="1" applyAlignment="1">
      <alignment horizontal="center"/>
    </xf>
    <xf numFmtId="0" fontId="50" fillId="24" borderId="1" xfId="0" applyFont="1" applyFill="1" applyBorder="1" applyAlignment="1">
      <alignment horizontal="center"/>
    </xf>
    <xf numFmtId="0" fontId="50" fillId="24" borderId="30" xfId="0" applyFont="1" applyFill="1" applyBorder="1" applyAlignment="1">
      <alignment horizontal="center"/>
    </xf>
    <xf numFmtId="2" fontId="50" fillId="24" borderId="29" xfId="0" applyNumberFormat="1" applyFont="1" applyFill="1" applyBorder="1" applyAlignment="1">
      <alignment horizontal="center"/>
    </xf>
    <xf numFmtId="0" fontId="50" fillId="19" borderId="1" xfId="0" applyFont="1" applyFill="1" applyBorder="1"/>
    <xf numFmtId="0" fontId="49" fillId="19" borderId="2" xfId="0" applyFont="1" applyFill="1" applyBorder="1" applyAlignment="1">
      <alignment horizontal="center"/>
    </xf>
    <xf numFmtId="187" fontId="50" fillId="19" borderId="1" xfId="0" applyNumberFormat="1" applyFont="1" applyFill="1" applyBorder="1" applyAlignment="1">
      <alignment horizontal="center"/>
    </xf>
    <xf numFmtId="2" fontId="50" fillId="19" borderId="1" xfId="0" applyNumberFormat="1" applyFont="1" applyFill="1" applyBorder="1" applyAlignment="1">
      <alignment horizontal="center"/>
    </xf>
    <xf numFmtId="0" fontId="50" fillId="19" borderId="1" xfId="0" applyFont="1" applyFill="1" applyBorder="1" applyAlignment="1">
      <alignment horizontal="center"/>
    </xf>
    <xf numFmtId="0" fontId="50" fillId="19" borderId="30" xfId="0" applyFont="1" applyFill="1" applyBorder="1" applyAlignment="1">
      <alignment horizontal="center"/>
    </xf>
    <xf numFmtId="2" fontId="50" fillId="19" borderId="29" xfId="0" applyNumberFormat="1" applyFont="1" applyFill="1" applyBorder="1" applyAlignment="1">
      <alignment horizontal="center"/>
    </xf>
    <xf numFmtId="0" fontId="50" fillId="10" borderId="1" xfId="0" applyFont="1" applyFill="1" applyBorder="1"/>
    <xf numFmtId="0" fontId="49" fillId="10" borderId="2" xfId="0" applyFont="1" applyFill="1" applyBorder="1" applyAlignment="1">
      <alignment horizontal="center"/>
    </xf>
    <xf numFmtId="187" fontId="50" fillId="10" borderId="1" xfId="0" applyNumberFormat="1" applyFont="1" applyFill="1" applyBorder="1" applyAlignment="1">
      <alignment horizontal="center"/>
    </xf>
    <xf numFmtId="2" fontId="50" fillId="10" borderId="1" xfId="0" applyNumberFormat="1" applyFont="1" applyFill="1" applyBorder="1" applyAlignment="1">
      <alignment horizontal="center"/>
    </xf>
    <xf numFmtId="0" fontId="50" fillId="10" borderId="1" xfId="0" applyFont="1" applyFill="1" applyBorder="1" applyAlignment="1">
      <alignment horizontal="center"/>
    </xf>
    <xf numFmtId="0" fontId="50" fillId="10" borderId="30" xfId="0" applyFont="1" applyFill="1" applyBorder="1" applyAlignment="1">
      <alignment horizontal="center"/>
    </xf>
    <xf numFmtId="2" fontId="50" fillId="10" borderId="29" xfId="0" applyNumberFormat="1" applyFont="1" applyFill="1" applyBorder="1" applyAlignment="1">
      <alignment horizontal="center"/>
    </xf>
    <xf numFmtId="0" fontId="50" fillId="14" borderId="1" xfId="0" applyFont="1" applyFill="1" applyBorder="1"/>
    <xf numFmtId="0" fontId="49" fillId="14" borderId="2" xfId="0" applyFont="1" applyFill="1" applyBorder="1" applyAlignment="1">
      <alignment horizontal="center"/>
    </xf>
    <xf numFmtId="187" fontId="50" fillId="14" borderId="1" xfId="0" applyNumberFormat="1" applyFont="1" applyFill="1" applyBorder="1" applyAlignment="1">
      <alignment horizontal="center"/>
    </xf>
    <xf numFmtId="2" fontId="50" fillId="14" borderId="1" xfId="0" applyNumberFormat="1" applyFont="1" applyFill="1" applyBorder="1" applyAlignment="1">
      <alignment horizontal="center"/>
    </xf>
    <xf numFmtId="0" fontId="50" fillId="14" borderId="1" xfId="0" applyFont="1" applyFill="1" applyBorder="1" applyAlignment="1">
      <alignment horizontal="center"/>
    </xf>
    <xf numFmtId="0" fontId="50" fillId="14" borderId="30" xfId="0" applyFont="1" applyFill="1" applyBorder="1" applyAlignment="1">
      <alignment horizontal="center"/>
    </xf>
    <xf numFmtId="2" fontId="50" fillId="14" borderId="29" xfId="0" applyNumberFormat="1" applyFont="1" applyFill="1" applyBorder="1" applyAlignment="1">
      <alignment horizontal="center"/>
    </xf>
    <xf numFmtId="0" fontId="50" fillId="14" borderId="5" xfId="0" applyFont="1" applyFill="1" applyBorder="1"/>
    <xf numFmtId="0" fontId="49" fillId="14" borderId="7" xfId="0" applyFont="1" applyFill="1" applyBorder="1" applyAlignment="1">
      <alignment horizontal="center"/>
    </xf>
    <xf numFmtId="187" fontId="50" fillId="14" borderId="5" xfId="0" applyNumberFormat="1" applyFont="1" applyFill="1" applyBorder="1" applyAlignment="1">
      <alignment horizontal="center"/>
    </xf>
    <xf numFmtId="2" fontId="50" fillId="14" borderId="5" xfId="0" applyNumberFormat="1" applyFont="1" applyFill="1" applyBorder="1" applyAlignment="1">
      <alignment horizontal="center"/>
    </xf>
    <xf numFmtId="0" fontId="50" fillId="14" borderId="5" xfId="0" applyFont="1" applyFill="1" applyBorder="1" applyAlignment="1">
      <alignment horizontal="center"/>
    </xf>
    <xf numFmtId="0" fontId="50" fillId="14" borderId="90" xfId="0" applyFont="1" applyFill="1" applyBorder="1" applyAlignment="1">
      <alignment horizontal="center"/>
    </xf>
    <xf numFmtId="2" fontId="50" fillId="14" borderId="93" xfId="0" applyNumberFormat="1" applyFont="1" applyFill="1" applyBorder="1" applyAlignment="1">
      <alignment horizontal="center"/>
    </xf>
    <xf numFmtId="187" fontId="50" fillId="0" borderId="0" xfId="0" applyNumberFormat="1" applyFont="1" applyAlignment="1">
      <alignment horizontal="center"/>
    </xf>
    <xf numFmtId="2" fontId="50" fillId="0" borderId="0" xfId="0" applyNumberFormat="1" applyFont="1"/>
    <xf numFmtId="2" fontId="50" fillId="0" borderId="0" xfId="0" applyNumberFormat="1" applyFont="1" applyAlignment="1">
      <alignment horizontal="center"/>
    </xf>
    <xf numFmtId="0" fontId="8" fillId="0" borderId="1" xfId="0" applyFont="1" applyFill="1" applyBorder="1" applyAlignment="1">
      <alignment horizontal="center"/>
    </xf>
    <xf numFmtId="2" fontId="4" fillId="0" borderId="6" xfId="0" applyNumberFormat="1" applyFont="1" applyFill="1" applyBorder="1" applyAlignment="1">
      <alignment horizontal="center"/>
    </xf>
    <xf numFmtId="188" fontId="4" fillId="0" borderId="6" xfId="0" applyNumberFormat="1" applyFont="1" applyFill="1" applyBorder="1" applyAlignment="1">
      <alignment horizontal="center"/>
    </xf>
    <xf numFmtId="164" fontId="28" fillId="10" borderId="1" xfId="0" applyNumberFormat="1" applyFont="1" applyFill="1" applyBorder="1" applyAlignment="1">
      <alignment horizontal="center"/>
    </xf>
    <xf numFmtId="171" fontId="1" fillId="0" borderId="65" xfId="0" applyNumberFormat="1" applyFont="1" applyBorder="1" applyAlignment="1">
      <alignment horizontal="center"/>
    </xf>
    <xf numFmtId="0" fontId="0" fillId="0" borderId="12" xfId="0" applyBorder="1" applyAlignment="1"/>
    <xf numFmtId="2" fontId="49" fillId="23" borderId="34" xfId="0" applyNumberFormat="1" applyFont="1" applyFill="1" applyBorder="1" applyAlignment="1">
      <alignment horizontal="center"/>
    </xf>
    <xf numFmtId="2" fontId="50" fillId="5" borderId="92" xfId="0" applyNumberFormat="1" applyFont="1" applyFill="1" applyBorder="1" applyAlignment="1">
      <alignment horizontal="center"/>
    </xf>
    <xf numFmtId="2" fontId="50" fillId="5" borderId="6" xfId="0" applyNumberFormat="1" applyFont="1" applyFill="1" applyBorder="1" applyAlignment="1">
      <alignment horizontal="center"/>
    </xf>
    <xf numFmtId="2" fontId="49" fillId="23" borderId="12" xfId="0" applyNumberFormat="1" applyFont="1" applyFill="1" applyBorder="1" applyAlignment="1">
      <alignment horizontal="center"/>
    </xf>
    <xf numFmtId="2" fontId="50" fillId="5" borderId="2" xfId="0" applyNumberFormat="1" applyFont="1" applyFill="1" applyBorder="1" applyAlignment="1">
      <alignment horizontal="center"/>
    </xf>
    <xf numFmtId="0" fontId="50" fillId="0" borderId="1" xfId="0" applyFont="1" applyBorder="1"/>
    <xf numFmtId="2" fontId="50" fillId="15" borderId="2" xfId="0" applyNumberFormat="1" applyFont="1" applyFill="1" applyBorder="1" applyAlignment="1">
      <alignment horizontal="center"/>
    </xf>
    <xf numFmtId="2" fontId="50" fillId="24" borderId="2" xfId="0" applyNumberFormat="1" applyFont="1" applyFill="1" applyBorder="1" applyAlignment="1">
      <alignment horizontal="center"/>
    </xf>
    <xf numFmtId="2" fontId="50" fillId="19" borderId="2" xfId="0" applyNumberFormat="1" applyFont="1" applyFill="1" applyBorder="1" applyAlignment="1">
      <alignment horizontal="center"/>
    </xf>
    <xf numFmtId="2" fontId="50" fillId="10" borderId="2" xfId="0" applyNumberFormat="1" applyFont="1" applyFill="1" applyBorder="1" applyAlignment="1">
      <alignment horizontal="center"/>
    </xf>
    <xf numFmtId="2" fontId="50" fillId="14" borderId="2" xfId="0" applyNumberFormat="1" applyFont="1" applyFill="1" applyBorder="1" applyAlignment="1">
      <alignment horizontal="center"/>
    </xf>
    <xf numFmtId="2" fontId="50" fillId="14" borderId="7" xfId="0" applyNumberFormat="1" applyFont="1" applyFill="1" applyBorder="1" applyAlignment="1">
      <alignment horizontal="center"/>
    </xf>
    <xf numFmtId="0" fontId="50" fillId="26" borderId="1" xfId="0" applyFont="1" applyFill="1" applyBorder="1"/>
    <xf numFmtId="0" fontId="49" fillId="26" borderId="1" xfId="0" applyFont="1" applyFill="1" applyBorder="1" applyAlignment="1">
      <alignment horizontal="center"/>
    </xf>
    <xf numFmtId="2" fontId="50" fillId="26" borderId="29" xfId="0" applyNumberFormat="1" applyFont="1" applyFill="1" applyBorder="1" applyAlignment="1">
      <alignment horizontal="center"/>
    </xf>
    <xf numFmtId="2" fontId="50" fillId="26" borderId="1" xfId="0" applyNumberFormat="1" applyFont="1" applyFill="1" applyBorder="1" applyAlignment="1">
      <alignment horizontal="center"/>
    </xf>
    <xf numFmtId="0" fontId="50" fillId="26" borderId="1" xfId="0" applyFont="1" applyFill="1" applyBorder="1" applyAlignment="1">
      <alignment horizontal="center"/>
    </xf>
    <xf numFmtId="0" fontId="50" fillId="26" borderId="30" xfId="0" applyFont="1" applyFill="1" applyBorder="1" applyAlignment="1">
      <alignment horizontal="center"/>
    </xf>
    <xf numFmtId="187" fontId="50" fillId="26" borderId="1" xfId="0" applyNumberFormat="1" applyFont="1" applyFill="1" applyBorder="1" applyAlignment="1">
      <alignment horizontal="center"/>
    </xf>
    <xf numFmtId="2" fontId="50" fillId="26" borderId="2" xfId="0" applyNumberFormat="1" applyFont="1" applyFill="1" applyBorder="1" applyAlignment="1">
      <alignment horizontal="center"/>
    </xf>
    <xf numFmtId="0" fontId="51" fillId="26" borderId="1" xfId="0" applyFont="1" applyFill="1" applyBorder="1"/>
    <xf numFmtId="16" fontId="0" fillId="0" borderId="0" xfId="0" applyNumberFormat="1"/>
    <xf numFmtId="2" fontId="4" fillId="27" borderId="0" xfId="0" applyNumberFormat="1" applyFont="1" applyFill="1" applyAlignment="1">
      <alignment horizontal="left"/>
    </xf>
    <xf numFmtId="2" fontId="4" fillId="27" borderId="0" xfId="0" applyNumberFormat="1" applyFont="1" applyFill="1" applyAlignment="1">
      <alignment horizontal="center"/>
    </xf>
    <xf numFmtId="2" fontId="9" fillId="27" borderId="0" xfId="0" applyNumberFormat="1" applyFont="1" applyFill="1" applyAlignment="1">
      <alignment horizontal="center"/>
    </xf>
    <xf numFmtId="2" fontId="4" fillId="10" borderId="5" xfId="0" applyNumberFormat="1" applyFont="1" applyFill="1" applyBorder="1" applyAlignment="1">
      <alignment horizontal="center"/>
    </xf>
    <xf numFmtId="2" fontId="4" fillId="10" borderId="6" xfId="0" applyNumberFormat="1" applyFont="1" applyFill="1" applyBorder="1" applyAlignment="1">
      <alignment horizontal="center"/>
    </xf>
    <xf numFmtId="164" fontId="4" fillId="10" borderId="5" xfId="0" applyNumberFormat="1" applyFont="1" applyFill="1" applyBorder="1" applyAlignment="1">
      <alignment horizontal="center"/>
    </xf>
    <xf numFmtId="164" fontId="4" fillId="10" borderId="6" xfId="0" applyNumberFormat="1" applyFont="1" applyFill="1" applyBorder="1" applyAlignment="1">
      <alignment horizontal="center"/>
    </xf>
    <xf numFmtId="2" fontId="4" fillId="0" borderId="0" xfId="0" applyNumberFormat="1" applyFont="1" applyFill="1" applyAlignment="1">
      <alignment horizontal="left"/>
    </xf>
    <xf numFmtId="2" fontId="4" fillId="0" borderId="0" xfId="0" applyNumberFormat="1" applyFont="1" applyFill="1" applyAlignment="1">
      <alignment horizontal="center"/>
    </xf>
    <xf numFmtId="2" fontId="9" fillId="0" borderId="0" xfId="0" applyNumberFormat="1" applyFont="1" applyFill="1" applyAlignment="1">
      <alignment horizontal="center"/>
    </xf>
    <xf numFmtId="164" fontId="4" fillId="0" borderId="0" xfId="0" applyNumberFormat="1" applyFont="1" applyFill="1" applyAlignment="1">
      <alignment horizontal="center"/>
    </xf>
    <xf numFmtId="164" fontId="4" fillId="27" borderId="0" xfId="0" applyNumberFormat="1" applyFont="1" applyFill="1" applyAlignment="1">
      <alignment horizontal="center"/>
    </xf>
    <xf numFmtId="2" fontId="4" fillId="28" borderId="0" xfId="0" applyNumberFormat="1" applyFont="1" applyFill="1" applyAlignment="1">
      <alignment horizontal="center"/>
    </xf>
    <xf numFmtId="2" fontId="49" fillId="26" borderId="1" xfId="0" applyNumberFormat="1" applyFont="1" applyFill="1" applyBorder="1" applyAlignment="1">
      <alignment horizontal="center"/>
    </xf>
    <xf numFmtId="188" fontId="10" fillId="2" borderId="18" xfId="0" applyNumberFormat="1" applyFont="1" applyFill="1" applyBorder="1" applyAlignment="1">
      <alignment horizontal="right"/>
    </xf>
    <xf numFmtId="2" fontId="0" fillId="0" borderId="0" xfId="0" applyNumberFormat="1" applyBorder="1" applyAlignment="1">
      <alignment horizontal="center"/>
    </xf>
    <xf numFmtId="0" fontId="1" fillId="0" borderId="0" xfId="0" applyFont="1" applyBorder="1" applyAlignment="1">
      <alignment horizontal="center"/>
    </xf>
    <xf numFmtId="171" fontId="48" fillId="0" borderId="0" xfId="0" applyNumberFormat="1" applyFont="1" applyBorder="1" applyAlignment="1">
      <alignment horizontal="center"/>
    </xf>
    <xf numFmtId="10" fontId="16" fillId="17" borderId="7" xfId="0" applyNumberFormat="1" applyFont="1" applyFill="1" applyBorder="1" applyAlignment="1">
      <alignment horizontal="center"/>
    </xf>
    <xf numFmtId="10" fontId="16" fillId="17" borderId="74" xfId="0" applyNumberFormat="1" applyFont="1" applyFill="1" applyBorder="1" applyAlignment="1">
      <alignment horizontal="center"/>
    </xf>
    <xf numFmtId="0" fontId="18" fillId="17" borderId="64" xfId="0" applyFont="1" applyFill="1" applyBorder="1" applyAlignment="1">
      <alignment horizontal="center"/>
    </xf>
    <xf numFmtId="0" fontId="18" fillId="17" borderId="63" xfId="0" applyFont="1" applyFill="1" applyBorder="1" applyAlignment="1">
      <alignment horizontal="center"/>
    </xf>
    <xf numFmtId="171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2" fontId="10" fillId="5" borderId="18" xfId="0" applyNumberFormat="1" applyFont="1" applyFill="1" applyBorder="1" applyAlignment="1">
      <alignment horizontal="center"/>
    </xf>
    <xf numFmtId="0" fontId="6" fillId="5" borderId="76" xfId="0" applyFont="1" applyFill="1" applyBorder="1" applyAlignment="1">
      <alignment horizontal="center"/>
    </xf>
    <xf numFmtId="0" fontId="6" fillId="5" borderId="79" xfId="0" applyFont="1" applyFill="1" applyBorder="1" applyAlignment="1">
      <alignment horizontal="center"/>
    </xf>
    <xf numFmtId="179" fontId="16" fillId="20" borderId="6" xfId="0" applyNumberFormat="1" applyFont="1" applyFill="1" applyBorder="1" applyAlignment="1">
      <alignment horizontal="center"/>
    </xf>
    <xf numFmtId="179" fontId="16" fillId="20" borderId="64" xfId="0" applyNumberFormat="1" applyFont="1" applyFill="1" applyBorder="1" applyAlignment="1">
      <alignment horizontal="center"/>
    </xf>
    <xf numFmtId="10" fontId="41" fillId="18" borderId="1" xfId="0" applyNumberFormat="1" applyFont="1" applyFill="1" applyBorder="1" applyAlignment="1">
      <alignment horizontal="center"/>
    </xf>
    <xf numFmtId="0" fontId="41" fillId="18" borderId="1" xfId="0" applyFont="1" applyFill="1" applyBorder="1" applyAlignment="1">
      <alignment horizontal="center"/>
    </xf>
    <xf numFmtId="0" fontId="41" fillId="18" borderId="2" xfId="0" applyFont="1" applyFill="1" applyBorder="1" applyAlignment="1">
      <alignment horizontal="center"/>
    </xf>
    <xf numFmtId="10" fontId="41" fillId="18" borderId="7" xfId="0" applyNumberFormat="1" applyFont="1" applyFill="1" applyBorder="1" applyAlignment="1">
      <alignment horizontal="center"/>
    </xf>
    <xf numFmtId="0" fontId="41" fillId="18" borderId="74" xfId="0" applyFont="1" applyFill="1" applyBorder="1" applyAlignment="1">
      <alignment horizontal="center"/>
    </xf>
    <xf numFmtId="169" fontId="42" fillId="3" borderId="3" xfId="0" applyNumberFormat="1" applyFont="1" applyFill="1" applyBorder="1" applyAlignment="1">
      <alignment horizontal="center"/>
    </xf>
    <xf numFmtId="176" fontId="42" fillId="3" borderId="31" xfId="0" applyNumberFormat="1" applyFont="1" applyFill="1" applyBorder="1" applyAlignment="1">
      <alignment horizontal="center"/>
    </xf>
    <xf numFmtId="176" fontId="42" fillId="3" borderId="83" xfId="0" applyNumberFormat="1" applyFont="1" applyFill="1" applyBorder="1" applyAlignment="1">
      <alignment horizontal="center"/>
    </xf>
    <xf numFmtId="0" fontId="6" fillId="5" borderId="60" xfId="0" applyFont="1" applyFill="1" applyBorder="1" applyAlignment="1">
      <alignment horizontal="center"/>
    </xf>
    <xf numFmtId="0" fontId="6" fillId="5" borderId="82" xfId="0" applyFont="1" applyFill="1" applyBorder="1" applyAlignment="1">
      <alignment horizontal="center"/>
    </xf>
    <xf numFmtId="176" fontId="42" fillId="3" borderId="29" xfId="0" applyNumberFormat="1" applyFont="1" applyFill="1" applyBorder="1" applyAlignment="1">
      <alignment horizontal="center"/>
    </xf>
    <xf numFmtId="176" fontId="42" fillId="3" borderId="84" xfId="0" applyNumberFormat="1" applyFont="1" applyFill="1" applyBorder="1" applyAlignment="1">
      <alignment horizontal="center"/>
    </xf>
    <xf numFmtId="178" fontId="42" fillId="3" borderId="31" xfId="0" applyNumberFormat="1" applyFont="1" applyFill="1" applyBorder="1" applyAlignment="1">
      <alignment horizontal="center"/>
    </xf>
    <xf numFmtId="0" fontId="42" fillId="3" borderId="83" xfId="0" applyFont="1" applyFill="1" applyBorder="1" applyAlignment="1">
      <alignment horizontal="center"/>
    </xf>
    <xf numFmtId="2" fontId="10" fillId="0" borderId="0" xfId="0" applyNumberFormat="1" applyFont="1" applyBorder="1" applyAlignment="1">
      <alignment horizontal="center"/>
    </xf>
    <xf numFmtId="2" fontId="10" fillId="0" borderId="14" xfId="0" applyNumberFormat="1" applyFont="1" applyBorder="1" applyAlignment="1">
      <alignment horizontal="center"/>
    </xf>
    <xf numFmtId="183" fontId="30" fillId="0" borderId="18" xfId="0" applyNumberFormat="1" applyFont="1" applyFill="1" applyBorder="1" applyAlignment="1">
      <alignment horizontal="center"/>
    </xf>
    <xf numFmtId="183" fontId="30" fillId="0" borderId="23" xfId="0" applyNumberFormat="1" applyFont="1" applyFill="1" applyBorder="1" applyAlignment="1">
      <alignment horizontal="center"/>
    </xf>
    <xf numFmtId="180" fontId="10" fillId="15" borderId="2" xfId="0" applyNumberFormat="1" applyFont="1" applyFill="1" applyBorder="1" applyAlignment="1">
      <alignment horizontal="center"/>
    </xf>
    <xf numFmtId="180" fontId="10" fillId="15" borderId="3" xfId="0" applyNumberFormat="1" applyFont="1" applyFill="1" applyBorder="1" applyAlignment="1">
      <alignment horizontal="center"/>
    </xf>
    <xf numFmtId="180" fontId="10" fillId="15" borderId="4" xfId="0" applyNumberFormat="1" applyFont="1" applyFill="1" applyBorder="1" applyAlignment="1">
      <alignment horizontal="center"/>
    </xf>
    <xf numFmtId="2" fontId="0" fillId="0" borderId="0" xfId="0" applyNumberFormat="1" applyBorder="1" applyAlignment="1">
      <alignment horizontal="right"/>
    </xf>
    <xf numFmtId="2" fontId="0" fillId="0" borderId="46" xfId="0" applyNumberFormat="1" applyBorder="1" applyAlignment="1">
      <alignment horizontal="right"/>
    </xf>
    <xf numFmtId="171" fontId="39" fillId="19" borderId="13" xfId="0" applyNumberFormat="1" applyFont="1" applyFill="1" applyBorder="1" applyAlignment="1">
      <alignment horizontal="center"/>
    </xf>
    <xf numFmtId="171" fontId="39" fillId="19" borderId="14" xfId="0" applyNumberFormat="1" applyFont="1" applyFill="1" applyBorder="1" applyAlignment="1">
      <alignment horizontal="center"/>
    </xf>
    <xf numFmtId="0" fontId="6" fillId="5" borderId="77" xfId="0" applyFont="1" applyFill="1" applyBorder="1" applyAlignment="1">
      <alignment horizontal="center"/>
    </xf>
    <xf numFmtId="0" fontId="6" fillId="5" borderId="78" xfId="0" applyFont="1" applyFill="1" applyBorder="1" applyAlignment="1">
      <alignment horizontal="center"/>
    </xf>
    <xf numFmtId="186" fontId="41" fillId="8" borderId="87" xfId="0" applyNumberFormat="1" applyFont="1" applyFill="1" applyBorder="1" applyAlignment="1">
      <alignment horizontal="center"/>
    </xf>
    <xf numFmtId="10" fontId="41" fillId="18" borderId="87" xfId="0" applyNumberFormat="1" applyFont="1" applyFill="1" applyBorder="1" applyAlignment="1">
      <alignment horizontal="center"/>
    </xf>
    <xf numFmtId="0" fontId="41" fillId="18" borderId="87" xfId="0" applyFont="1" applyFill="1" applyBorder="1" applyAlignment="1">
      <alignment horizontal="center"/>
    </xf>
    <xf numFmtId="186" fontId="41" fillId="25" borderId="87" xfId="0" applyNumberFormat="1" applyFon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6" fillId="0" borderId="65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171" fontId="39" fillId="0" borderId="64" xfId="0" applyNumberFormat="1" applyFont="1" applyBorder="1" applyAlignment="1">
      <alignment horizontal="center"/>
    </xf>
    <xf numFmtId="0" fontId="39" fillId="0" borderId="68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46" xfId="0" applyFont="1" applyBorder="1" applyAlignment="1">
      <alignment horizontal="center"/>
    </xf>
    <xf numFmtId="171" fontId="39" fillId="0" borderId="16" xfId="0" applyNumberFormat="1" applyFont="1" applyBorder="1" applyAlignment="1">
      <alignment horizontal="center"/>
    </xf>
    <xf numFmtId="0" fontId="39" fillId="0" borderId="16" xfId="0" applyFont="1" applyBorder="1" applyAlignment="1">
      <alignment horizontal="center"/>
    </xf>
    <xf numFmtId="0" fontId="39" fillId="0" borderId="63" xfId="0" applyFont="1" applyBorder="1" applyAlignment="1">
      <alignment horizontal="center"/>
    </xf>
    <xf numFmtId="171" fontId="39" fillId="0" borderId="0" xfId="0" applyNumberFormat="1" applyFont="1" applyBorder="1" applyAlignment="1">
      <alignment horizontal="center"/>
    </xf>
    <xf numFmtId="0" fontId="39" fillId="0" borderId="0" xfId="0" applyFont="1" applyBorder="1" applyAlignment="1">
      <alignment horizontal="center"/>
    </xf>
    <xf numFmtId="10" fontId="16" fillId="17" borderId="72" xfId="0" applyNumberFormat="1" applyFont="1" applyFill="1" applyBorder="1" applyAlignment="1">
      <alignment horizontal="center"/>
    </xf>
    <xf numFmtId="10" fontId="16" fillId="17" borderId="25" xfId="0" applyNumberFormat="1" applyFont="1" applyFill="1" applyBorder="1" applyAlignment="1">
      <alignment horizontal="center"/>
    </xf>
    <xf numFmtId="180" fontId="10" fillId="15" borderId="1" xfId="0" applyNumberFormat="1" applyFont="1" applyFill="1" applyBorder="1" applyAlignment="1">
      <alignment horizontal="center"/>
    </xf>
    <xf numFmtId="0" fontId="18" fillId="17" borderId="70" xfId="0" applyFont="1" applyFill="1" applyBorder="1" applyAlignment="1">
      <alignment horizontal="center"/>
    </xf>
    <xf numFmtId="0" fontId="18" fillId="17" borderId="15" xfId="0" applyFont="1" applyFill="1" applyBorder="1" applyAlignment="1">
      <alignment horizontal="center"/>
    </xf>
    <xf numFmtId="10" fontId="16" fillId="17" borderId="19" xfId="0" applyNumberFormat="1" applyFont="1" applyFill="1" applyBorder="1" applyAlignment="1">
      <alignment horizontal="center"/>
    </xf>
    <xf numFmtId="10" fontId="16" fillId="17" borderId="73" xfId="0" applyNumberFormat="1" applyFont="1" applyFill="1" applyBorder="1" applyAlignment="1">
      <alignment horizontal="center"/>
    </xf>
    <xf numFmtId="0" fontId="18" fillId="17" borderId="14" xfId="0" applyFont="1" applyFill="1" applyBorder="1" applyAlignment="1">
      <alignment horizontal="center"/>
    </xf>
    <xf numFmtId="0" fontId="18" fillId="17" borderId="71" xfId="0" applyFont="1" applyFill="1" applyBorder="1" applyAlignment="1">
      <alignment horizontal="center"/>
    </xf>
    <xf numFmtId="10" fontId="16" fillId="17" borderId="65" xfId="0" applyNumberFormat="1" applyFont="1" applyFill="1" applyBorder="1" applyAlignment="1">
      <alignment horizontal="center"/>
    </xf>
    <xf numFmtId="10" fontId="16" fillId="17" borderId="0" xfId="0" applyNumberFormat="1" applyFont="1" applyFill="1" applyBorder="1" applyAlignment="1">
      <alignment horizontal="center"/>
    </xf>
    <xf numFmtId="10" fontId="16" fillId="17" borderId="46" xfId="0" applyNumberFormat="1" applyFont="1" applyFill="1" applyBorder="1" applyAlignment="1">
      <alignment horizontal="center"/>
    </xf>
    <xf numFmtId="10" fontId="16" fillId="17" borderId="12" xfId="0" applyNumberFormat="1" applyFont="1" applyFill="1" applyBorder="1" applyAlignment="1">
      <alignment horizontal="center"/>
    </xf>
    <xf numFmtId="166" fontId="10" fillId="0" borderId="51" xfId="0" applyNumberFormat="1" applyFont="1" applyFill="1" applyBorder="1" applyAlignment="1">
      <alignment horizontal="center"/>
    </xf>
    <xf numFmtId="166" fontId="10" fillId="0" borderId="53" xfId="0" applyNumberFormat="1" applyFont="1" applyFill="1" applyBorder="1" applyAlignment="1">
      <alignment horizontal="center"/>
    </xf>
    <xf numFmtId="166" fontId="10" fillId="0" borderId="17" xfId="0" applyNumberFormat="1" applyFont="1" applyFill="1" applyBorder="1" applyAlignment="1">
      <alignment horizontal="center"/>
    </xf>
    <xf numFmtId="166" fontId="10" fillId="0" borderId="0" xfId="0" applyNumberFormat="1" applyFont="1" applyFill="1" applyBorder="1" applyAlignment="1">
      <alignment horizontal="center"/>
    </xf>
    <xf numFmtId="166" fontId="10" fillId="0" borderId="12" xfId="0" applyNumberFormat="1" applyFont="1" applyFill="1" applyBorder="1" applyAlignment="1">
      <alignment horizontal="center"/>
    </xf>
    <xf numFmtId="179" fontId="6" fillId="14" borderId="2" xfId="0" applyNumberFormat="1" applyFont="1" applyFill="1" applyBorder="1" applyAlignment="1">
      <alignment horizontal="center"/>
    </xf>
    <xf numFmtId="179" fontId="6" fillId="14" borderId="3" xfId="0" applyNumberFormat="1" applyFont="1" applyFill="1" applyBorder="1" applyAlignment="1">
      <alignment horizontal="center"/>
    </xf>
    <xf numFmtId="179" fontId="6" fillId="14" borderId="69" xfId="0" applyNumberFormat="1" applyFont="1" applyFill="1" applyBorder="1" applyAlignment="1">
      <alignment horizontal="center"/>
    </xf>
    <xf numFmtId="179" fontId="10" fillId="15" borderId="2" xfId="0" applyNumberFormat="1" applyFont="1" applyFill="1" applyBorder="1" applyAlignment="1">
      <alignment horizontal="center"/>
    </xf>
    <xf numFmtId="179" fontId="10" fillId="15" borderId="4" xfId="0" applyNumberFormat="1" applyFont="1" applyFill="1" applyBorder="1" applyAlignment="1">
      <alignment horizontal="center"/>
    </xf>
    <xf numFmtId="182" fontId="6" fillId="14" borderId="3" xfId="0" applyNumberFormat="1" applyFont="1" applyFill="1" applyBorder="1" applyAlignment="1">
      <alignment horizontal="center"/>
    </xf>
    <xf numFmtId="183" fontId="30" fillId="0" borderId="17" xfId="0" applyNumberFormat="1" applyFont="1" applyFill="1" applyBorder="1" applyAlignment="1">
      <alignment horizontal="center"/>
    </xf>
    <xf numFmtId="10" fontId="16" fillId="18" borderId="0" xfId="0" applyNumberFormat="1" applyFont="1" applyFill="1" applyBorder="1" applyAlignment="1">
      <alignment horizontal="center"/>
    </xf>
    <xf numFmtId="10" fontId="16" fillId="18" borderId="65" xfId="0" applyNumberFormat="1" applyFont="1" applyFill="1" applyBorder="1" applyAlignment="1">
      <alignment horizontal="center"/>
    </xf>
    <xf numFmtId="10" fontId="16" fillId="18" borderId="46" xfId="0" applyNumberFormat="1" applyFont="1" applyFill="1" applyBorder="1" applyAlignment="1">
      <alignment horizontal="center"/>
    </xf>
    <xf numFmtId="10" fontId="16" fillId="18" borderId="12" xfId="0" applyNumberFormat="1" applyFont="1" applyFill="1" applyBorder="1" applyAlignment="1">
      <alignment horizontal="center"/>
    </xf>
    <xf numFmtId="0" fontId="18" fillId="18" borderId="14" xfId="0" applyFont="1" applyFill="1" applyBorder="1" applyAlignment="1">
      <alignment horizontal="center"/>
    </xf>
    <xf numFmtId="0" fontId="18" fillId="18" borderId="70" xfId="0" applyFont="1" applyFill="1" applyBorder="1" applyAlignment="1">
      <alignment horizontal="center"/>
    </xf>
    <xf numFmtId="0" fontId="18" fillId="18" borderId="71" xfId="0" applyFont="1" applyFill="1" applyBorder="1" applyAlignment="1">
      <alignment horizontal="center"/>
    </xf>
    <xf numFmtId="0" fontId="18" fillId="18" borderId="15" xfId="0" applyFont="1" applyFill="1" applyBorder="1" applyAlignment="1">
      <alignment horizontal="center"/>
    </xf>
    <xf numFmtId="181" fontId="6" fillId="14" borderId="2" xfId="0" applyNumberFormat="1" applyFont="1" applyFill="1" applyBorder="1" applyAlignment="1">
      <alignment horizontal="center"/>
    </xf>
    <xf numFmtId="181" fontId="6" fillId="14" borderId="3" xfId="0" applyNumberFormat="1" applyFont="1" applyFill="1" applyBorder="1" applyAlignment="1">
      <alignment horizontal="center"/>
    </xf>
    <xf numFmtId="181" fontId="6" fillId="14" borderId="69" xfId="0" applyNumberFormat="1" applyFont="1" applyFill="1" applyBorder="1" applyAlignment="1">
      <alignment horizontal="center"/>
    </xf>
    <xf numFmtId="181" fontId="30" fillId="0" borderId="17" xfId="0" applyNumberFormat="1" applyFont="1" applyFill="1" applyBorder="1" applyAlignment="1">
      <alignment horizontal="center"/>
    </xf>
    <xf numFmtId="181" fontId="30" fillId="0" borderId="66" xfId="0" applyNumberFormat="1" applyFont="1" applyFill="1" applyBorder="1" applyAlignment="1">
      <alignment horizontal="center"/>
    </xf>
    <xf numFmtId="181" fontId="30" fillId="0" borderId="67" xfId="0" applyNumberFormat="1" applyFont="1" applyFill="1" applyBorder="1" applyAlignment="1">
      <alignment horizontal="center"/>
    </xf>
    <xf numFmtId="181" fontId="30" fillId="0" borderId="21" xfId="0" applyNumberFormat="1" applyFont="1" applyFill="1" applyBorder="1" applyAlignment="1">
      <alignment horizontal="center"/>
    </xf>
    <xf numFmtId="2" fontId="10" fillId="5" borderId="49" xfId="0" applyNumberFormat="1" applyFont="1" applyFill="1" applyBorder="1" applyAlignment="1">
      <alignment horizontal="center"/>
    </xf>
    <xf numFmtId="172" fontId="18" fillId="10" borderId="1" xfId="0" applyNumberFormat="1" applyFont="1" applyFill="1" applyBorder="1" applyAlignment="1">
      <alignment horizontal="center"/>
    </xf>
    <xf numFmtId="0" fontId="11" fillId="4" borderId="8" xfId="0" applyFont="1" applyFill="1" applyBorder="1" applyAlignment="1">
      <alignment horizontal="left"/>
    </xf>
    <xf numFmtId="0" fontId="11" fillId="4" borderId="9" xfId="0" applyFont="1" applyFill="1" applyBorder="1" applyAlignment="1">
      <alignment horizontal="left"/>
    </xf>
    <xf numFmtId="0" fontId="11" fillId="4" borderId="10" xfId="0" applyFont="1" applyFill="1" applyBorder="1" applyAlignment="1">
      <alignment horizontal="left"/>
    </xf>
    <xf numFmtId="169" fontId="18" fillId="10" borderId="1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right"/>
    </xf>
    <xf numFmtId="2" fontId="10" fillId="0" borderId="0" xfId="0" applyNumberFormat="1" applyFont="1" applyBorder="1" applyAlignment="1">
      <alignment horizontal="left"/>
    </xf>
    <xf numFmtId="0" fontId="7" fillId="2" borderId="17" xfId="0" applyFont="1" applyFill="1" applyBorder="1" applyAlignment="1">
      <alignment horizontal="center"/>
    </xf>
    <xf numFmtId="0" fontId="7" fillId="2" borderId="21" xfId="0" applyFont="1" applyFill="1" applyBorder="1" applyAlignment="1">
      <alignment horizontal="center"/>
    </xf>
    <xf numFmtId="166" fontId="10" fillId="2" borderId="37" xfId="0" applyNumberFormat="1" applyFont="1" applyFill="1" applyBorder="1" applyAlignment="1">
      <alignment horizontal="right"/>
    </xf>
    <xf numFmtId="166" fontId="10" fillId="2" borderId="38" xfId="0" applyNumberFormat="1" applyFont="1" applyFill="1" applyBorder="1" applyAlignment="1">
      <alignment horizontal="right"/>
    </xf>
    <xf numFmtId="0" fontId="6" fillId="2" borderId="36" xfId="0" applyFont="1" applyFill="1" applyBorder="1" applyAlignment="1">
      <alignment horizontal="center"/>
    </xf>
    <xf numFmtId="0" fontId="6" fillId="2" borderId="39" xfId="0" applyFont="1" applyFill="1" applyBorder="1" applyAlignment="1">
      <alignment horizontal="center"/>
    </xf>
    <xf numFmtId="0" fontId="10" fillId="11" borderId="17" xfId="0" applyFont="1" applyFill="1" applyBorder="1" applyAlignment="1">
      <alignment horizontal="center"/>
    </xf>
    <xf numFmtId="0" fontId="10" fillId="11" borderId="21" xfId="0" applyFont="1" applyFill="1" applyBorder="1" applyAlignment="1">
      <alignment horizontal="center"/>
    </xf>
    <xf numFmtId="167" fontId="10" fillId="2" borderId="37" xfId="0" applyNumberFormat="1" applyFont="1" applyFill="1" applyBorder="1" applyAlignment="1">
      <alignment horizontal="right"/>
    </xf>
    <xf numFmtId="167" fontId="10" fillId="2" borderId="38" xfId="0" applyNumberFormat="1" applyFont="1" applyFill="1" applyBorder="1" applyAlignment="1">
      <alignment horizontal="right"/>
    </xf>
    <xf numFmtId="168" fontId="10" fillId="2" borderId="35" xfId="0" applyNumberFormat="1" applyFont="1" applyFill="1" applyBorder="1" applyAlignment="1">
      <alignment horizontal="right"/>
    </xf>
    <xf numFmtId="168" fontId="10" fillId="2" borderId="40" xfId="0" applyNumberFormat="1" applyFont="1" applyFill="1" applyBorder="1" applyAlignment="1">
      <alignment horizontal="right"/>
    </xf>
    <xf numFmtId="166" fontId="10" fillId="2" borderId="43" xfId="0" applyNumberFormat="1" applyFont="1" applyFill="1" applyBorder="1" applyAlignment="1">
      <alignment horizontal="right"/>
    </xf>
    <xf numFmtId="166" fontId="10" fillId="2" borderId="44" xfId="0" applyNumberFormat="1" applyFont="1" applyFill="1" applyBorder="1" applyAlignment="1">
      <alignment horizontal="right"/>
    </xf>
    <xf numFmtId="0" fontId="13" fillId="0" borderId="0" xfId="0" applyFont="1" applyBorder="1" applyAlignment="1">
      <alignment horizontal="center"/>
    </xf>
    <xf numFmtId="0" fontId="13" fillId="0" borderId="12" xfId="0" applyFont="1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2" fontId="16" fillId="0" borderId="14" xfId="0" applyNumberFormat="1" applyFont="1" applyBorder="1" applyAlignment="1">
      <alignment horizontal="center"/>
    </xf>
    <xf numFmtId="2" fontId="16" fillId="0" borderId="15" xfId="0" applyNumberFormat="1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15" fillId="0" borderId="11" xfId="0" applyFont="1" applyFill="1" applyBorder="1" applyAlignment="1">
      <alignment horizontal="center"/>
    </xf>
    <xf numFmtId="0" fontId="15" fillId="0" borderId="0" xfId="0" applyFont="1" applyFill="1" applyBorder="1" applyAlignment="1">
      <alignment horizontal="center"/>
    </xf>
    <xf numFmtId="0" fontId="15" fillId="0" borderId="12" xfId="0" applyFont="1" applyFill="1" applyBorder="1" applyAlignment="1">
      <alignment horizontal="center"/>
    </xf>
    <xf numFmtId="0" fontId="0" fillId="0" borderId="46" xfId="0" applyBorder="1" applyAlignment="1">
      <alignment horizontal="center"/>
    </xf>
    <xf numFmtId="2" fontId="6" fillId="0" borderId="0" xfId="0" applyNumberFormat="1" applyFont="1" applyBorder="1" applyAlignment="1">
      <alignment horizontal="center"/>
    </xf>
    <xf numFmtId="2" fontId="29" fillId="0" borderId="2" xfId="0" applyNumberFormat="1" applyFont="1" applyBorder="1" applyAlignment="1">
      <alignment horizontal="center"/>
    </xf>
    <xf numFmtId="2" fontId="29" fillId="0" borderId="4" xfId="0" applyNumberFormat="1" applyFont="1" applyBorder="1" applyAlignment="1">
      <alignment horizontal="center"/>
    </xf>
    <xf numFmtId="169" fontId="28" fillId="10" borderId="2" xfId="0" applyNumberFormat="1" applyFont="1" applyFill="1" applyBorder="1" applyAlignment="1">
      <alignment horizontal="center"/>
    </xf>
    <xf numFmtId="169" fontId="28" fillId="10" borderId="4" xfId="0" applyNumberFormat="1" applyFont="1" applyFill="1" applyBorder="1" applyAlignment="1">
      <alignment horizontal="center"/>
    </xf>
    <xf numFmtId="169" fontId="28" fillId="10" borderId="1" xfId="0" applyNumberFormat="1" applyFont="1" applyFill="1" applyBorder="1" applyAlignment="1">
      <alignment horizontal="center"/>
    </xf>
    <xf numFmtId="169" fontId="28" fillId="0" borderId="0" xfId="0" applyNumberFormat="1" applyFont="1" applyFill="1" applyBorder="1" applyAlignment="1">
      <alignment horizontal="center"/>
    </xf>
    <xf numFmtId="2" fontId="0" fillId="2" borderId="52" xfId="0" applyNumberFormat="1" applyFill="1" applyBorder="1" applyAlignment="1">
      <alignment horizontal="center"/>
    </xf>
    <xf numFmtId="2" fontId="30" fillId="0" borderId="2" xfId="0" applyNumberFormat="1" applyFont="1" applyBorder="1" applyAlignment="1">
      <alignment horizontal="center"/>
    </xf>
    <xf numFmtId="2" fontId="30" fillId="0" borderId="3" xfId="0" applyNumberFormat="1" applyFont="1" applyBorder="1" applyAlignment="1">
      <alignment horizontal="center"/>
    </xf>
    <xf numFmtId="2" fontId="30" fillId="0" borderId="0" xfId="0" applyNumberFormat="1" applyFont="1" applyFill="1" applyBorder="1" applyAlignment="1">
      <alignment horizontal="center"/>
    </xf>
    <xf numFmtId="2" fontId="30" fillId="0" borderId="1" xfId="0" applyNumberFormat="1" applyFont="1" applyBorder="1" applyAlignment="1">
      <alignment horizontal="center"/>
    </xf>
    <xf numFmtId="0" fontId="27" fillId="0" borderId="0" xfId="0" applyFont="1" applyBorder="1" applyAlignment="1">
      <alignment horizontal="right"/>
    </xf>
    <xf numFmtId="0" fontId="27" fillId="0" borderId="12" xfId="0" applyFont="1" applyBorder="1" applyAlignment="1">
      <alignment horizontal="right"/>
    </xf>
    <xf numFmtId="2" fontId="41" fillId="10" borderId="5" xfId="0" applyNumberFormat="1" applyFont="1" applyFill="1" applyBorder="1" applyAlignment="1">
      <alignment horizontal="center"/>
    </xf>
    <xf numFmtId="176" fontId="29" fillId="0" borderId="54" xfId="0" applyNumberFormat="1" applyFont="1" applyBorder="1" applyAlignment="1">
      <alignment horizontal="center"/>
    </xf>
    <xf numFmtId="176" fontId="29" fillId="0" borderId="55" xfId="0" applyNumberFormat="1" applyFont="1" applyBorder="1" applyAlignment="1">
      <alignment horizontal="center"/>
    </xf>
    <xf numFmtId="0" fontId="23" fillId="9" borderId="77" xfId="0" applyFont="1" applyFill="1" applyBorder="1" applyAlignment="1">
      <alignment horizontal="center"/>
    </xf>
    <xf numFmtId="0" fontId="23" fillId="9" borderId="0" xfId="0" applyFont="1" applyFill="1" applyAlignment="1">
      <alignment horizontal="center"/>
    </xf>
    <xf numFmtId="0" fontId="23" fillId="9" borderId="9" xfId="0" applyFont="1" applyFill="1" applyBorder="1" applyAlignment="1">
      <alignment horizontal="center"/>
    </xf>
    <xf numFmtId="0" fontId="23" fillId="9" borderId="56" xfId="0" applyFont="1" applyFill="1" applyBorder="1" applyAlignment="1">
      <alignment horizontal="center"/>
    </xf>
    <xf numFmtId="178" fontId="29" fillId="0" borderId="54" xfId="0" applyNumberFormat="1" applyFont="1" applyBorder="1" applyAlignment="1">
      <alignment horizontal="center"/>
    </xf>
    <xf numFmtId="178" fontId="29" fillId="0" borderId="55" xfId="0" applyNumberFormat="1" applyFont="1" applyBorder="1" applyAlignment="1">
      <alignment horizontal="center"/>
    </xf>
    <xf numFmtId="178" fontId="29" fillId="0" borderId="8" xfId="0" applyNumberFormat="1" applyFont="1" applyBorder="1" applyAlignment="1">
      <alignment horizontal="center"/>
    </xf>
    <xf numFmtId="178" fontId="29" fillId="0" borderId="10" xfId="0" applyNumberFormat="1" applyFont="1" applyBorder="1" applyAlignment="1">
      <alignment horizontal="center"/>
    </xf>
    <xf numFmtId="0" fontId="11" fillId="4" borderId="0" xfId="0" applyFont="1" applyFill="1" applyBorder="1" applyAlignment="1">
      <alignment horizontal="left"/>
    </xf>
    <xf numFmtId="0" fontId="0" fillId="5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6" fillId="0" borderId="11" xfId="0" applyFont="1" applyBorder="1" applyAlignment="1">
      <alignment horizontal="right"/>
    </xf>
    <xf numFmtId="0" fontId="6" fillId="0" borderId="0" xfId="0" applyFont="1" applyBorder="1" applyAlignment="1">
      <alignment horizontal="right"/>
    </xf>
    <xf numFmtId="164" fontId="8" fillId="2" borderId="7" xfId="0" applyNumberFormat="1" applyFont="1" applyFill="1" applyBorder="1" applyAlignment="1">
      <alignment horizontal="center"/>
    </xf>
    <xf numFmtId="164" fontId="8" fillId="2" borderId="3" xfId="0" applyNumberFormat="1" applyFont="1" applyFill="1" applyBorder="1" applyAlignment="1">
      <alignment horizontal="center"/>
    </xf>
    <xf numFmtId="164" fontId="8" fillId="2" borderId="4" xfId="0" applyNumberFormat="1" applyFont="1" applyFill="1" applyBorder="1" applyAlignment="1">
      <alignment horizontal="center"/>
    </xf>
    <xf numFmtId="2" fontId="8" fillId="2" borderId="2" xfId="0" applyNumberFormat="1" applyFont="1" applyFill="1" applyBorder="1" applyAlignment="1">
      <alignment horizontal="center"/>
    </xf>
    <xf numFmtId="2" fontId="8" fillId="2" borderId="3" xfId="0" applyNumberFormat="1" applyFont="1" applyFill="1" applyBorder="1" applyAlignment="1">
      <alignment horizontal="center"/>
    </xf>
    <xf numFmtId="2" fontId="8" fillId="2" borderId="4" xfId="0" applyNumberFormat="1" applyFont="1" applyFill="1" applyBorder="1" applyAlignment="1">
      <alignment horizontal="center"/>
    </xf>
    <xf numFmtId="0" fontId="31" fillId="13" borderId="54" xfId="0" applyFont="1" applyFill="1" applyBorder="1" applyAlignment="1">
      <alignment horizontal="center"/>
    </xf>
    <xf numFmtId="0" fontId="31" fillId="13" borderId="56" xfId="0" applyFont="1" applyFill="1" applyBorder="1" applyAlignment="1">
      <alignment horizontal="center"/>
    </xf>
    <xf numFmtId="0" fontId="31" fillId="13" borderId="55" xfId="0" applyFont="1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5" borderId="26" xfId="0" applyFill="1" applyBorder="1" applyAlignment="1">
      <alignment horizontal="center"/>
    </xf>
    <xf numFmtId="0" fontId="0" fillId="5" borderId="27" xfId="0" applyFill="1" applyBorder="1" applyAlignment="1">
      <alignment horizontal="center"/>
    </xf>
    <xf numFmtId="0" fontId="0" fillId="5" borderId="28" xfId="0" applyFill="1" applyBorder="1" applyAlignment="1">
      <alignment horizontal="center"/>
    </xf>
    <xf numFmtId="0" fontId="1" fillId="16" borderId="1" xfId="0" applyFont="1" applyFill="1" applyBorder="1" applyAlignment="1">
      <alignment horizontal="center"/>
    </xf>
    <xf numFmtId="187" fontId="49" fillId="22" borderId="8" xfId="0" applyNumberFormat="1" applyFont="1" applyFill="1" applyBorder="1" applyAlignment="1">
      <alignment horizontal="center"/>
    </xf>
    <xf numFmtId="187" fontId="49" fillId="22" borderId="9" xfId="0" applyNumberFormat="1" applyFont="1" applyFill="1" applyBorder="1" applyAlignment="1">
      <alignment horizontal="center"/>
    </xf>
    <xf numFmtId="187" fontId="49" fillId="22" borderId="10" xfId="0" applyNumberFormat="1" applyFont="1" applyFill="1" applyBorder="1" applyAlignment="1">
      <alignment horizontal="center"/>
    </xf>
    <xf numFmtId="0" fontId="49" fillId="22" borderId="11" xfId="0" applyFont="1" applyFill="1" applyBorder="1" applyAlignment="1">
      <alignment horizontal="center"/>
    </xf>
    <xf numFmtId="0" fontId="49" fillId="22" borderId="0" xfId="0" applyFont="1" applyFill="1" applyAlignment="1">
      <alignment horizontal="center"/>
    </xf>
  </cellXfs>
  <cellStyles count="1">
    <cellStyle name="Normal" xfId="0" builtinId="0"/>
  </cellStyles>
  <dxfs count="5">
    <dxf>
      <font>
        <condense val="0"/>
        <extend val="0"/>
        <color rgb="FF9C0006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59996337778862885"/>
        </patternFill>
      </fill>
    </dxf>
  </dxfs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0" cap="sq" cmpd="sng">
              <a:solidFill>
                <a:schemeClr val="accent6">
                  <a:lumMod val="50000"/>
                </a:schemeClr>
              </a:solidFill>
              <a:round/>
            </a:ln>
          </c:spPr>
          <c:marker>
            <c:symbol val="circle"/>
            <c:size val="8"/>
            <c:spPr>
              <a:solidFill>
                <a:sysClr val="windowText" lastClr="000000"/>
              </a:solidFill>
              <a:ln>
                <a:noFill/>
              </a:ln>
            </c:spPr>
          </c:marker>
          <c:dPt>
            <c:idx val="2"/>
            <c:bubble3D val="0"/>
            <c:spPr>
              <a:ln w="152400" cap="sq" cmpd="sng">
                <a:solidFill>
                  <a:schemeClr val="accent6">
                    <a:lumMod val="50000"/>
                  </a:schemeClr>
                </a:solidFill>
                <a:round/>
              </a:ln>
            </c:spPr>
          </c:dPt>
          <c:xVal>
            <c:numRef>
              <c:f>TABELAS!$C$27:$C$30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</c:numCache>
            </c:numRef>
          </c:xVal>
          <c:yVal>
            <c:numRef>
              <c:f>TABELAS!$D$27:$D$30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111104"/>
        <c:axId val="129111680"/>
      </c:scatterChart>
      <c:valAx>
        <c:axId val="129111104"/>
        <c:scaling>
          <c:orientation val="minMax"/>
        </c:scaling>
        <c:delete val="0"/>
        <c:axPos val="b"/>
        <c:numFmt formatCode="#,##0.0" sourceLinked="0"/>
        <c:majorTickMark val="in"/>
        <c:minorTickMark val="none"/>
        <c:tickLblPos val="nextTo"/>
        <c:spPr>
          <a:noFill/>
          <a:ln w="3175">
            <a:prstDash val="sysDash"/>
          </a:ln>
        </c:spPr>
        <c:crossAx val="129111680"/>
        <c:crosses val="autoZero"/>
        <c:crossBetween val="midCat"/>
        <c:majorUnit val="0.5"/>
        <c:minorUnit val="0.5"/>
      </c:valAx>
      <c:valAx>
        <c:axId val="129111680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one"/>
        <c:crossAx val="1291111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186" footer="0.31496062000000186"/>
    <c:pageSetup/>
  </c:printSettings>
</c:chartSpace>
</file>

<file path=xl/ctrlProps/ctrlProp1.xml><?xml version="1.0" encoding="utf-8"?>
<formControlPr xmlns="http://schemas.microsoft.com/office/spreadsheetml/2009/9/main" objectType="Drop" dropStyle="combo" dx="16" fmlaLink="A13" fmlaRange="MATERIAIS!$B$4:$B$103" noThreeD="1" sel="6" val="0"/>
</file>

<file path=xl/ctrlProps/ctrlProp10.xml><?xml version="1.0" encoding="utf-8"?>
<formControlPr xmlns="http://schemas.microsoft.com/office/spreadsheetml/2009/9/main" objectType="Spin" dx="16" fmlaLink="$B$91" inc="10" max="3000" page="10" val="0"/>
</file>

<file path=xl/ctrlProps/ctrlProp11.xml><?xml version="1.0" encoding="utf-8"?>
<formControlPr xmlns="http://schemas.microsoft.com/office/spreadsheetml/2009/9/main" objectType="Spin" dx="16" fmlaLink="$B$92" inc="10" max="3000" page="10" val="0"/>
</file>

<file path=xl/ctrlProps/ctrlProp12.xml><?xml version="1.0" encoding="utf-8"?>
<formControlPr xmlns="http://schemas.microsoft.com/office/spreadsheetml/2009/9/main" objectType="Spin" dx="16" fmlaLink="$B$93" max="300" page="10" val="0"/>
</file>

<file path=xl/ctrlProps/ctrlProp13.xml><?xml version="1.0" encoding="utf-8"?>
<formControlPr xmlns="http://schemas.microsoft.com/office/spreadsheetml/2009/9/main" objectType="Spin" dx="16" fmlaLink="$B$90" inc="10" max="3000" page="10" val="200"/>
</file>

<file path=xl/ctrlProps/ctrlProp14.xml><?xml version="1.0" encoding="utf-8"?>
<formControlPr xmlns="http://schemas.microsoft.com/office/spreadsheetml/2009/9/main" objectType="Spin" dx="16" fmlaLink="$B$94" max="3000" page="10" val="50"/>
</file>

<file path=xl/ctrlProps/ctrlProp15.xml><?xml version="1.0" encoding="utf-8"?>
<formControlPr xmlns="http://schemas.microsoft.com/office/spreadsheetml/2009/9/main" objectType="Drop" dropStyle="combo" dx="16" fmlaLink="$B$112" fmlaRange="TABELAS!$B$34:$B$64" noThreeD="1" val="0"/>
</file>

<file path=xl/ctrlProps/ctrlProp16.xml><?xml version="1.0" encoding="utf-8"?>
<formControlPr xmlns="http://schemas.microsoft.com/office/spreadsheetml/2009/9/main" objectType="Drop" dropStyle="combo" dx="16" fmlaLink="$B$113" fmlaRange="TABELAS!$B$34:$B$64" noThreeD="1" val="0"/>
</file>

<file path=xl/ctrlProps/ctrlProp17.xml><?xml version="1.0" encoding="utf-8"?>
<formControlPr xmlns="http://schemas.microsoft.com/office/spreadsheetml/2009/9/main" objectType="Drop" dropStyle="combo" dx="16" fmlaLink="$B$114" fmlaRange="TABELAS!$B$34:$B$64" noThreeD="1" val="0"/>
</file>

<file path=xl/ctrlProps/ctrlProp18.xml><?xml version="1.0" encoding="utf-8"?>
<formControlPr xmlns="http://schemas.microsoft.com/office/spreadsheetml/2009/9/main" objectType="Drop" dropStyle="combo" dx="16" fmlaLink="$B$115" fmlaRange="TABELAS!$B$34:$B$64" noThreeD="1" val="0"/>
</file>

<file path=xl/ctrlProps/ctrlProp19.xml><?xml version="1.0" encoding="utf-8"?>
<formControlPr xmlns="http://schemas.microsoft.com/office/spreadsheetml/2009/9/main" objectType="Drop" dropStyle="combo" dx="16" fmlaLink="$B$116" fmlaRange="TABELAS!$B$67:$B$178" noThreeD="1" val="0"/>
</file>

<file path=xl/ctrlProps/ctrlProp2.xml><?xml version="1.0" encoding="utf-8"?>
<formControlPr xmlns="http://schemas.microsoft.com/office/spreadsheetml/2009/9/main" objectType="Drop" dropStyle="combo" dx="16" fmlaLink="$H$13" fmlaRange="TABELAS!$C$2:$C$7" noThreeD="1" sel="2" val="0"/>
</file>

<file path=xl/ctrlProps/ctrlProp20.xml><?xml version="1.0" encoding="utf-8"?>
<formControlPr xmlns="http://schemas.microsoft.com/office/spreadsheetml/2009/9/main" objectType="Drop" dropStyle="combo" dx="16" fmlaLink="$B$117" fmlaRange="TABELAS!$B$67:$B$178" noThreeD="1" val="104"/>
</file>

<file path=xl/ctrlProps/ctrlProp21.xml><?xml version="1.0" encoding="utf-8"?>
<formControlPr xmlns="http://schemas.microsoft.com/office/spreadsheetml/2009/9/main" objectType="Drop" dropStyle="combo" dx="16" fmlaLink="$B$118" fmlaRange="TABELAS!$B$67:$B$178" noThreeD="1" val="0"/>
</file>

<file path=xl/ctrlProps/ctrlProp22.xml><?xml version="1.0" encoding="utf-8"?>
<formControlPr xmlns="http://schemas.microsoft.com/office/spreadsheetml/2009/9/main" objectType="Drop" dropStyle="combo" dx="16" fmlaLink="$B$122" fmlaRange="TABELAS!$B$181:$B$197" noThreeD="1" sel="15" val="9"/>
</file>

<file path=xl/ctrlProps/ctrlProp23.xml><?xml version="1.0" encoding="utf-8"?>
<formControlPr xmlns="http://schemas.microsoft.com/office/spreadsheetml/2009/9/main" objectType="Drop" dropStyle="combo" dx="16" fmlaLink="$B$123" fmlaRange="TABELAS!$B$181:$B$197" noThreeD="1" val="0"/>
</file>

<file path=xl/ctrlProps/ctrlProp24.xml><?xml version="1.0" encoding="utf-8"?>
<formControlPr xmlns="http://schemas.microsoft.com/office/spreadsheetml/2009/9/main" objectType="Drop" dropStyle="combo" dx="16" fmlaLink="$B$124" fmlaRange="TABELAS!$B$200:$B$203" noThreeD="1" val="0"/>
</file>

<file path=xl/ctrlProps/ctrlProp25.xml><?xml version="1.0" encoding="utf-8"?>
<formControlPr xmlns="http://schemas.microsoft.com/office/spreadsheetml/2009/9/main" objectType="Drop" dropStyle="combo" dx="16" fmlaLink="$B$125" fmlaRange="TABELAS!$B$206:$B$209" noThreeD="1" val="0"/>
</file>

<file path=xl/ctrlProps/ctrlProp26.xml><?xml version="1.0" encoding="utf-8"?>
<formControlPr xmlns="http://schemas.microsoft.com/office/spreadsheetml/2009/9/main" objectType="Drop" dropStyle="combo" dx="16" fmlaLink="$D$127" fmlaRange="TABELAS!$R$3:$R$10" sel="3" val="0"/>
</file>

<file path=xl/ctrlProps/ctrlProp27.xml><?xml version="1.0" encoding="utf-8"?>
<formControlPr xmlns="http://schemas.microsoft.com/office/spreadsheetml/2009/9/main" objectType="Drop" dropStyle="combo" dx="16" fmlaLink="$C$154" fmlaRange="TABELAS!$G$14:$G$23" noThreeD="1" sel="3" val="0"/>
</file>

<file path=xl/ctrlProps/ctrlProp28.xml><?xml version="1.0" encoding="utf-8"?>
<formControlPr xmlns="http://schemas.microsoft.com/office/spreadsheetml/2009/9/main" objectType="Drop" dropStyle="combo" dx="16" fmlaLink="$F$154" fmlaRange="TABELAS!$G$14:$G$23" noThreeD="1" sel="7" val="2"/>
</file>

<file path=xl/ctrlProps/ctrlProp29.xml><?xml version="1.0" encoding="utf-8"?>
<formControlPr xmlns="http://schemas.microsoft.com/office/spreadsheetml/2009/9/main" objectType="Drop" dropStyle="combo" dx="16" fmlaLink="$I$154" fmlaRange="TABELAS!$G$14:$G$23" noThreeD="1" sel="3" val="2"/>
</file>

<file path=xl/ctrlProps/ctrlProp3.xml><?xml version="1.0" encoding="utf-8"?>
<formControlPr xmlns="http://schemas.microsoft.com/office/spreadsheetml/2009/9/main" objectType="Drop" dropStyle="combo" dx="16" fmlaLink="$H$14" fmlaRange="TABELAS!$C$9:$C$13" noThreeD="1" sel="2" val="0"/>
</file>

<file path=xl/ctrlProps/ctrlProp30.xml><?xml version="1.0" encoding="utf-8"?>
<formControlPr xmlns="http://schemas.microsoft.com/office/spreadsheetml/2009/9/main" objectType="Drop" dropStyle="combo" dx="16" fmlaLink="A13" fmlaRange="MATERIAIS!$B$4:$B$103" noThreeD="1" sel="6" val="0"/>
</file>

<file path=xl/ctrlProps/ctrlProp31.xml><?xml version="1.0" encoding="utf-8"?>
<formControlPr xmlns="http://schemas.microsoft.com/office/spreadsheetml/2009/9/main" objectType="Spin" dx="16" fmlaLink="$B$90" inc="10" max="3000" page="10" val="200"/>
</file>

<file path=xl/ctrlProps/ctrlProp32.xml><?xml version="1.0" encoding="utf-8"?>
<formControlPr xmlns="http://schemas.microsoft.com/office/spreadsheetml/2009/9/main" objectType="Spin" dx="16" fmlaLink="$B$91" inc="10" max="3000" page="10" val="0"/>
</file>

<file path=xl/ctrlProps/ctrlProp33.xml><?xml version="1.0" encoding="utf-8"?>
<formControlPr xmlns="http://schemas.microsoft.com/office/spreadsheetml/2009/9/main" objectType="Spin" dx="16" fmlaLink="$B$92" inc="10" max="3000" page="10" val="0"/>
</file>

<file path=xl/ctrlProps/ctrlProp34.xml><?xml version="1.0" encoding="utf-8"?>
<formControlPr xmlns="http://schemas.microsoft.com/office/spreadsheetml/2009/9/main" objectType="Spin" dx="16" fmlaLink="$B$94" max="3000" page="10" val="50"/>
</file>

<file path=xl/ctrlProps/ctrlProp35.xml><?xml version="1.0" encoding="utf-8"?>
<formControlPr xmlns="http://schemas.microsoft.com/office/spreadsheetml/2009/9/main" objectType="Spin" dx="16" fmlaLink="$G$119" max="3000" page="10" val="100"/>
</file>

<file path=xl/ctrlProps/ctrlProp36.xml><?xml version="1.0" encoding="utf-8"?>
<formControlPr xmlns="http://schemas.microsoft.com/office/spreadsheetml/2009/9/main" objectType="Spin" dx="16" fmlaLink="$B$95" max="360" page="10" val="0"/>
</file>

<file path=xl/ctrlProps/ctrlProp4.xml><?xml version="1.0" encoding="utf-8"?>
<formControlPr xmlns="http://schemas.microsoft.com/office/spreadsheetml/2009/9/main" objectType="Drop" dropStyle="combo" dx="16" fmlaLink="$H$15" fmlaRange="TABELAS!$C$15:$C$20" noThreeD="1" sel="2" val="0"/>
</file>

<file path=xl/ctrlProps/ctrlProp5.xml><?xml version="1.0" encoding="utf-8"?>
<formControlPr xmlns="http://schemas.microsoft.com/office/spreadsheetml/2009/9/main" objectType="Drop" dropStyle="combo" dx="16" fmlaLink="$A$62" fmlaRange="TABELAS!$G$2:$G$11" noThreeD="1" sel="2" val="0"/>
</file>

<file path=xl/ctrlProps/ctrlProp6.xml><?xml version="1.0" encoding="utf-8"?>
<formControlPr xmlns="http://schemas.microsoft.com/office/spreadsheetml/2009/9/main" objectType="Spin" dx="16" fmlaLink="$B$63" max="100" page="10" val="5"/>
</file>

<file path=xl/ctrlProps/ctrlProp7.xml><?xml version="1.0" encoding="utf-8"?>
<formControlPr xmlns="http://schemas.microsoft.com/office/spreadsheetml/2009/9/main" objectType="Spin" dx="16" fmlaLink="$B$64" max="300" page="10" val="11"/>
</file>

<file path=xl/ctrlProps/ctrlProp8.xml><?xml version="1.0" encoding="utf-8"?>
<formControlPr xmlns="http://schemas.microsoft.com/office/spreadsheetml/2009/9/main" objectType="Spin" dx="16" fmlaLink="$G$63" max="100" page="10" val="0"/>
</file>

<file path=xl/ctrlProps/ctrlProp9.xml><?xml version="1.0" encoding="utf-8"?>
<formControlPr xmlns="http://schemas.microsoft.com/office/spreadsheetml/2009/9/main" objectType="Spin" dx="16" fmlaLink="$G$64" max="300" page="10" val="0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emf"/><Relationship Id="rId2" Type="http://schemas.openxmlformats.org/officeDocument/2006/relationships/image" Target="../media/image1.emf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.jpeg"/><Relationship Id="rId3" Type="http://schemas.openxmlformats.org/officeDocument/2006/relationships/image" Target="../media/image7.jpeg"/><Relationship Id="rId7" Type="http://schemas.openxmlformats.org/officeDocument/2006/relationships/image" Target="../media/image11.jpeg"/><Relationship Id="rId12" Type="http://schemas.openxmlformats.org/officeDocument/2006/relationships/image" Target="../media/image16.emf"/><Relationship Id="rId2" Type="http://schemas.openxmlformats.org/officeDocument/2006/relationships/image" Target="../media/image6.jpeg"/><Relationship Id="rId1" Type="http://schemas.openxmlformats.org/officeDocument/2006/relationships/image" Target="../media/image5.jpeg"/><Relationship Id="rId6" Type="http://schemas.openxmlformats.org/officeDocument/2006/relationships/image" Target="../media/image10.jpeg"/><Relationship Id="rId11" Type="http://schemas.openxmlformats.org/officeDocument/2006/relationships/image" Target="../media/image15.emf"/><Relationship Id="rId5" Type="http://schemas.openxmlformats.org/officeDocument/2006/relationships/image" Target="../media/image9.jpeg"/><Relationship Id="rId10" Type="http://schemas.openxmlformats.org/officeDocument/2006/relationships/image" Target="../media/image14.jpeg"/><Relationship Id="rId4" Type="http://schemas.openxmlformats.org/officeDocument/2006/relationships/image" Target="../media/image8.jpeg"/><Relationship Id="rId9" Type="http://schemas.openxmlformats.org/officeDocument/2006/relationships/image" Target="../media/image13.jpe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95249</xdr:colOff>
      <xdr:row>95</xdr:row>
      <xdr:rowOff>104774</xdr:rowOff>
    </xdr:from>
    <xdr:to>
      <xdr:col>8</xdr:col>
      <xdr:colOff>876300</xdr:colOff>
      <xdr:row>106</xdr:row>
      <xdr:rowOff>57149</xdr:rowOff>
    </xdr:to>
    <xdr:graphicFrame macro="">
      <xdr:nvGraphicFramePr>
        <xdr:cNvPr id="9" name="Grá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219075</xdr:colOff>
      <xdr:row>143</xdr:row>
      <xdr:rowOff>190500</xdr:rowOff>
    </xdr:from>
    <xdr:to>
      <xdr:col>4</xdr:col>
      <xdr:colOff>123825</xdr:colOff>
      <xdr:row>144</xdr:row>
      <xdr:rowOff>190500</xdr:rowOff>
    </xdr:to>
    <xdr:sp macro="" textlink="">
      <xdr:nvSpPr>
        <xdr:cNvPr id="4" name="Triângulo isósceles 3"/>
        <xdr:cNvSpPr/>
      </xdr:nvSpPr>
      <xdr:spPr>
        <a:xfrm>
          <a:off x="3267075" y="28565475"/>
          <a:ext cx="238125" cy="209550"/>
        </a:xfrm>
        <a:prstGeom prst="triangle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pt-BR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590550</xdr:colOff>
      <xdr:row>143</xdr:row>
      <xdr:rowOff>190500</xdr:rowOff>
    </xdr:from>
    <xdr:to>
      <xdr:col>7</xdr:col>
      <xdr:colOff>114300</xdr:colOff>
      <xdr:row>144</xdr:row>
      <xdr:rowOff>190500</xdr:rowOff>
    </xdr:to>
    <xdr:sp macro="" textlink="">
      <xdr:nvSpPr>
        <xdr:cNvPr id="5" name="Triângulo isósceles 4"/>
        <xdr:cNvSpPr/>
      </xdr:nvSpPr>
      <xdr:spPr>
        <a:xfrm>
          <a:off x="4943475" y="28565475"/>
          <a:ext cx="238125" cy="209550"/>
        </a:xfrm>
        <a:prstGeom prst="triangle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pt-BR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219075</xdr:colOff>
      <xdr:row>147</xdr:row>
      <xdr:rowOff>190500</xdr:rowOff>
    </xdr:from>
    <xdr:to>
      <xdr:col>4</xdr:col>
      <xdr:colOff>123825</xdr:colOff>
      <xdr:row>148</xdr:row>
      <xdr:rowOff>190500</xdr:rowOff>
    </xdr:to>
    <xdr:sp macro="" textlink="">
      <xdr:nvSpPr>
        <xdr:cNvPr id="6" name="Triângulo isósceles 5"/>
        <xdr:cNvSpPr/>
      </xdr:nvSpPr>
      <xdr:spPr>
        <a:xfrm>
          <a:off x="3267075" y="28565475"/>
          <a:ext cx="238125" cy="209550"/>
        </a:xfrm>
        <a:prstGeom prst="triangle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pt-BR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590550</xdr:colOff>
      <xdr:row>147</xdr:row>
      <xdr:rowOff>190500</xdr:rowOff>
    </xdr:from>
    <xdr:to>
      <xdr:col>7</xdr:col>
      <xdr:colOff>114300</xdr:colOff>
      <xdr:row>148</xdr:row>
      <xdr:rowOff>190500</xdr:rowOff>
    </xdr:to>
    <xdr:sp macro="" textlink="">
      <xdr:nvSpPr>
        <xdr:cNvPr id="7" name="Triângulo isósceles 6"/>
        <xdr:cNvSpPr/>
      </xdr:nvSpPr>
      <xdr:spPr>
        <a:xfrm>
          <a:off x="4943475" y="28565475"/>
          <a:ext cx="238125" cy="209550"/>
        </a:xfrm>
        <a:prstGeom prst="triangle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pt-BR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219075</xdr:colOff>
      <xdr:row>152</xdr:row>
      <xdr:rowOff>190500</xdr:rowOff>
    </xdr:from>
    <xdr:to>
      <xdr:col>4</xdr:col>
      <xdr:colOff>123825</xdr:colOff>
      <xdr:row>153</xdr:row>
      <xdr:rowOff>190500</xdr:rowOff>
    </xdr:to>
    <xdr:sp macro="" textlink="">
      <xdr:nvSpPr>
        <xdr:cNvPr id="8" name="Triângulo isósceles 7"/>
        <xdr:cNvSpPr/>
      </xdr:nvSpPr>
      <xdr:spPr>
        <a:xfrm>
          <a:off x="3267075" y="29403675"/>
          <a:ext cx="238125" cy="209550"/>
        </a:xfrm>
        <a:prstGeom prst="triangle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pt-BR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590550</xdr:colOff>
      <xdr:row>152</xdr:row>
      <xdr:rowOff>190500</xdr:rowOff>
    </xdr:from>
    <xdr:to>
      <xdr:col>7</xdr:col>
      <xdr:colOff>114300</xdr:colOff>
      <xdr:row>153</xdr:row>
      <xdr:rowOff>190500</xdr:rowOff>
    </xdr:to>
    <xdr:sp macro="" textlink="">
      <xdr:nvSpPr>
        <xdr:cNvPr id="10" name="Triângulo isósceles 9"/>
        <xdr:cNvSpPr/>
      </xdr:nvSpPr>
      <xdr:spPr>
        <a:xfrm>
          <a:off x="4943475" y="29403675"/>
          <a:ext cx="238125" cy="209550"/>
        </a:xfrm>
        <a:prstGeom prst="triangle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pt-BR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219075</xdr:colOff>
      <xdr:row>161</xdr:row>
      <xdr:rowOff>190500</xdr:rowOff>
    </xdr:from>
    <xdr:to>
      <xdr:col>4</xdr:col>
      <xdr:colOff>123825</xdr:colOff>
      <xdr:row>162</xdr:row>
      <xdr:rowOff>190500</xdr:rowOff>
    </xdr:to>
    <xdr:sp macro="" textlink="">
      <xdr:nvSpPr>
        <xdr:cNvPr id="11" name="Triângulo isósceles 10"/>
        <xdr:cNvSpPr/>
      </xdr:nvSpPr>
      <xdr:spPr>
        <a:xfrm>
          <a:off x="3314700" y="28565475"/>
          <a:ext cx="238125" cy="209550"/>
        </a:xfrm>
        <a:prstGeom prst="triangle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pt-BR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590550</xdr:colOff>
      <xdr:row>161</xdr:row>
      <xdr:rowOff>190500</xdr:rowOff>
    </xdr:from>
    <xdr:to>
      <xdr:col>7</xdr:col>
      <xdr:colOff>114300</xdr:colOff>
      <xdr:row>162</xdr:row>
      <xdr:rowOff>190500</xdr:rowOff>
    </xdr:to>
    <xdr:sp macro="" textlink="">
      <xdr:nvSpPr>
        <xdr:cNvPr id="12" name="Triângulo isósceles 11"/>
        <xdr:cNvSpPr/>
      </xdr:nvSpPr>
      <xdr:spPr>
        <a:xfrm>
          <a:off x="5114925" y="28565475"/>
          <a:ext cx="238125" cy="209550"/>
        </a:xfrm>
        <a:prstGeom prst="triangle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pt-BR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219075</xdr:colOff>
      <xdr:row>168</xdr:row>
      <xdr:rowOff>190500</xdr:rowOff>
    </xdr:from>
    <xdr:to>
      <xdr:col>4</xdr:col>
      <xdr:colOff>123825</xdr:colOff>
      <xdr:row>169</xdr:row>
      <xdr:rowOff>190500</xdr:rowOff>
    </xdr:to>
    <xdr:sp macro="" textlink="">
      <xdr:nvSpPr>
        <xdr:cNvPr id="13" name="Triângulo isósceles 12"/>
        <xdr:cNvSpPr/>
      </xdr:nvSpPr>
      <xdr:spPr>
        <a:xfrm>
          <a:off x="3314700" y="29270325"/>
          <a:ext cx="238125" cy="209550"/>
        </a:xfrm>
        <a:prstGeom prst="triangle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pt-BR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590550</xdr:colOff>
      <xdr:row>168</xdr:row>
      <xdr:rowOff>190500</xdr:rowOff>
    </xdr:from>
    <xdr:to>
      <xdr:col>7</xdr:col>
      <xdr:colOff>114300</xdr:colOff>
      <xdr:row>169</xdr:row>
      <xdr:rowOff>190500</xdr:rowOff>
    </xdr:to>
    <xdr:sp macro="" textlink="">
      <xdr:nvSpPr>
        <xdr:cNvPr id="14" name="Triângulo isósceles 13"/>
        <xdr:cNvSpPr/>
      </xdr:nvSpPr>
      <xdr:spPr>
        <a:xfrm>
          <a:off x="5114925" y="29270325"/>
          <a:ext cx="238125" cy="209550"/>
        </a:xfrm>
        <a:prstGeom prst="triangle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pt-BR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219075</xdr:colOff>
      <xdr:row>147</xdr:row>
      <xdr:rowOff>190500</xdr:rowOff>
    </xdr:from>
    <xdr:to>
      <xdr:col>4</xdr:col>
      <xdr:colOff>123825</xdr:colOff>
      <xdr:row>148</xdr:row>
      <xdr:rowOff>190500</xdr:rowOff>
    </xdr:to>
    <xdr:sp macro="" textlink="">
      <xdr:nvSpPr>
        <xdr:cNvPr id="17" name="Triângulo isósceles 16"/>
        <xdr:cNvSpPr/>
      </xdr:nvSpPr>
      <xdr:spPr>
        <a:xfrm>
          <a:off x="3314700" y="33604200"/>
          <a:ext cx="238125" cy="209550"/>
        </a:xfrm>
        <a:prstGeom prst="triangle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pt-BR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590550</xdr:colOff>
      <xdr:row>147</xdr:row>
      <xdr:rowOff>190500</xdr:rowOff>
    </xdr:from>
    <xdr:to>
      <xdr:col>7</xdr:col>
      <xdr:colOff>114300</xdr:colOff>
      <xdr:row>148</xdr:row>
      <xdr:rowOff>190500</xdr:rowOff>
    </xdr:to>
    <xdr:sp macro="" textlink="">
      <xdr:nvSpPr>
        <xdr:cNvPr id="18" name="Triângulo isósceles 17"/>
        <xdr:cNvSpPr/>
      </xdr:nvSpPr>
      <xdr:spPr>
        <a:xfrm>
          <a:off x="5114925" y="33604200"/>
          <a:ext cx="238125" cy="209550"/>
        </a:xfrm>
        <a:prstGeom prst="triangle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pt-BR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219075</xdr:colOff>
      <xdr:row>2</xdr:row>
      <xdr:rowOff>190500</xdr:rowOff>
    </xdr:from>
    <xdr:to>
      <xdr:col>4</xdr:col>
      <xdr:colOff>123825</xdr:colOff>
      <xdr:row>3</xdr:row>
      <xdr:rowOff>190500</xdr:rowOff>
    </xdr:to>
    <xdr:sp macro="" textlink="">
      <xdr:nvSpPr>
        <xdr:cNvPr id="19" name="Triângulo isósceles 18"/>
        <xdr:cNvSpPr/>
      </xdr:nvSpPr>
      <xdr:spPr>
        <a:xfrm>
          <a:off x="3314700" y="609600"/>
          <a:ext cx="238125" cy="209550"/>
        </a:xfrm>
        <a:prstGeom prst="triangle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pt-BR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590550</xdr:colOff>
      <xdr:row>2</xdr:row>
      <xdr:rowOff>190500</xdr:rowOff>
    </xdr:from>
    <xdr:to>
      <xdr:col>7</xdr:col>
      <xdr:colOff>114300</xdr:colOff>
      <xdr:row>3</xdr:row>
      <xdr:rowOff>190500</xdr:rowOff>
    </xdr:to>
    <xdr:sp macro="" textlink="">
      <xdr:nvSpPr>
        <xdr:cNvPr id="20" name="Triângulo isósceles 19"/>
        <xdr:cNvSpPr/>
      </xdr:nvSpPr>
      <xdr:spPr>
        <a:xfrm>
          <a:off x="5114925" y="609600"/>
          <a:ext cx="238125" cy="209550"/>
        </a:xfrm>
        <a:prstGeom prst="triangle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pt-BR" sz="1100">
            <a:solidFill>
              <a:sysClr val="windowText" lastClr="000000"/>
            </a:solidFill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11</xdr:row>
          <xdr:rowOff>200025</xdr:rowOff>
        </xdr:from>
        <xdr:to>
          <xdr:col>0</xdr:col>
          <xdr:colOff>1933575</xdr:colOff>
          <xdr:row>12</xdr:row>
          <xdr:rowOff>180975</xdr:rowOff>
        </xdr:to>
        <xdr:sp macro="" textlink="">
          <xdr:nvSpPr>
            <xdr:cNvPr id="3073" name="Drop Down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31</xdr:row>
          <xdr:rowOff>38100</xdr:rowOff>
        </xdr:from>
        <xdr:to>
          <xdr:col>3</xdr:col>
          <xdr:colOff>304800</xdr:colOff>
          <xdr:row>34</xdr:row>
          <xdr:rowOff>171450</xdr:rowOff>
        </xdr:to>
        <xdr:pic>
          <xdr:nvPicPr>
            <xdr:cNvPr id="3076" name="Picture 4"/>
            <xdr:cNvPicPr>
              <a:picLocks noChangeAspect="1" noChangeArrowheads="1"/>
              <a:extLst>
                <a:ext uri="{84589F7E-364E-4C9E-8A38-B11213B215E9}">
                  <a14:cameraTool cellRange="FOTOS" spid="_x0000_s3271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19050" y="6429375"/>
              <a:ext cx="3381375" cy="76200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11</xdr:row>
          <xdr:rowOff>180975</xdr:rowOff>
        </xdr:from>
        <xdr:to>
          <xdr:col>8</xdr:col>
          <xdr:colOff>161925</xdr:colOff>
          <xdr:row>12</xdr:row>
          <xdr:rowOff>171450</xdr:rowOff>
        </xdr:to>
        <xdr:sp macro="" textlink="">
          <xdr:nvSpPr>
            <xdr:cNvPr id="3077" name="Drop Down 5" hidden="1">
              <a:extLst>
                <a:ext uri="{63B3BB69-23CF-44E3-9099-C40C66FF867C}">
                  <a14:compatExt spid="_x0000_s30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12</xdr:row>
          <xdr:rowOff>180975</xdr:rowOff>
        </xdr:from>
        <xdr:to>
          <xdr:col>8</xdr:col>
          <xdr:colOff>161925</xdr:colOff>
          <xdr:row>13</xdr:row>
          <xdr:rowOff>171450</xdr:rowOff>
        </xdr:to>
        <xdr:sp macro="" textlink="">
          <xdr:nvSpPr>
            <xdr:cNvPr id="3078" name="Drop Down 6" hidden="1">
              <a:extLst>
                <a:ext uri="{63B3BB69-23CF-44E3-9099-C40C66FF867C}">
                  <a14:compatExt spid="_x0000_s30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13</xdr:row>
          <xdr:rowOff>180975</xdr:rowOff>
        </xdr:from>
        <xdr:to>
          <xdr:col>8</xdr:col>
          <xdr:colOff>161925</xdr:colOff>
          <xdr:row>14</xdr:row>
          <xdr:rowOff>171450</xdr:rowOff>
        </xdr:to>
        <xdr:sp macro="" textlink="">
          <xdr:nvSpPr>
            <xdr:cNvPr id="3079" name="Drop Down 7" hidden="1">
              <a:extLst>
                <a:ext uri="{63B3BB69-23CF-44E3-9099-C40C66FF867C}">
                  <a14:compatExt spid="_x0000_s30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61</xdr:row>
          <xdr:rowOff>9525</xdr:rowOff>
        </xdr:from>
        <xdr:to>
          <xdr:col>0</xdr:col>
          <xdr:colOff>1933575</xdr:colOff>
          <xdr:row>61</xdr:row>
          <xdr:rowOff>200025</xdr:rowOff>
        </xdr:to>
        <xdr:sp macro="" textlink="">
          <xdr:nvSpPr>
            <xdr:cNvPr id="3081" name="Drop Down 9" hidden="1">
              <a:extLst>
                <a:ext uri="{63B3BB69-23CF-44E3-9099-C40C66FF867C}">
                  <a14:compatExt spid="_x0000_s30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9525</xdr:colOff>
          <xdr:row>62</xdr:row>
          <xdr:rowOff>9525</xdr:rowOff>
        </xdr:from>
        <xdr:to>
          <xdr:col>3</xdr:col>
          <xdr:colOff>323850</xdr:colOff>
          <xdr:row>63</xdr:row>
          <xdr:rowOff>0</xdr:rowOff>
        </xdr:to>
        <xdr:sp macro="" textlink="">
          <xdr:nvSpPr>
            <xdr:cNvPr id="3082" name="Spinner 10" hidden="1">
              <a:extLst>
                <a:ext uri="{63B3BB69-23CF-44E3-9099-C40C66FF867C}">
                  <a14:compatExt spid="_x0000_s30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9525</xdr:colOff>
          <xdr:row>63</xdr:row>
          <xdr:rowOff>9525</xdr:rowOff>
        </xdr:from>
        <xdr:to>
          <xdr:col>3</xdr:col>
          <xdr:colOff>323850</xdr:colOff>
          <xdr:row>64</xdr:row>
          <xdr:rowOff>0</xdr:rowOff>
        </xdr:to>
        <xdr:sp macro="" textlink="">
          <xdr:nvSpPr>
            <xdr:cNvPr id="3083" name="Spinner 11" hidden="1">
              <a:extLst>
                <a:ext uri="{63B3BB69-23CF-44E3-9099-C40C66FF867C}">
                  <a14:compatExt spid="_x0000_s30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9525</xdr:colOff>
          <xdr:row>62</xdr:row>
          <xdr:rowOff>9525</xdr:rowOff>
        </xdr:from>
        <xdr:to>
          <xdr:col>8</xdr:col>
          <xdr:colOff>0</xdr:colOff>
          <xdr:row>63</xdr:row>
          <xdr:rowOff>0</xdr:rowOff>
        </xdr:to>
        <xdr:sp macro="" textlink="">
          <xdr:nvSpPr>
            <xdr:cNvPr id="3087" name="Spinner 15" hidden="1">
              <a:extLst>
                <a:ext uri="{63B3BB69-23CF-44E3-9099-C40C66FF867C}">
                  <a14:compatExt spid="_x0000_s30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9525</xdr:colOff>
          <xdr:row>63</xdr:row>
          <xdr:rowOff>9525</xdr:rowOff>
        </xdr:from>
        <xdr:to>
          <xdr:col>8</xdr:col>
          <xdr:colOff>0</xdr:colOff>
          <xdr:row>64</xdr:row>
          <xdr:rowOff>0</xdr:rowOff>
        </xdr:to>
        <xdr:sp macro="" textlink="">
          <xdr:nvSpPr>
            <xdr:cNvPr id="3088" name="Spinner 16" hidden="1">
              <a:extLst>
                <a:ext uri="{63B3BB69-23CF-44E3-9099-C40C66FF867C}">
                  <a14:compatExt spid="_x0000_s30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9525</xdr:colOff>
          <xdr:row>90</xdr:row>
          <xdr:rowOff>9525</xdr:rowOff>
        </xdr:from>
        <xdr:to>
          <xdr:col>3</xdr:col>
          <xdr:colOff>323850</xdr:colOff>
          <xdr:row>91</xdr:row>
          <xdr:rowOff>0</xdr:rowOff>
        </xdr:to>
        <xdr:sp macro="" textlink="">
          <xdr:nvSpPr>
            <xdr:cNvPr id="3089" name="Spinner 17" hidden="1">
              <a:extLst>
                <a:ext uri="{63B3BB69-23CF-44E3-9099-C40C66FF867C}">
                  <a14:compatExt spid="_x0000_s30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9525</xdr:colOff>
          <xdr:row>91</xdr:row>
          <xdr:rowOff>9525</xdr:rowOff>
        </xdr:from>
        <xdr:to>
          <xdr:col>3</xdr:col>
          <xdr:colOff>323850</xdr:colOff>
          <xdr:row>92</xdr:row>
          <xdr:rowOff>0</xdr:rowOff>
        </xdr:to>
        <xdr:sp macro="" textlink="">
          <xdr:nvSpPr>
            <xdr:cNvPr id="3090" name="Spinner 18" hidden="1">
              <a:extLst>
                <a:ext uri="{63B3BB69-23CF-44E3-9099-C40C66FF867C}">
                  <a14:compatExt spid="_x0000_s30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9525</xdr:colOff>
          <xdr:row>92</xdr:row>
          <xdr:rowOff>9525</xdr:rowOff>
        </xdr:from>
        <xdr:to>
          <xdr:col>3</xdr:col>
          <xdr:colOff>323850</xdr:colOff>
          <xdr:row>93</xdr:row>
          <xdr:rowOff>0</xdr:rowOff>
        </xdr:to>
        <xdr:sp macro="" textlink="">
          <xdr:nvSpPr>
            <xdr:cNvPr id="3091" name="Spinner 19" hidden="1">
              <a:extLst>
                <a:ext uri="{63B3BB69-23CF-44E3-9099-C40C66FF867C}">
                  <a14:compatExt spid="_x0000_s30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9525</xdr:colOff>
          <xdr:row>89</xdr:row>
          <xdr:rowOff>9525</xdr:rowOff>
        </xdr:from>
        <xdr:to>
          <xdr:col>3</xdr:col>
          <xdr:colOff>323850</xdr:colOff>
          <xdr:row>90</xdr:row>
          <xdr:rowOff>0</xdr:rowOff>
        </xdr:to>
        <xdr:sp macro="" textlink="">
          <xdr:nvSpPr>
            <xdr:cNvPr id="3092" name="Spinner 20" hidden="1">
              <a:extLst>
                <a:ext uri="{63B3BB69-23CF-44E3-9099-C40C66FF867C}">
                  <a14:compatExt spid="_x0000_s30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9525</xdr:colOff>
          <xdr:row>93</xdr:row>
          <xdr:rowOff>9525</xdr:rowOff>
        </xdr:from>
        <xdr:to>
          <xdr:col>3</xdr:col>
          <xdr:colOff>323850</xdr:colOff>
          <xdr:row>94</xdr:row>
          <xdr:rowOff>0</xdr:rowOff>
        </xdr:to>
        <xdr:sp macro="" textlink="">
          <xdr:nvSpPr>
            <xdr:cNvPr id="3093" name="Spinner 21" hidden="1">
              <a:extLst>
                <a:ext uri="{63B3BB69-23CF-44E3-9099-C40C66FF867C}">
                  <a14:compatExt spid="_x0000_s30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111</xdr:row>
          <xdr:rowOff>0</xdr:rowOff>
        </xdr:from>
        <xdr:to>
          <xdr:col>1</xdr:col>
          <xdr:colOff>190500</xdr:colOff>
          <xdr:row>111</xdr:row>
          <xdr:rowOff>200025</xdr:rowOff>
        </xdr:to>
        <xdr:sp macro="" textlink="">
          <xdr:nvSpPr>
            <xdr:cNvPr id="3096" name="Drop Down 24" hidden="1">
              <a:extLst>
                <a:ext uri="{63B3BB69-23CF-44E3-9099-C40C66FF867C}">
                  <a14:compatExt spid="_x0000_s30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112</xdr:row>
          <xdr:rowOff>0</xdr:rowOff>
        </xdr:from>
        <xdr:to>
          <xdr:col>1</xdr:col>
          <xdr:colOff>190500</xdr:colOff>
          <xdr:row>112</xdr:row>
          <xdr:rowOff>200025</xdr:rowOff>
        </xdr:to>
        <xdr:sp macro="" textlink="">
          <xdr:nvSpPr>
            <xdr:cNvPr id="3097" name="Drop Down 25" hidden="1">
              <a:extLst>
                <a:ext uri="{63B3BB69-23CF-44E3-9099-C40C66FF867C}">
                  <a14:compatExt spid="_x0000_s30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113</xdr:row>
          <xdr:rowOff>0</xdr:rowOff>
        </xdr:from>
        <xdr:to>
          <xdr:col>1</xdr:col>
          <xdr:colOff>190500</xdr:colOff>
          <xdr:row>113</xdr:row>
          <xdr:rowOff>200025</xdr:rowOff>
        </xdr:to>
        <xdr:sp macro="" textlink="">
          <xdr:nvSpPr>
            <xdr:cNvPr id="3098" name="Drop Down 26" hidden="1">
              <a:extLst>
                <a:ext uri="{63B3BB69-23CF-44E3-9099-C40C66FF867C}">
                  <a14:compatExt spid="_x0000_s30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114</xdr:row>
          <xdr:rowOff>0</xdr:rowOff>
        </xdr:from>
        <xdr:to>
          <xdr:col>1</xdr:col>
          <xdr:colOff>190500</xdr:colOff>
          <xdr:row>114</xdr:row>
          <xdr:rowOff>200025</xdr:rowOff>
        </xdr:to>
        <xdr:sp macro="" textlink="">
          <xdr:nvSpPr>
            <xdr:cNvPr id="3099" name="Drop Down 27" hidden="1">
              <a:extLst>
                <a:ext uri="{63B3BB69-23CF-44E3-9099-C40C66FF867C}">
                  <a14:compatExt spid="_x0000_s30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115</xdr:row>
          <xdr:rowOff>0</xdr:rowOff>
        </xdr:from>
        <xdr:to>
          <xdr:col>1</xdr:col>
          <xdr:colOff>190500</xdr:colOff>
          <xdr:row>115</xdr:row>
          <xdr:rowOff>200025</xdr:rowOff>
        </xdr:to>
        <xdr:sp macro="" textlink="">
          <xdr:nvSpPr>
            <xdr:cNvPr id="3100" name="Drop Down 28" hidden="1">
              <a:extLst>
                <a:ext uri="{63B3BB69-23CF-44E3-9099-C40C66FF867C}">
                  <a14:compatExt spid="_x0000_s31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116</xdr:row>
          <xdr:rowOff>0</xdr:rowOff>
        </xdr:from>
        <xdr:to>
          <xdr:col>1</xdr:col>
          <xdr:colOff>190500</xdr:colOff>
          <xdr:row>116</xdr:row>
          <xdr:rowOff>200025</xdr:rowOff>
        </xdr:to>
        <xdr:sp macro="" textlink="">
          <xdr:nvSpPr>
            <xdr:cNvPr id="3101" name="Drop Down 29" hidden="1">
              <a:extLst>
                <a:ext uri="{63B3BB69-23CF-44E3-9099-C40C66FF867C}">
                  <a14:compatExt spid="_x0000_s31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117</xdr:row>
          <xdr:rowOff>0</xdr:rowOff>
        </xdr:from>
        <xdr:to>
          <xdr:col>1</xdr:col>
          <xdr:colOff>190500</xdr:colOff>
          <xdr:row>117</xdr:row>
          <xdr:rowOff>200025</xdr:rowOff>
        </xdr:to>
        <xdr:sp macro="" textlink="">
          <xdr:nvSpPr>
            <xdr:cNvPr id="3102" name="Drop Down 30" hidden="1">
              <a:extLst>
                <a:ext uri="{63B3BB69-23CF-44E3-9099-C40C66FF867C}">
                  <a14:compatExt spid="_x0000_s31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121</xdr:row>
          <xdr:rowOff>0</xdr:rowOff>
        </xdr:from>
        <xdr:to>
          <xdr:col>1</xdr:col>
          <xdr:colOff>190500</xdr:colOff>
          <xdr:row>121</xdr:row>
          <xdr:rowOff>200025</xdr:rowOff>
        </xdr:to>
        <xdr:sp macro="" textlink="">
          <xdr:nvSpPr>
            <xdr:cNvPr id="3104" name="Drop Down 32" hidden="1">
              <a:extLst>
                <a:ext uri="{63B3BB69-23CF-44E3-9099-C40C66FF867C}">
                  <a14:compatExt spid="_x0000_s31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122</xdr:row>
          <xdr:rowOff>0</xdr:rowOff>
        </xdr:from>
        <xdr:to>
          <xdr:col>1</xdr:col>
          <xdr:colOff>190500</xdr:colOff>
          <xdr:row>122</xdr:row>
          <xdr:rowOff>200025</xdr:rowOff>
        </xdr:to>
        <xdr:sp macro="" textlink="">
          <xdr:nvSpPr>
            <xdr:cNvPr id="3105" name="Drop Down 33" hidden="1">
              <a:extLst>
                <a:ext uri="{63B3BB69-23CF-44E3-9099-C40C66FF867C}">
                  <a14:compatExt spid="_x0000_s31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123</xdr:row>
          <xdr:rowOff>0</xdr:rowOff>
        </xdr:from>
        <xdr:to>
          <xdr:col>1</xdr:col>
          <xdr:colOff>190500</xdr:colOff>
          <xdr:row>123</xdr:row>
          <xdr:rowOff>200025</xdr:rowOff>
        </xdr:to>
        <xdr:sp macro="" textlink="">
          <xdr:nvSpPr>
            <xdr:cNvPr id="3106" name="Drop Down 34" hidden="1">
              <a:extLst>
                <a:ext uri="{63B3BB69-23CF-44E3-9099-C40C66FF867C}">
                  <a14:compatExt spid="_x0000_s31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124</xdr:row>
          <xdr:rowOff>0</xdr:rowOff>
        </xdr:from>
        <xdr:to>
          <xdr:col>1</xdr:col>
          <xdr:colOff>190500</xdr:colOff>
          <xdr:row>124</xdr:row>
          <xdr:rowOff>200025</xdr:rowOff>
        </xdr:to>
        <xdr:sp macro="" textlink="">
          <xdr:nvSpPr>
            <xdr:cNvPr id="3107" name="Drop Down 35" hidden="1">
              <a:extLst>
                <a:ext uri="{63B3BB69-23CF-44E3-9099-C40C66FF867C}">
                  <a14:compatExt spid="_x0000_s31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126</xdr:row>
          <xdr:rowOff>0</xdr:rowOff>
        </xdr:from>
        <xdr:to>
          <xdr:col>3</xdr:col>
          <xdr:colOff>114300</xdr:colOff>
          <xdr:row>127</xdr:row>
          <xdr:rowOff>9525</xdr:rowOff>
        </xdr:to>
        <xdr:sp macro="" textlink="">
          <xdr:nvSpPr>
            <xdr:cNvPr id="3109" name="Drop Down 37" hidden="1">
              <a:extLst>
                <a:ext uri="{63B3BB69-23CF-44E3-9099-C40C66FF867C}">
                  <a14:compatExt spid="_x0000_s3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257175</xdr:colOff>
          <xdr:row>153</xdr:row>
          <xdr:rowOff>9525</xdr:rowOff>
        </xdr:from>
        <xdr:to>
          <xdr:col>3</xdr:col>
          <xdr:colOff>66675</xdr:colOff>
          <xdr:row>154</xdr:row>
          <xdr:rowOff>19050</xdr:rowOff>
        </xdr:to>
        <xdr:sp macro="" textlink="">
          <xdr:nvSpPr>
            <xdr:cNvPr id="3110" name="Drop Down 38" hidden="1">
              <a:extLst>
                <a:ext uri="{63B3BB69-23CF-44E3-9099-C40C66FF867C}">
                  <a14:compatExt spid="_x0000_s3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495300</xdr:colOff>
          <xdr:row>153</xdr:row>
          <xdr:rowOff>9525</xdr:rowOff>
        </xdr:from>
        <xdr:to>
          <xdr:col>6</xdr:col>
          <xdr:colOff>219075</xdr:colOff>
          <xdr:row>154</xdr:row>
          <xdr:rowOff>19050</xdr:rowOff>
        </xdr:to>
        <xdr:sp macro="" textlink="">
          <xdr:nvSpPr>
            <xdr:cNvPr id="3111" name="Drop Down 39" hidden="1">
              <a:extLst>
                <a:ext uri="{63B3BB69-23CF-44E3-9099-C40C66FF867C}">
                  <a14:compatExt spid="_x0000_s3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153</xdr:row>
          <xdr:rowOff>9525</xdr:rowOff>
        </xdr:from>
        <xdr:to>
          <xdr:col>8</xdr:col>
          <xdr:colOff>742950</xdr:colOff>
          <xdr:row>154</xdr:row>
          <xdr:rowOff>19050</xdr:rowOff>
        </xdr:to>
        <xdr:sp macro="" textlink="">
          <xdr:nvSpPr>
            <xdr:cNvPr id="3112" name="Drop Down 40" hidden="1">
              <a:extLst>
                <a:ext uri="{63B3BB69-23CF-44E3-9099-C40C66FF867C}">
                  <a14:compatExt spid="_x0000_s3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1</xdr:row>
          <xdr:rowOff>0</xdr:rowOff>
        </xdr:from>
        <xdr:to>
          <xdr:col>0</xdr:col>
          <xdr:colOff>2162175</xdr:colOff>
          <xdr:row>2</xdr:row>
          <xdr:rowOff>9525</xdr:rowOff>
        </xdr:to>
        <xdr:sp macro="" textlink="">
          <xdr:nvSpPr>
            <xdr:cNvPr id="3117" name="Drop Down 45" hidden="1">
              <a:extLst>
                <a:ext uri="{63B3BB69-23CF-44E3-9099-C40C66FF867C}">
                  <a14:compatExt spid="_x0000_s3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9525</xdr:colOff>
          <xdr:row>1</xdr:row>
          <xdr:rowOff>9525</xdr:rowOff>
        </xdr:from>
        <xdr:to>
          <xdr:col>6</xdr:col>
          <xdr:colOff>323850</xdr:colOff>
          <xdr:row>2</xdr:row>
          <xdr:rowOff>0</xdr:rowOff>
        </xdr:to>
        <xdr:sp macro="" textlink="">
          <xdr:nvSpPr>
            <xdr:cNvPr id="3118" name="Spinner 46" hidden="1">
              <a:extLst>
                <a:ext uri="{63B3BB69-23CF-44E3-9099-C40C66FF867C}">
                  <a14:compatExt spid="_x0000_s3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9525</xdr:colOff>
          <xdr:row>1</xdr:row>
          <xdr:rowOff>9525</xdr:rowOff>
        </xdr:from>
        <xdr:to>
          <xdr:col>3</xdr:col>
          <xdr:colOff>323850</xdr:colOff>
          <xdr:row>2</xdr:row>
          <xdr:rowOff>0</xdr:rowOff>
        </xdr:to>
        <xdr:sp macro="" textlink="">
          <xdr:nvSpPr>
            <xdr:cNvPr id="3119" name="Spinner 47" hidden="1">
              <a:extLst>
                <a:ext uri="{63B3BB69-23CF-44E3-9099-C40C66FF867C}">
                  <a14:compatExt spid="_x0000_s3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9525</xdr:colOff>
          <xdr:row>1</xdr:row>
          <xdr:rowOff>9525</xdr:rowOff>
        </xdr:from>
        <xdr:to>
          <xdr:col>8</xdr:col>
          <xdr:colOff>0</xdr:colOff>
          <xdr:row>2</xdr:row>
          <xdr:rowOff>0</xdr:rowOff>
        </xdr:to>
        <xdr:sp macro="" textlink="">
          <xdr:nvSpPr>
            <xdr:cNvPr id="3120" name="Spinner 48" hidden="1">
              <a:extLst>
                <a:ext uri="{63B3BB69-23CF-44E3-9099-C40C66FF867C}">
                  <a14:compatExt spid="_x0000_s3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1</xdr:row>
          <xdr:rowOff>9525</xdr:rowOff>
        </xdr:from>
        <xdr:to>
          <xdr:col>10</xdr:col>
          <xdr:colOff>323850</xdr:colOff>
          <xdr:row>2</xdr:row>
          <xdr:rowOff>0</xdr:rowOff>
        </xdr:to>
        <xdr:sp macro="" textlink="">
          <xdr:nvSpPr>
            <xdr:cNvPr id="3121" name="Spinner 49" hidden="1">
              <a:extLst>
                <a:ext uri="{63B3BB69-23CF-44E3-9099-C40C66FF867C}">
                  <a14:compatExt spid="_x0000_s3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142875</xdr:colOff>
          <xdr:row>7</xdr:row>
          <xdr:rowOff>19050</xdr:rowOff>
        </xdr:from>
        <xdr:to>
          <xdr:col>10</xdr:col>
          <xdr:colOff>714375</xdr:colOff>
          <xdr:row>8</xdr:row>
          <xdr:rowOff>118325</xdr:rowOff>
        </xdr:to>
        <xdr:pic>
          <xdr:nvPicPr>
            <xdr:cNvPr id="3122" name="Picture 50"/>
            <xdr:cNvPicPr>
              <a:picLocks noChangeAspect="1" noChangeArrowheads="1"/>
              <a:extLst>
                <a:ext uri="{84589F7E-364E-4C9E-8A38-B11213B215E9}">
                  <a14:cameraTool cellRange="FOTOS" spid="_x0000_s3272"/>
                </a:ext>
              </a:extLst>
            </xdr:cNvPicPr>
          </xdr:nvPicPr>
          <xdr:blipFill>
            <a:blip xmlns:r="http://schemas.openxmlformats.org/officeDocument/2006/relationships" r:embed="rId3"/>
            <a:srcRect/>
            <a:stretch>
              <a:fillRect/>
            </a:stretch>
          </xdr:blipFill>
          <xdr:spPr bwMode="auto">
            <a:xfrm>
              <a:off x="6686550" y="1352550"/>
              <a:ext cx="1285875" cy="2897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342900</xdr:colOff>
          <xdr:row>118</xdr:row>
          <xdr:rowOff>9525</xdr:rowOff>
        </xdr:from>
        <xdr:to>
          <xdr:col>8</xdr:col>
          <xdr:colOff>657225</xdr:colOff>
          <xdr:row>118</xdr:row>
          <xdr:rowOff>209550</xdr:rowOff>
        </xdr:to>
        <xdr:sp macro="" textlink="">
          <xdr:nvSpPr>
            <xdr:cNvPr id="3124" name="Spinner 52" hidden="1">
              <a:extLst>
                <a:ext uri="{63B3BB69-23CF-44E3-9099-C40C66FF867C}">
                  <a14:compatExt spid="_x0000_s3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9525</xdr:colOff>
          <xdr:row>94</xdr:row>
          <xdr:rowOff>9525</xdr:rowOff>
        </xdr:from>
        <xdr:to>
          <xdr:col>3</xdr:col>
          <xdr:colOff>323850</xdr:colOff>
          <xdr:row>95</xdr:row>
          <xdr:rowOff>0</xdr:rowOff>
        </xdr:to>
        <xdr:sp macro="" textlink="">
          <xdr:nvSpPr>
            <xdr:cNvPr id="3125" name="Spinner 53" hidden="1">
              <a:extLst>
                <a:ext uri="{63B3BB69-23CF-44E3-9099-C40C66FF867C}">
                  <a14:compatExt spid="_x0000_s3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66675</xdr:colOff>
      <xdr:row>3</xdr:row>
      <xdr:rowOff>38100</xdr:rowOff>
    </xdr:from>
    <xdr:to>
      <xdr:col>1</xdr:col>
      <xdr:colOff>3306675</xdr:colOff>
      <xdr:row>3</xdr:row>
      <xdr:rowOff>704882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 bwMode="auto">
        <a:xfrm>
          <a:off x="638175" y="800100"/>
          <a:ext cx="3240000" cy="666782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76199</xdr:colOff>
      <xdr:row>4</xdr:row>
      <xdr:rowOff>47625</xdr:rowOff>
    </xdr:from>
    <xdr:to>
      <xdr:col>1</xdr:col>
      <xdr:colOff>3316199</xdr:colOff>
      <xdr:row>4</xdr:row>
      <xdr:rowOff>713625</xdr:rowOff>
    </xdr:to>
    <xdr:pic>
      <xdr:nvPicPr>
        <xdr:cNvPr id="4098" name="Picture 2"/>
        <xdr:cNvPicPr preferRelativeResize="0">
          <a:picLocks noChangeArrowheads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 bwMode="auto">
        <a:xfrm>
          <a:off x="647699" y="47625"/>
          <a:ext cx="3240000" cy="666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66674</xdr:colOff>
      <xdr:row>1</xdr:row>
      <xdr:rowOff>47625</xdr:rowOff>
    </xdr:from>
    <xdr:to>
      <xdr:col>1</xdr:col>
      <xdr:colOff>3306674</xdr:colOff>
      <xdr:row>1</xdr:row>
      <xdr:rowOff>713625</xdr:rowOff>
    </xdr:to>
    <xdr:pic>
      <xdr:nvPicPr>
        <xdr:cNvPr id="4099" name="Picture 3"/>
        <xdr:cNvPicPr preferRelativeResize="0">
          <a:picLocks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38174" y="1571625"/>
          <a:ext cx="3240000" cy="666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38100</xdr:colOff>
      <xdr:row>2</xdr:row>
      <xdr:rowOff>38100</xdr:rowOff>
    </xdr:from>
    <xdr:to>
      <xdr:col>1</xdr:col>
      <xdr:colOff>3314700</xdr:colOff>
      <xdr:row>2</xdr:row>
      <xdr:rowOff>723899</xdr:rowOff>
    </xdr:to>
    <xdr:pic>
      <xdr:nvPicPr>
        <xdr:cNvPr id="4103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57250" y="990600"/>
          <a:ext cx="3276600" cy="68579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47625</xdr:colOff>
      <xdr:row>7</xdr:row>
      <xdr:rowOff>38096</xdr:rowOff>
    </xdr:from>
    <xdr:to>
      <xdr:col>1</xdr:col>
      <xdr:colOff>3324228</xdr:colOff>
      <xdr:row>7</xdr:row>
      <xdr:rowOff>733424</xdr:rowOff>
    </xdr:to>
    <xdr:pic>
      <xdr:nvPicPr>
        <xdr:cNvPr id="410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 rot="16200000">
          <a:off x="2157413" y="1985958"/>
          <a:ext cx="695328" cy="327660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38100</xdr:colOff>
      <xdr:row>8</xdr:row>
      <xdr:rowOff>47625</xdr:rowOff>
    </xdr:from>
    <xdr:to>
      <xdr:col>1</xdr:col>
      <xdr:colOff>3314703</xdr:colOff>
      <xdr:row>8</xdr:row>
      <xdr:rowOff>742953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 rot="16200000">
          <a:off x="2147888" y="2757487"/>
          <a:ext cx="695328" cy="327660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38100</xdr:colOff>
      <xdr:row>9</xdr:row>
      <xdr:rowOff>38100</xdr:rowOff>
    </xdr:from>
    <xdr:to>
      <xdr:col>1</xdr:col>
      <xdr:colOff>3314703</xdr:colOff>
      <xdr:row>9</xdr:row>
      <xdr:rowOff>733428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 rot="16200000">
          <a:off x="2147888" y="3509962"/>
          <a:ext cx="695328" cy="327660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52388</xdr:colOff>
      <xdr:row>10</xdr:row>
      <xdr:rowOff>47623</xdr:rowOff>
    </xdr:from>
    <xdr:to>
      <xdr:col>1</xdr:col>
      <xdr:colOff>3333753</xdr:colOff>
      <xdr:row>10</xdr:row>
      <xdr:rowOff>723899</xdr:rowOff>
    </xdr:to>
    <xdr:pic>
      <xdr:nvPicPr>
        <xdr:cNvPr id="4105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 rot="16200000">
          <a:off x="2174083" y="4269578"/>
          <a:ext cx="676276" cy="328136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57150</xdr:colOff>
      <xdr:row>11</xdr:row>
      <xdr:rowOff>47625</xdr:rowOff>
    </xdr:from>
    <xdr:to>
      <xdr:col>1</xdr:col>
      <xdr:colOff>3338515</xdr:colOff>
      <xdr:row>11</xdr:row>
      <xdr:rowOff>723901</xdr:rowOff>
    </xdr:to>
    <xdr:pic>
      <xdr:nvPicPr>
        <xdr:cNvPr id="12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 rot="16200000">
          <a:off x="2178845" y="5031580"/>
          <a:ext cx="676276" cy="328136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57150</xdr:colOff>
      <xdr:row>12</xdr:row>
      <xdr:rowOff>47625</xdr:rowOff>
    </xdr:from>
    <xdr:to>
      <xdr:col>1</xdr:col>
      <xdr:colOff>3338515</xdr:colOff>
      <xdr:row>12</xdr:row>
      <xdr:rowOff>723901</xdr:rowOff>
    </xdr:to>
    <xdr:pic>
      <xdr:nvPicPr>
        <xdr:cNvPr id="13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 rot="16200000">
          <a:off x="2178845" y="5793580"/>
          <a:ext cx="676276" cy="328136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57150</xdr:colOff>
      <xdr:row>13</xdr:row>
      <xdr:rowOff>47625</xdr:rowOff>
    </xdr:from>
    <xdr:to>
      <xdr:col>1</xdr:col>
      <xdr:colOff>3338515</xdr:colOff>
      <xdr:row>13</xdr:row>
      <xdr:rowOff>723901</xdr:rowOff>
    </xdr:to>
    <xdr:pic>
      <xdr:nvPicPr>
        <xdr:cNvPr id="14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 rot="16200000">
          <a:off x="2178845" y="6555580"/>
          <a:ext cx="676276" cy="328136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57150</xdr:colOff>
      <xdr:row>14</xdr:row>
      <xdr:rowOff>47625</xdr:rowOff>
    </xdr:from>
    <xdr:to>
      <xdr:col>1</xdr:col>
      <xdr:colOff>3338515</xdr:colOff>
      <xdr:row>14</xdr:row>
      <xdr:rowOff>723901</xdr:rowOff>
    </xdr:to>
    <xdr:pic>
      <xdr:nvPicPr>
        <xdr:cNvPr id="15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 rot="16200000">
          <a:off x="2178845" y="7317580"/>
          <a:ext cx="676276" cy="328136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47625</xdr:colOff>
      <xdr:row>5</xdr:row>
      <xdr:rowOff>47625</xdr:rowOff>
    </xdr:from>
    <xdr:to>
      <xdr:col>1</xdr:col>
      <xdr:colOff>3341961</xdr:colOff>
      <xdr:row>5</xdr:row>
      <xdr:rowOff>695325</xdr:rowOff>
    </xdr:to>
    <xdr:pic>
      <xdr:nvPicPr>
        <xdr:cNvPr id="4106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866775" y="9382125"/>
          <a:ext cx="3294336" cy="6477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47625</xdr:colOff>
      <xdr:row>6</xdr:row>
      <xdr:rowOff>38100</xdr:rowOff>
    </xdr:from>
    <xdr:to>
      <xdr:col>1</xdr:col>
      <xdr:colOff>3333750</xdr:colOff>
      <xdr:row>6</xdr:row>
      <xdr:rowOff>704850</xdr:rowOff>
    </xdr:to>
    <xdr:pic>
      <xdr:nvPicPr>
        <xdr:cNvPr id="614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 bwMode="auto">
        <a:xfrm>
          <a:off x="866775" y="4038600"/>
          <a:ext cx="3286125" cy="6667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28575</xdr:colOff>
      <xdr:row>1</xdr:row>
      <xdr:rowOff>146968</xdr:rowOff>
    </xdr:from>
    <xdr:to>
      <xdr:col>4</xdr:col>
      <xdr:colOff>600075</xdr:colOff>
      <xdr:row>1</xdr:row>
      <xdr:rowOff>628650</xdr:rowOff>
    </xdr:to>
    <xdr:pic>
      <xdr:nvPicPr>
        <xdr:cNvPr id="16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5781675" y="337468"/>
          <a:ext cx="571500" cy="481682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14305</xdr:colOff>
      <xdr:row>2</xdr:row>
      <xdr:rowOff>57150</xdr:rowOff>
    </xdr:from>
    <xdr:to>
      <xdr:col>4</xdr:col>
      <xdr:colOff>571501</xdr:colOff>
      <xdr:row>2</xdr:row>
      <xdr:rowOff>735538</xdr:rowOff>
    </xdr:to>
    <xdr:pic>
      <xdr:nvPicPr>
        <xdr:cNvPr id="1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/>
        <a:stretch>
          <a:fillRect/>
        </a:stretch>
      </xdr:blipFill>
      <xdr:spPr bwMode="auto">
        <a:xfrm>
          <a:off x="5767405" y="1009650"/>
          <a:ext cx="557196" cy="678388"/>
        </a:xfrm>
        <a:prstGeom prst="rect">
          <a:avLst/>
        </a:prstGeom>
        <a:noFill/>
        <a:ln w="317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29" Type="http://schemas.openxmlformats.org/officeDocument/2006/relationships/ctrlProp" Target="../ctrlProps/ctrlProp26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31" Type="http://schemas.openxmlformats.org/officeDocument/2006/relationships/ctrlProp" Target="../ctrlProps/ctrlProp28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1">
    <tabColor theme="9" tint="-0.499984740745262"/>
  </sheetPr>
  <dimension ref="A1:Q192"/>
  <sheetViews>
    <sheetView workbookViewId="0">
      <pane ySplit="9" topLeftCell="A106" activePane="bottomLeft" state="frozen"/>
      <selection pane="bottomLeft" activeCell="G120" sqref="G120:H120"/>
    </sheetView>
  </sheetViews>
  <sheetFormatPr defaultRowHeight="16.5" x14ac:dyDescent="0.3"/>
  <cols>
    <col min="1" max="1" width="33" customWidth="1"/>
    <col min="2" max="2" width="5.28515625" bestFit="1" customWidth="1"/>
    <col min="3" max="3" width="8.140625" style="1" bestFit="1" customWidth="1"/>
    <col min="4" max="4" width="5" bestFit="1" customWidth="1"/>
    <col min="5" max="5" width="11" bestFit="1" customWidth="1"/>
    <col min="6" max="6" width="5.42578125" bestFit="1" customWidth="1"/>
    <col min="7" max="7" width="10.7109375" bestFit="1" customWidth="1"/>
    <col min="8" max="8" width="4.85546875" customWidth="1"/>
    <col min="9" max="9" width="14.7109375" bestFit="1" customWidth="1"/>
    <col min="10" max="10" width="10.7109375" customWidth="1"/>
    <col min="11" max="11" width="13.42578125" bestFit="1" customWidth="1"/>
    <col min="12" max="12" width="15.140625" bestFit="1" customWidth="1"/>
    <col min="13" max="13" width="15.140625" style="98" bestFit="1" customWidth="1"/>
    <col min="14" max="14" width="11.140625" customWidth="1"/>
  </cols>
  <sheetData>
    <row r="1" spans="1:11" ht="15.6" customHeight="1" thickTop="1" x14ac:dyDescent="0.3">
      <c r="A1" s="164" t="s">
        <v>392</v>
      </c>
      <c r="B1" s="330" t="s">
        <v>369</v>
      </c>
      <c r="C1" s="359"/>
      <c r="D1" s="360"/>
      <c r="E1" s="330" t="s">
        <v>370</v>
      </c>
      <c r="F1" s="359"/>
      <c r="G1" s="360"/>
      <c r="H1" s="330" t="s">
        <v>371</v>
      </c>
      <c r="I1" s="360"/>
      <c r="J1" s="330" t="s">
        <v>393</v>
      </c>
      <c r="K1" s="331"/>
    </row>
    <row r="2" spans="1:11" ht="15.6" customHeight="1" thickBot="1" x14ac:dyDescent="0.35">
      <c r="A2" s="165"/>
      <c r="B2" s="357">
        <f>$E$91</f>
        <v>0</v>
      </c>
      <c r="C2" s="358"/>
      <c r="D2" s="157"/>
      <c r="E2" s="357">
        <f>$E$90</f>
        <v>2</v>
      </c>
      <c r="F2" s="358"/>
      <c r="G2" s="163"/>
      <c r="H2" s="158"/>
      <c r="I2" s="159">
        <f>$E$92</f>
        <v>0</v>
      </c>
      <c r="J2" s="160">
        <f>B94</f>
        <v>50</v>
      </c>
      <c r="K2" s="166"/>
    </row>
    <row r="3" spans="1:11" ht="15.6" customHeight="1" x14ac:dyDescent="0.3">
      <c r="A3" s="167" t="str">
        <f>B77</f>
        <v>Retangular Simples</v>
      </c>
      <c r="B3" s="332" t="str">
        <f>IF(OR(B5&gt;1,E5&gt;1,H5&gt;1,D6&gt;1,G6&gt;1,B7&gt;1,E7&gt;1,H7&gt;1,B8&gt;1,E8&gt;1,H8&gt;1),"A PEÇA NÃO ESTÁ OK!","A PEÇA ESTÁ OK!")</f>
        <v>A PEÇA ESTÁ OK!</v>
      </c>
      <c r="C3" s="332"/>
      <c r="D3" s="332"/>
      <c r="E3" s="332"/>
      <c r="F3" s="332"/>
      <c r="G3" s="332"/>
      <c r="H3" s="332"/>
      <c r="I3" s="333"/>
      <c r="J3" s="342" t="s">
        <v>401</v>
      </c>
      <c r="K3" s="343"/>
    </row>
    <row r="4" spans="1:11" ht="15.6" customHeight="1" thickBot="1" x14ac:dyDescent="0.35">
      <c r="A4" s="168" t="s">
        <v>399</v>
      </c>
      <c r="B4" s="339">
        <f>B153</f>
        <v>0</v>
      </c>
      <c r="C4" s="339"/>
      <c r="D4" s="339"/>
      <c r="E4" s="339">
        <f>E153</f>
        <v>0.23690598497783485</v>
      </c>
      <c r="F4" s="339"/>
      <c r="G4" s="339"/>
      <c r="H4" s="339">
        <f>H153</f>
        <v>0</v>
      </c>
      <c r="I4" s="339"/>
      <c r="J4" s="340">
        <f>G134</f>
        <v>140.44999999999999</v>
      </c>
      <c r="K4" s="341"/>
    </row>
    <row r="5" spans="1:11" ht="15.6" customHeight="1" x14ac:dyDescent="0.3">
      <c r="A5" s="169" t="s">
        <v>394</v>
      </c>
      <c r="B5" s="334">
        <f>IF(B156="",0,B156)</f>
        <v>0</v>
      </c>
      <c r="C5" s="335"/>
      <c r="D5" s="335"/>
      <c r="E5" s="334">
        <f>IF(E156="",0,E156)</f>
        <v>0.41458547371121102</v>
      </c>
      <c r="F5" s="335"/>
      <c r="G5" s="335"/>
      <c r="H5" s="334">
        <f>IF(H156="",0,H156)</f>
        <v>0</v>
      </c>
      <c r="I5" s="336"/>
      <c r="J5" s="342" t="s">
        <v>400</v>
      </c>
      <c r="K5" s="343"/>
    </row>
    <row r="6" spans="1:11" ht="15.6" customHeight="1" x14ac:dyDescent="0.3">
      <c r="A6" s="169" t="s">
        <v>397</v>
      </c>
      <c r="B6" s="162"/>
      <c r="C6" s="162"/>
      <c r="D6" s="337">
        <f>IF(D167="",0,D167)</f>
        <v>0.26046701529961996</v>
      </c>
      <c r="E6" s="338"/>
      <c r="F6" s="162"/>
      <c r="G6" s="337">
        <f>IF(G167="",0,G167)</f>
        <v>0.26046701529961996</v>
      </c>
      <c r="H6" s="338"/>
      <c r="I6" s="162"/>
      <c r="J6" s="344">
        <f>LARGE(G130:H132,1)</f>
        <v>363.58500000000004</v>
      </c>
      <c r="K6" s="345"/>
    </row>
    <row r="7" spans="1:11" ht="15.6" customHeight="1" thickBot="1" x14ac:dyDescent="0.35">
      <c r="A7" s="169" t="s">
        <v>395</v>
      </c>
      <c r="B7" s="334">
        <f>IF(B177="",0,B177)</f>
        <v>0</v>
      </c>
      <c r="C7" s="335"/>
      <c r="D7" s="335"/>
      <c r="E7" s="334">
        <f>IF(E177="",0,E177)</f>
        <v>0.55250579002949685</v>
      </c>
      <c r="F7" s="335"/>
      <c r="G7" s="335"/>
      <c r="H7" s="334">
        <f>IF(H177="",0,H177)</f>
        <v>0</v>
      </c>
      <c r="I7" s="336"/>
      <c r="J7" s="346">
        <f>IF(G132&lt;0,SMALL($G130:$H132,1),0)</f>
        <v>0</v>
      </c>
      <c r="K7" s="347"/>
    </row>
    <row r="8" spans="1:11" ht="15.6" customHeight="1" x14ac:dyDescent="0.3">
      <c r="A8" s="169" t="s">
        <v>396</v>
      </c>
      <c r="B8" s="334">
        <f>IF(B178="",0,B178)</f>
        <v>0</v>
      </c>
      <c r="C8" s="335"/>
      <c r="D8" s="335"/>
      <c r="E8" s="334">
        <f>IF(E178="",0,E178)</f>
        <v>0.49725521102654713</v>
      </c>
      <c r="F8" s="335"/>
      <c r="G8" s="335"/>
      <c r="H8" s="334">
        <f>IF(H178="",0,H178)</f>
        <v>0</v>
      </c>
      <c r="I8" s="335"/>
      <c r="J8" s="161"/>
      <c r="K8" s="170"/>
    </row>
    <row r="9" spans="1:11" ht="15.6" customHeight="1" thickBot="1" x14ac:dyDescent="0.35">
      <c r="A9" s="171" t="s">
        <v>398</v>
      </c>
      <c r="B9" s="361">
        <f>B185</f>
        <v>2.5728730331701057</v>
      </c>
      <c r="C9" s="361"/>
      <c r="D9" s="361"/>
      <c r="E9" s="362">
        <f>IF(G185="",0,G185)</f>
        <v>0.77734111797026628</v>
      </c>
      <c r="F9" s="363"/>
      <c r="G9" s="363"/>
      <c r="H9" s="364">
        <f>L187</f>
        <v>2.876559499822215</v>
      </c>
      <c r="I9" s="364"/>
      <c r="J9" s="172"/>
      <c r="K9" s="173"/>
    </row>
    <row r="10" spans="1:11" ht="19.5" thickTop="1" x14ac:dyDescent="0.4">
      <c r="A10" s="475" t="s">
        <v>136</v>
      </c>
      <c r="B10" s="475"/>
      <c r="C10" s="475"/>
      <c r="D10" s="475"/>
      <c r="E10" s="475"/>
      <c r="F10" s="475"/>
      <c r="G10" s="475"/>
      <c r="H10" s="475"/>
      <c r="I10" s="83">
        <v>1</v>
      </c>
    </row>
    <row r="11" spans="1:11" ht="17.25" thickBot="1" x14ac:dyDescent="0.35">
      <c r="A11" s="138" t="s">
        <v>137</v>
      </c>
    </row>
    <row r="12" spans="1:11" x14ac:dyDescent="0.3">
      <c r="A12" s="421" t="s">
        <v>42</v>
      </c>
      <c r="B12" s="422"/>
      <c r="C12" s="422"/>
      <c r="D12" s="423"/>
      <c r="E12" s="421" t="s">
        <v>130</v>
      </c>
      <c r="F12" s="422"/>
      <c r="G12" s="422"/>
      <c r="H12" s="422"/>
      <c r="I12" s="423"/>
    </row>
    <row r="13" spans="1:11" x14ac:dyDescent="0.3">
      <c r="A13" s="30">
        <v>6</v>
      </c>
      <c r="B13" s="441" t="str">
        <f>LOOKUP(A13,MATERIAIS!A4:T103,MATERIAIS!B4:B103)</f>
        <v>NBR7190-D40</v>
      </c>
      <c r="C13" s="441"/>
      <c r="D13" s="442"/>
      <c r="E13" s="50" t="s">
        <v>106</v>
      </c>
      <c r="F13" s="12"/>
      <c r="G13" s="12"/>
      <c r="H13" s="49">
        <v>2</v>
      </c>
      <c r="I13" s="51">
        <f>LOOKUP(H13,TABELAS!B2:D7,TABELAS!D2:D7)</f>
        <v>0.7</v>
      </c>
    </row>
    <row r="14" spans="1:11" x14ac:dyDescent="0.3">
      <c r="A14" s="25" t="s">
        <v>67</v>
      </c>
      <c r="B14" s="427" t="str">
        <f>LOOKUP(A13,MATERIAIS!A4:T103,MATERIAIS!T4:T103)</f>
        <v>NBR7190-D40</v>
      </c>
      <c r="C14" s="427"/>
      <c r="D14" s="428"/>
      <c r="E14" s="50" t="s">
        <v>107</v>
      </c>
      <c r="F14" s="12"/>
      <c r="G14" s="12"/>
      <c r="H14" s="49">
        <v>2</v>
      </c>
      <c r="I14" s="51">
        <f>LOOKUP(H14,TABELAS!B9:D13,TABELAS!D9:D13)</f>
        <v>1</v>
      </c>
    </row>
    <row r="15" spans="1:11" x14ac:dyDescent="0.3">
      <c r="A15" s="26" t="s">
        <v>1</v>
      </c>
      <c r="B15" s="27" t="s">
        <v>43</v>
      </c>
      <c r="C15" s="82">
        <f>LOOKUP(A13,MATERIAIS!A4:S103,MATERIAIS!C4:C103)</f>
        <v>19500</v>
      </c>
      <c r="D15" s="28" t="s">
        <v>5</v>
      </c>
      <c r="E15" s="50" t="s">
        <v>108</v>
      </c>
      <c r="F15" s="12"/>
      <c r="G15" s="12"/>
      <c r="H15" s="49">
        <v>2</v>
      </c>
      <c r="I15" s="51">
        <f>LOOKUP(H15,TABELAS!B15:D20,TABELAS!D15:D20)</f>
        <v>0.8</v>
      </c>
    </row>
    <row r="16" spans="1:11" x14ac:dyDescent="0.3">
      <c r="A16" s="26" t="s">
        <v>123</v>
      </c>
      <c r="B16" s="27" t="s">
        <v>44</v>
      </c>
      <c r="C16" s="82">
        <f>LOOKUP(A13,MATERIAIS!A4:S103,MATERIAIS!D4:D103)</f>
        <v>975</v>
      </c>
      <c r="D16" s="28" t="s">
        <v>5</v>
      </c>
      <c r="E16" s="448" t="s">
        <v>109</v>
      </c>
      <c r="F16" s="372"/>
      <c r="G16" s="372"/>
      <c r="H16" s="372"/>
      <c r="I16" s="57">
        <f>I13*I14*I15</f>
        <v>0.55999999999999994</v>
      </c>
      <c r="K16" s="2"/>
    </row>
    <row r="17" spans="1:9" x14ac:dyDescent="0.3">
      <c r="A17" s="26" t="s">
        <v>54</v>
      </c>
      <c r="B17" s="27" t="s">
        <v>60</v>
      </c>
      <c r="C17" s="82">
        <f>LOOKUP(A13,MATERIAIS!A4:S103,MATERIAIS!E4:E103)</f>
        <v>950</v>
      </c>
      <c r="D17" s="28" t="s">
        <v>7</v>
      </c>
      <c r="E17" s="454" t="s">
        <v>110</v>
      </c>
      <c r="F17" s="455"/>
      <c r="G17" s="455"/>
      <c r="H17" s="455"/>
      <c r="I17" s="456"/>
    </row>
    <row r="18" spans="1:9" x14ac:dyDescent="0.3">
      <c r="A18" s="26" t="s">
        <v>2</v>
      </c>
      <c r="B18" s="27" t="s">
        <v>61</v>
      </c>
      <c r="C18" s="319">
        <f>LOOKUP(A13,MATERIAIS!A4:S103,MATERIAIS!F4:F103)</f>
        <v>4.9999999999999996E-6</v>
      </c>
      <c r="D18" s="28" t="s">
        <v>6</v>
      </c>
      <c r="E18" s="52" t="s">
        <v>104</v>
      </c>
      <c r="F18" s="48"/>
      <c r="G18" s="7"/>
      <c r="H18" s="7"/>
      <c r="I18" s="93">
        <v>0</v>
      </c>
    </row>
    <row r="19" spans="1:9" x14ac:dyDescent="0.3">
      <c r="A19" s="26" t="s">
        <v>9</v>
      </c>
      <c r="B19" s="27" t="s">
        <v>45</v>
      </c>
      <c r="C19" s="82">
        <f>LOOKUP(A13,MATERIAIS!A4:S103,MATERIAIS!G4:G103)</f>
        <v>40</v>
      </c>
      <c r="D19" s="28" t="s">
        <v>5</v>
      </c>
      <c r="E19" s="58" t="s">
        <v>105</v>
      </c>
      <c r="F19" s="55"/>
      <c r="G19" s="55"/>
      <c r="H19" s="55"/>
      <c r="I19" s="93">
        <v>0</v>
      </c>
    </row>
    <row r="20" spans="1:9" x14ac:dyDescent="0.3">
      <c r="A20" s="26" t="s">
        <v>10</v>
      </c>
      <c r="B20" s="27" t="s">
        <v>46</v>
      </c>
      <c r="C20" s="82">
        <f>LOOKUP(A13,MATERIAIS!A4:S103,MATERIAIS!H4:H103)</f>
        <v>57.142857142857146</v>
      </c>
      <c r="D20" s="28" t="s">
        <v>5</v>
      </c>
      <c r="E20" s="59" t="s">
        <v>115</v>
      </c>
      <c r="F20" s="36"/>
      <c r="G20" s="36"/>
      <c r="H20" s="36"/>
      <c r="I20" s="60"/>
    </row>
    <row r="21" spans="1:9" x14ac:dyDescent="0.3">
      <c r="A21" s="26" t="s">
        <v>55</v>
      </c>
      <c r="B21" s="27" t="s">
        <v>47</v>
      </c>
      <c r="C21" s="82">
        <f>LOOKUP(A13,MATERIAIS!A4:S103,MATERIAIS!I4:I103)</f>
        <v>0.1</v>
      </c>
      <c r="D21" s="28" t="s">
        <v>5</v>
      </c>
      <c r="E21" s="59" t="s">
        <v>116</v>
      </c>
      <c r="F21" s="36"/>
      <c r="G21" s="36"/>
      <c r="H21" s="36"/>
      <c r="I21" s="60"/>
    </row>
    <row r="22" spans="1:9" x14ac:dyDescent="0.3">
      <c r="A22" s="26" t="s">
        <v>14</v>
      </c>
      <c r="B22" s="27" t="s">
        <v>48</v>
      </c>
      <c r="C22" s="82">
        <f>LOOKUP(A13,MATERIAIS!A4:S103,MATERIAIS!J4:J103)</f>
        <v>40</v>
      </c>
      <c r="D22" s="28" t="s">
        <v>5</v>
      </c>
      <c r="E22" s="59" t="s">
        <v>117</v>
      </c>
      <c r="F22" s="36"/>
      <c r="G22" s="36"/>
      <c r="H22" s="36"/>
      <c r="I22" s="60"/>
    </row>
    <row r="23" spans="1:9" x14ac:dyDescent="0.3">
      <c r="A23" s="26" t="s">
        <v>15</v>
      </c>
      <c r="B23" s="27" t="s">
        <v>49</v>
      </c>
      <c r="C23" s="82">
        <f>LOOKUP(A13,MATERIAIS!A4:S103,MATERIAIS!K4:K103)</f>
        <v>10</v>
      </c>
      <c r="D23" s="28" t="s">
        <v>5</v>
      </c>
      <c r="E23" s="59" t="s">
        <v>118</v>
      </c>
      <c r="F23" s="36"/>
      <c r="G23" s="36"/>
      <c r="H23" s="36"/>
      <c r="I23" s="60"/>
    </row>
    <row r="24" spans="1:9" ht="17.25" thickBot="1" x14ac:dyDescent="0.35">
      <c r="A24" s="26" t="s">
        <v>56</v>
      </c>
      <c r="B24" s="27" t="s">
        <v>50</v>
      </c>
      <c r="C24" s="82">
        <f>LOOKUP(A13,MATERIAIS!A4:S103,MATERIAIS!L4:L103)</f>
        <v>6</v>
      </c>
      <c r="D24" s="28" t="s">
        <v>5</v>
      </c>
      <c r="E24" s="61" t="s">
        <v>119</v>
      </c>
      <c r="F24" s="62"/>
      <c r="G24" s="62"/>
      <c r="H24" s="62"/>
      <c r="I24" s="63"/>
    </row>
    <row r="25" spans="1:9" x14ac:dyDescent="0.3">
      <c r="A25" s="26" t="s">
        <v>57</v>
      </c>
      <c r="B25" s="27" t="s">
        <v>62</v>
      </c>
      <c r="C25" s="82">
        <f>LOOKUP(A13,MATERIAIS!A4:S103,MATERIAIS!M4:M103)</f>
        <v>19500</v>
      </c>
      <c r="D25" s="28" t="s">
        <v>5</v>
      </c>
      <c r="E25" s="422" t="s">
        <v>111</v>
      </c>
      <c r="F25" s="422"/>
      <c r="G25" s="422"/>
      <c r="H25" s="422"/>
      <c r="I25" s="423"/>
    </row>
    <row r="26" spans="1:9" x14ac:dyDescent="0.3">
      <c r="A26" s="26" t="s">
        <v>58</v>
      </c>
      <c r="B26" s="27" t="s">
        <v>63</v>
      </c>
      <c r="C26" s="82">
        <f>LOOKUP(A13,MATERIAIS!A4:S103,MATERIAIS!N4:N103)</f>
        <v>975</v>
      </c>
      <c r="D26" s="28" t="s">
        <v>5</v>
      </c>
      <c r="E26" s="56" t="s">
        <v>112</v>
      </c>
      <c r="F26" s="7"/>
      <c r="G26" s="7"/>
      <c r="H26" s="449" t="str">
        <f>LOOKUP(H14,TABELAS!B9:D13,TABELAS!C9:C13)</f>
        <v>II = 15%</v>
      </c>
      <c r="I26" s="450"/>
    </row>
    <row r="27" spans="1:9" x14ac:dyDescent="0.3">
      <c r="A27" s="26" t="s">
        <v>123</v>
      </c>
      <c r="B27" s="27" t="s">
        <v>64</v>
      </c>
      <c r="C27" s="82">
        <f>LOOKUP(A13,MATERIAIS!A4:S103,MATERIAIS!O4:O103)</f>
        <v>975</v>
      </c>
      <c r="D27" s="28" t="s">
        <v>5</v>
      </c>
      <c r="E27" s="56" t="s">
        <v>113</v>
      </c>
      <c r="F27" s="7"/>
      <c r="G27" s="7"/>
      <c r="H27" s="449" t="str">
        <f>LOOKUP(H13,TABELAS!B2:D7,TABELAS!C2:C7)</f>
        <v>Longa Duração</v>
      </c>
      <c r="I27" s="450"/>
    </row>
    <row r="28" spans="1:9" ht="17.25" thickBot="1" x14ac:dyDescent="0.35">
      <c r="A28" s="26" t="s">
        <v>441</v>
      </c>
      <c r="B28" s="27" t="s">
        <v>65</v>
      </c>
      <c r="C28" s="82">
        <f>LOOKUP(A13,MATERIAIS!A4:S103,MATERIAIS!P4:P103)</f>
        <v>750</v>
      </c>
      <c r="D28" s="28" t="s">
        <v>7</v>
      </c>
      <c r="E28" s="453" t="s">
        <v>114</v>
      </c>
      <c r="F28" s="453"/>
      <c r="G28" s="453"/>
      <c r="H28" s="451">
        <f>IF(I14=1,IF(I13=0.6,0.8,IF(I13=0.7,0.8,IF(I13=0.8,0.3,IF(I13=0.9,0.1,IF(I13=1.1,1,IF(I13=1,1,1)))))),IF(I14=0.8,IF(I13=0.6,2,IF(I13=0.7,2,IF(I13=0.8,1,IF(I13=0.9,0.5,IF(I13=1.1,1,IF(I13=1,1,1)))))),1))</f>
        <v>0.8</v>
      </c>
      <c r="I28" s="452"/>
    </row>
    <row r="29" spans="1:9" x14ac:dyDescent="0.3">
      <c r="A29" s="26" t="s">
        <v>57</v>
      </c>
      <c r="B29" s="27" t="s">
        <v>51</v>
      </c>
      <c r="C29" s="82">
        <f>LOOKUP(A13,MATERIAIS!A4:S103,MATERIAIS!Q4:Q103)</f>
        <v>13650</v>
      </c>
      <c r="D29" s="28" t="s">
        <v>5</v>
      </c>
      <c r="E29" s="421" t="s">
        <v>129</v>
      </c>
      <c r="F29" s="422"/>
      <c r="G29" s="422"/>
      <c r="H29" s="422"/>
      <c r="I29" s="423"/>
    </row>
    <row r="30" spans="1:9" x14ac:dyDescent="0.3">
      <c r="A30" s="26" t="s">
        <v>123</v>
      </c>
      <c r="B30" s="27" t="s">
        <v>52</v>
      </c>
      <c r="C30" s="82">
        <f>LOOKUP(A13,MATERIAIS!A4:S103,MATERIAIS!R4:R103)</f>
        <v>682.5</v>
      </c>
      <c r="D30" s="28" t="s">
        <v>5</v>
      </c>
      <c r="E30" s="53" t="s">
        <v>120</v>
      </c>
      <c r="F30" s="7"/>
      <c r="G30" s="7"/>
      <c r="H30" s="7"/>
      <c r="I30" s="8"/>
    </row>
    <row r="31" spans="1:9" x14ac:dyDescent="0.3">
      <c r="A31" s="26" t="s">
        <v>59</v>
      </c>
      <c r="B31" s="27" t="s">
        <v>53</v>
      </c>
      <c r="C31" s="82">
        <f>LOOKUP(A13,MATERIAIS!A4:S103,MATERIAIS!S4:S103)</f>
        <v>1</v>
      </c>
      <c r="D31" s="28" t="s">
        <v>5</v>
      </c>
      <c r="E31" s="64" t="s">
        <v>127</v>
      </c>
      <c r="F31" s="7"/>
      <c r="G31" s="7"/>
      <c r="H31" s="7"/>
      <c r="I31" s="51">
        <v>1.4</v>
      </c>
    </row>
    <row r="32" spans="1:9" x14ac:dyDescent="0.3">
      <c r="A32" s="443"/>
      <c r="B32" s="444"/>
      <c r="C32" s="444"/>
      <c r="D32" s="445"/>
      <c r="E32" s="64" t="s">
        <v>126</v>
      </c>
      <c r="F32" s="7"/>
      <c r="G32" s="7"/>
      <c r="H32" s="7"/>
      <c r="I32" s="51">
        <v>1.8</v>
      </c>
    </row>
    <row r="33" spans="1:9" x14ac:dyDescent="0.3">
      <c r="A33" s="446"/>
      <c r="B33" s="328"/>
      <c r="C33" s="328"/>
      <c r="D33" s="365"/>
      <c r="E33" s="64" t="s">
        <v>128</v>
      </c>
      <c r="F33" s="7"/>
      <c r="G33" s="7"/>
      <c r="H33" s="7"/>
      <c r="I33" s="51">
        <v>1.8</v>
      </c>
    </row>
    <row r="34" spans="1:9" x14ac:dyDescent="0.3">
      <c r="A34" s="446"/>
      <c r="B34" s="328"/>
      <c r="C34" s="328"/>
      <c r="D34" s="365"/>
      <c r="E34" s="64" t="s">
        <v>124</v>
      </c>
      <c r="F34" s="54">
        <v>0.7</v>
      </c>
      <c r="G34" s="372" t="s">
        <v>125</v>
      </c>
      <c r="H34" s="372"/>
      <c r="I34" s="51">
        <v>0.54</v>
      </c>
    </row>
    <row r="35" spans="1:9" x14ac:dyDescent="0.3">
      <c r="A35" s="446"/>
      <c r="B35" s="328"/>
      <c r="C35" s="328"/>
      <c r="D35" s="365"/>
      <c r="E35" s="53" t="s">
        <v>121</v>
      </c>
      <c r="F35" s="7"/>
      <c r="G35" s="7"/>
      <c r="H35" s="7"/>
      <c r="I35" s="8"/>
    </row>
    <row r="36" spans="1:9" ht="17.25" thickBot="1" x14ac:dyDescent="0.35">
      <c r="A36" s="447"/>
      <c r="B36" s="366"/>
      <c r="C36" s="366"/>
      <c r="D36" s="367"/>
      <c r="E36" s="65" t="s">
        <v>122</v>
      </c>
      <c r="F36" s="10"/>
      <c r="G36" s="10"/>
      <c r="H36" s="10"/>
      <c r="I36" s="66">
        <v>1</v>
      </c>
    </row>
    <row r="37" spans="1:9" ht="17.25" thickBot="1" x14ac:dyDescent="0.35"/>
    <row r="38" spans="1:9" x14ac:dyDescent="0.3">
      <c r="A38" s="421" t="s">
        <v>132</v>
      </c>
      <c r="B38" s="422"/>
      <c r="C38" s="422"/>
      <c r="D38" s="422"/>
      <c r="E38" s="422"/>
      <c r="F38" s="422"/>
      <c r="G38" s="422"/>
      <c r="H38" s="422"/>
      <c r="I38" s="423"/>
    </row>
    <row r="39" spans="1:9" x14ac:dyDescent="0.3">
      <c r="A39" s="105" t="s">
        <v>135</v>
      </c>
      <c r="B39" s="433" t="str">
        <f>TEXT(B13,"") &amp; " - " &amp; TEXT(B14,"")</f>
        <v>NBR7190-D40 - NBR7190-D40</v>
      </c>
      <c r="C39" s="433"/>
      <c r="D39" s="433"/>
      <c r="E39" s="433"/>
      <c r="F39" s="433"/>
      <c r="G39" s="433"/>
      <c r="H39" s="433"/>
      <c r="I39" s="434"/>
    </row>
    <row r="40" spans="1:9" x14ac:dyDescent="0.3">
      <c r="A40" s="69"/>
      <c r="B40" s="67"/>
      <c r="C40" s="431" t="s">
        <v>133</v>
      </c>
      <c r="D40" s="432"/>
      <c r="E40" s="431" t="s">
        <v>134</v>
      </c>
      <c r="F40" s="432"/>
      <c r="G40" s="431" t="s">
        <v>133</v>
      </c>
      <c r="H40" s="432"/>
      <c r="I40" s="70" t="s">
        <v>134</v>
      </c>
    </row>
    <row r="41" spans="1:9" x14ac:dyDescent="0.3">
      <c r="A41" s="25" t="s">
        <v>1</v>
      </c>
      <c r="B41" s="68" t="s">
        <v>43</v>
      </c>
      <c r="C41" s="75">
        <f>C15*I16</f>
        <v>10919.999999999998</v>
      </c>
      <c r="D41" s="78" t="s">
        <v>5</v>
      </c>
      <c r="E41" s="75">
        <f>C15*I16</f>
        <v>10919.999999999998</v>
      </c>
      <c r="F41" s="78" t="s">
        <v>5</v>
      </c>
      <c r="G41" s="429">
        <f>C41*10.197296</f>
        <v>111354.47231999997</v>
      </c>
      <c r="H41" s="430"/>
      <c r="I41" s="73">
        <f>E41*10.197296</f>
        <v>111354.47231999997</v>
      </c>
    </row>
    <row r="42" spans="1:9" x14ac:dyDescent="0.3">
      <c r="A42" s="25" t="s">
        <v>123</v>
      </c>
      <c r="B42" s="68" t="s">
        <v>44</v>
      </c>
      <c r="C42" s="75">
        <f>C16*I16</f>
        <v>546</v>
      </c>
      <c r="D42" s="78" t="s">
        <v>5</v>
      </c>
      <c r="E42" s="75">
        <f>C16*I16</f>
        <v>546</v>
      </c>
      <c r="F42" s="78" t="s">
        <v>5</v>
      </c>
      <c r="G42" s="429">
        <f>C42*10.197296</f>
        <v>5567.7236160000002</v>
      </c>
      <c r="H42" s="430"/>
      <c r="I42" s="73">
        <f>E42*10.197296</f>
        <v>5567.7236160000002</v>
      </c>
    </row>
    <row r="43" spans="1:9" x14ac:dyDescent="0.3">
      <c r="A43" s="25" t="s">
        <v>54</v>
      </c>
      <c r="B43" s="68" t="s">
        <v>60</v>
      </c>
      <c r="C43" s="75">
        <f>C17</f>
        <v>950</v>
      </c>
      <c r="D43" s="78" t="s">
        <v>7</v>
      </c>
      <c r="E43" s="75">
        <f>C17</f>
        <v>950</v>
      </c>
      <c r="F43" s="78" t="s">
        <v>7</v>
      </c>
      <c r="G43" s="435">
        <f>C43</f>
        <v>950</v>
      </c>
      <c r="H43" s="436"/>
      <c r="I43" s="76">
        <f>E43</f>
        <v>950</v>
      </c>
    </row>
    <row r="44" spans="1:9" x14ac:dyDescent="0.3">
      <c r="A44" s="25" t="s">
        <v>2</v>
      </c>
      <c r="B44" s="68" t="s">
        <v>61</v>
      </c>
      <c r="C44" s="80">
        <f>C18</f>
        <v>4.9999999999999996E-6</v>
      </c>
      <c r="D44" s="78" t="s">
        <v>6</v>
      </c>
      <c r="E44" s="80">
        <f>C18</f>
        <v>4.9999999999999996E-6</v>
      </c>
      <c r="F44" s="78" t="s">
        <v>6</v>
      </c>
      <c r="G44" s="437">
        <f>C44</f>
        <v>4.9999999999999996E-6</v>
      </c>
      <c r="H44" s="438"/>
      <c r="I44" s="77">
        <f>E44</f>
        <v>4.9999999999999996E-6</v>
      </c>
    </row>
    <row r="45" spans="1:9" x14ac:dyDescent="0.3">
      <c r="A45" s="25" t="s">
        <v>9</v>
      </c>
      <c r="B45" s="68" t="s">
        <v>45</v>
      </c>
      <c r="C45" s="75">
        <f>C19*I16/I31</f>
        <v>16</v>
      </c>
      <c r="D45" s="78" t="s">
        <v>5</v>
      </c>
      <c r="E45" s="75">
        <f>C19*I16</f>
        <v>22.4</v>
      </c>
      <c r="F45" s="78" t="s">
        <v>5</v>
      </c>
      <c r="G45" s="429">
        <f t="shared" ref="G45:G53" si="0">C45*10.197296</f>
        <v>163.156736</v>
      </c>
      <c r="H45" s="430"/>
      <c r="I45" s="73">
        <f t="shared" ref="I45:I53" si="1">E45*10.197296</f>
        <v>228.41943039999998</v>
      </c>
    </row>
    <row r="46" spans="1:9" x14ac:dyDescent="0.3">
      <c r="A46" s="25" t="s">
        <v>10</v>
      </c>
      <c r="B46" s="68" t="s">
        <v>46</v>
      </c>
      <c r="C46" s="75">
        <f>C20*I16/I32</f>
        <v>17.777777777777779</v>
      </c>
      <c r="D46" s="78" t="s">
        <v>5</v>
      </c>
      <c r="E46" s="75">
        <f>C20*I16</f>
        <v>32</v>
      </c>
      <c r="F46" s="78" t="s">
        <v>5</v>
      </c>
      <c r="G46" s="429">
        <f t="shared" si="0"/>
        <v>181.28526222222223</v>
      </c>
      <c r="H46" s="430"/>
      <c r="I46" s="73">
        <f t="shared" si="1"/>
        <v>326.31347199999999</v>
      </c>
    </row>
    <row r="47" spans="1:9" x14ac:dyDescent="0.3">
      <c r="A47" s="25" t="s">
        <v>55</v>
      </c>
      <c r="B47" s="68" t="s">
        <v>47</v>
      </c>
      <c r="C47" s="75">
        <f>C21*I16/I32</f>
        <v>3.1111111111111107E-2</v>
      </c>
      <c r="D47" s="78" t="s">
        <v>5</v>
      </c>
      <c r="E47" s="75">
        <f>C21*I16</f>
        <v>5.5999999999999994E-2</v>
      </c>
      <c r="F47" s="78" t="s">
        <v>5</v>
      </c>
      <c r="G47" s="429">
        <f t="shared" si="0"/>
        <v>0.31724920888888886</v>
      </c>
      <c r="H47" s="430"/>
      <c r="I47" s="73">
        <f t="shared" si="1"/>
        <v>0.57104857599999992</v>
      </c>
    </row>
    <row r="48" spans="1:9" x14ac:dyDescent="0.3">
      <c r="A48" s="25" t="s">
        <v>14</v>
      </c>
      <c r="B48" s="68" t="s">
        <v>48</v>
      </c>
      <c r="C48" s="75">
        <f>C22*I16/I31</f>
        <v>16</v>
      </c>
      <c r="D48" s="78" t="s">
        <v>5</v>
      </c>
      <c r="E48" s="75">
        <f>C22*I16</f>
        <v>22.4</v>
      </c>
      <c r="F48" s="78" t="s">
        <v>5</v>
      </c>
      <c r="G48" s="429">
        <f t="shared" si="0"/>
        <v>163.156736</v>
      </c>
      <c r="H48" s="430"/>
      <c r="I48" s="73">
        <f t="shared" si="1"/>
        <v>228.41943039999998</v>
      </c>
    </row>
    <row r="49" spans="1:12" x14ac:dyDescent="0.3">
      <c r="A49" s="25" t="s">
        <v>15</v>
      </c>
      <c r="B49" s="68" t="s">
        <v>49</v>
      </c>
      <c r="C49" s="75">
        <f>C23*I16/I31</f>
        <v>4</v>
      </c>
      <c r="D49" s="78" t="s">
        <v>5</v>
      </c>
      <c r="E49" s="75">
        <f>C23*I16</f>
        <v>5.6</v>
      </c>
      <c r="F49" s="78" t="s">
        <v>5</v>
      </c>
      <c r="G49" s="429">
        <f t="shared" si="0"/>
        <v>40.789183999999999</v>
      </c>
      <c r="H49" s="430"/>
      <c r="I49" s="73">
        <f t="shared" si="1"/>
        <v>57.104857599999995</v>
      </c>
    </row>
    <row r="50" spans="1:12" x14ac:dyDescent="0.3">
      <c r="A50" s="25" t="s">
        <v>56</v>
      </c>
      <c r="B50" s="68" t="s">
        <v>50</v>
      </c>
      <c r="C50" s="75">
        <f>C24*I16/I33</f>
        <v>1.8666666666666663</v>
      </c>
      <c r="D50" s="78" t="s">
        <v>5</v>
      </c>
      <c r="E50" s="75">
        <f>C24*I16</f>
        <v>3.3599999999999994</v>
      </c>
      <c r="F50" s="78" t="s">
        <v>5</v>
      </c>
      <c r="G50" s="429">
        <f t="shared" si="0"/>
        <v>19.034952533333328</v>
      </c>
      <c r="H50" s="430"/>
      <c r="I50" s="73">
        <f t="shared" si="1"/>
        <v>34.262914559999992</v>
      </c>
    </row>
    <row r="51" spans="1:12" x14ac:dyDescent="0.3">
      <c r="A51" s="25" t="s">
        <v>57</v>
      </c>
      <c r="B51" s="68" t="s">
        <v>62</v>
      </c>
      <c r="C51" s="75">
        <f>C25*I16</f>
        <v>10919.999999999998</v>
      </c>
      <c r="D51" s="78" t="s">
        <v>5</v>
      </c>
      <c r="E51" s="75">
        <f>C25*I16</f>
        <v>10919.999999999998</v>
      </c>
      <c r="F51" s="78" t="s">
        <v>5</v>
      </c>
      <c r="G51" s="429">
        <f t="shared" si="0"/>
        <v>111354.47231999997</v>
      </c>
      <c r="H51" s="430"/>
      <c r="I51" s="73">
        <f t="shared" si="1"/>
        <v>111354.47231999997</v>
      </c>
    </row>
    <row r="52" spans="1:12" x14ac:dyDescent="0.3">
      <c r="A52" s="25" t="s">
        <v>58</v>
      </c>
      <c r="B52" s="68" t="s">
        <v>63</v>
      </c>
      <c r="C52" s="75">
        <f>C26*I16</f>
        <v>546</v>
      </c>
      <c r="D52" s="78" t="s">
        <v>5</v>
      </c>
      <c r="E52" s="75">
        <f>C26*I16</f>
        <v>546</v>
      </c>
      <c r="F52" s="78" t="s">
        <v>5</v>
      </c>
      <c r="G52" s="429">
        <f t="shared" si="0"/>
        <v>5567.7236160000002</v>
      </c>
      <c r="H52" s="430"/>
      <c r="I52" s="73">
        <f t="shared" si="1"/>
        <v>5567.7236160000002</v>
      </c>
    </row>
    <row r="53" spans="1:12" x14ac:dyDescent="0.3">
      <c r="A53" s="25" t="s">
        <v>123</v>
      </c>
      <c r="B53" s="68" t="s">
        <v>64</v>
      </c>
      <c r="C53" s="75">
        <f>C27*I16</f>
        <v>546</v>
      </c>
      <c r="D53" s="78" t="s">
        <v>5</v>
      </c>
      <c r="E53" s="75">
        <f>C27*I16</f>
        <v>546</v>
      </c>
      <c r="F53" s="78" t="s">
        <v>5</v>
      </c>
      <c r="G53" s="429">
        <f t="shared" si="0"/>
        <v>5567.7236160000002</v>
      </c>
      <c r="H53" s="430"/>
      <c r="I53" s="73">
        <f t="shared" si="1"/>
        <v>5567.7236160000002</v>
      </c>
    </row>
    <row r="54" spans="1:12" x14ac:dyDescent="0.3">
      <c r="A54" s="25" t="s">
        <v>441</v>
      </c>
      <c r="B54" s="68" t="s">
        <v>65</v>
      </c>
      <c r="C54" s="75">
        <f>C28</f>
        <v>750</v>
      </c>
      <c r="D54" s="78" t="s">
        <v>7</v>
      </c>
      <c r="E54" s="75">
        <f>C28</f>
        <v>750</v>
      </c>
      <c r="F54" s="78" t="s">
        <v>7</v>
      </c>
      <c r="G54" s="435">
        <f>C54</f>
        <v>750</v>
      </c>
      <c r="H54" s="436"/>
      <c r="I54" s="76">
        <f>E54</f>
        <v>750</v>
      </c>
    </row>
    <row r="55" spans="1:12" x14ac:dyDescent="0.3">
      <c r="A55" s="25" t="s">
        <v>57</v>
      </c>
      <c r="B55" s="68" t="s">
        <v>51</v>
      </c>
      <c r="C55" s="75">
        <f>C29*I16</f>
        <v>7643.9999999999991</v>
      </c>
      <c r="D55" s="78" t="s">
        <v>5</v>
      </c>
      <c r="E55" s="75">
        <f>C29*I16</f>
        <v>7643.9999999999991</v>
      </c>
      <c r="F55" s="78" t="s">
        <v>5</v>
      </c>
      <c r="G55" s="429">
        <f>C55*10.197296</f>
        <v>77948.130623999983</v>
      </c>
      <c r="H55" s="430"/>
      <c r="I55" s="73">
        <f>E55*10.197296</f>
        <v>77948.130623999983</v>
      </c>
    </row>
    <row r="56" spans="1:12" x14ac:dyDescent="0.3">
      <c r="A56" s="25" t="s">
        <v>123</v>
      </c>
      <c r="B56" s="68" t="s">
        <v>52</v>
      </c>
      <c r="C56" s="75">
        <f>C30*I16</f>
        <v>382.2</v>
      </c>
      <c r="D56" s="78" t="s">
        <v>5</v>
      </c>
      <c r="E56" s="75">
        <f>C30*I16</f>
        <v>382.2</v>
      </c>
      <c r="F56" s="78" t="s">
        <v>5</v>
      </c>
      <c r="G56" s="429">
        <f>C56*10.197296</f>
        <v>3897.4065311999998</v>
      </c>
      <c r="H56" s="430"/>
      <c r="I56" s="73">
        <f>E56*10.197296</f>
        <v>3897.4065311999998</v>
      </c>
    </row>
    <row r="57" spans="1:12" ht="17.25" thickBot="1" x14ac:dyDescent="0.35">
      <c r="A57" s="71" t="s">
        <v>59</v>
      </c>
      <c r="B57" s="72" t="s">
        <v>53</v>
      </c>
      <c r="C57" s="81">
        <f>C31*I16/I31</f>
        <v>0.39999999999999997</v>
      </c>
      <c r="D57" s="79" t="s">
        <v>5</v>
      </c>
      <c r="E57" s="81">
        <f>C31*I16</f>
        <v>0.55999999999999994</v>
      </c>
      <c r="F57" s="79" t="s">
        <v>5</v>
      </c>
      <c r="G57" s="439">
        <f>C57*10.197296</f>
        <v>4.0789183999999992</v>
      </c>
      <c r="H57" s="440"/>
      <c r="I57" s="74">
        <f>E57*10.197296</f>
        <v>5.7104857599999992</v>
      </c>
    </row>
    <row r="59" spans="1:12" ht="18.75" x14ac:dyDescent="0.4">
      <c r="A59" s="476" t="s">
        <v>136</v>
      </c>
      <c r="B59" s="476"/>
      <c r="C59" s="476"/>
      <c r="D59" s="476"/>
      <c r="E59" s="476"/>
      <c r="F59" s="476"/>
      <c r="G59" s="476"/>
      <c r="H59" s="476"/>
      <c r="I59" s="83">
        <v>2</v>
      </c>
    </row>
    <row r="60" spans="1:12" ht="17.25" thickBot="1" x14ac:dyDescent="0.35">
      <c r="A60" s="138" t="s">
        <v>138</v>
      </c>
    </row>
    <row r="61" spans="1:12" x14ac:dyDescent="0.3">
      <c r="A61" s="421" t="s">
        <v>208</v>
      </c>
      <c r="B61" s="422"/>
      <c r="C61" s="422"/>
      <c r="D61" s="422"/>
      <c r="E61" s="422"/>
      <c r="F61" s="422"/>
      <c r="G61" s="422"/>
      <c r="H61" s="422"/>
      <c r="I61" s="423"/>
    </row>
    <row r="62" spans="1:12" x14ac:dyDescent="0.3">
      <c r="A62" s="116">
        <v>2</v>
      </c>
      <c r="B62" s="7"/>
      <c r="C62" s="100"/>
      <c r="D62" s="7"/>
      <c r="E62" s="7"/>
      <c r="F62" s="7"/>
      <c r="G62" s="7"/>
      <c r="H62" s="7"/>
      <c r="I62" s="8"/>
      <c r="K62" s="12"/>
      <c r="L62" s="7"/>
    </row>
    <row r="63" spans="1:12" x14ac:dyDescent="0.3">
      <c r="A63" s="101" t="str">
        <f>IF(A$62=1,VLOOKUP(1,CIRCULAR,2),IF(A$62=2,VLOOKUP(1,RETANGULAR_SIMPLES,2),""))</f>
        <v>Base (b) :</v>
      </c>
      <c r="B63" s="424">
        <v>5</v>
      </c>
      <c r="C63" s="424"/>
      <c r="D63" s="7"/>
      <c r="E63" s="328"/>
      <c r="F63" s="457"/>
      <c r="G63" s="94">
        <v>0</v>
      </c>
      <c r="H63" s="7"/>
      <c r="I63" s="8"/>
      <c r="K63" s="12"/>
      <c r="L63" s="7"/>
    </row>
    <row r="64" spans="1:12" x14ac:dyDescent="0.3">
      <c r="A64" s="101" t="str">
        <f>IF(A$62=1,VLOOKUP(2,CIRCULAR,2),IF(A$62=2,VLOOKUP(2,RETANGULAR_SIMPLES,2),""))</f>
        <v>Altura (h) :</v>
      </c>
      <c r="B64" s="424">
        <v>11</v>
      </c>
      <c r="C64" s="424"/>
      <c r="D64" s="7"/>
      <c r="E64" s="328"/>
      <c r="F64" s="457"/>
      <c r="G64" s="94">
        <v>0</v>
      </c>
      <c r="H64" s="7"/>
      <c r="I64" s="8"/>
      <c r="K64" s="154"/>
      <c r="L64" s="154"/>
    </row>
    <row r="65" spans="1:12" x14ac:dyDescent="0.3">
      <c r="A65" s="101" t="str">
        <f>IF(A$62=1,VLOOKUP(3,CIRCULAR,2),IF(A$62=2,VLOOKUP(3,RETANGULAR_SIMPLES,2),""))</f>
        <v>Área da seção (A) :</v>
      </c>
      <c r="B65" s="348">
        <f>IF(A$62=1,VLOOKUP(3,CIRCULAR,3),IF(A$62=2,VLOOKUP(3,RETANGULAR_SIMPLES,3),""))</f>
        <v>55</v>
      </c>
      <c r="C65" s="348"/>
      <c r="D65" s="102" t="str">
        <f>IF(A$62=1,VLOOKUP(3,CIRCULAR,4),IF(A$62=2,VLOOKUP(3,RETANGULAR_SIMPLES,4),""))</f>
        <v>cm²</v>
      </c>
      <c r="E65" s="328"/>
      <c r="F65" s="328"/>
      <c r="G65" s="328"/>
      <c r="H65" s="328"/>
      <c r="I65" s="365"/>
      <c r="K65" s="154"/>
      <c r="L65" s="154"/>
    </row>
    <row r="66" spans="1:12" x14ac:dyDescent="0.3">
      <c r="A66" s="101" t="str">
        <f>IF(A$62=1,VLOOKUP(4,CIRCULAR,2),IF(A$62=2,VLOOKUP(4,RETANGULAR_SIMPLES,2),""))</f>
        <v>Momento de inércia (Jx) :</v>
      </c>
      <c r="B66" s="348">
        <f>IF(A$62=1,VLOOKUP(4,CIRCULAR,3),IF(A$62=2,VLOOKUP(4,RETANGULAR_SIMPLES,3),""))</f>
        <v>554.58333333333337</v>
      </c>
      <c r="C66" s="348"/>
      <c r="D66" s="102" t="str">
        <f>IF(A$62=1,VLOOKUP(4,CIRCULAR,4),IF(A$62=2,VLOOKUP(4,RETANGULAR_SIMPLES,4),""))</f>
        <v>cm4</v>
      </c>
      <c r="E66" s="328"/>
      <c r="F66" s="328"/>
      <c r="G66" s="328"/>
      <c r="H66" s="328"/>
      <c r="I66" s="365"/>
      <c r="K66" s="183"/>
      <c r="L66" s="154"/>
    </row>
    <row r="67" spans="1:12" x14ac:dyDescent="0.3">
      <c r="A67" s="101" t="str">
        <f>IF(A$62=1,VLOOKUP(5,CIRCULAR,2),IF(A$62=2,VLOOKUP(5,RETANGULAR_SIMPLES,2),""))</f>
        <v>Momento de inércia (Jy) :</v>
      </c>
      <c r="B67" s="348">
        <f>IF(A$62=1,VLOOKUP(5,CIRCULAR,3),IF(A$62=2,VLOOKUP(5,RETANGULAR_SIMPLES,3),""))</f>
        <v>114.58333333333333</v>
      </c>
      <c r="C67" s="348"/>
      <c r="D67" s="102" t="str">
        <f>IF(A$62=1,VLOOKUP(5,CIRCULAR,4),IF(A$62=2,VLOOKUP(5,RETANGULAR_SIMPLES,4),""))</f>
        <v>cm4</v>
      </c>
      <c r="E67" s="328"/>
      <c r="F67" s="328"/>
      <c r="G67" s="328"/>
      <c r="H67" s="328"/>
      <c r="I67" s="365"/>
      <c r="K67" s="183"/>
      <c r="L67" s="183"/>
    </row>
    <row r="68" spans="1:12" x14ac:dyDescent="0.3">
      <c r="A68" s="101" t="str">
        <f>IF(A$62=1,VLOOKUP(6,CIRCULAR,2),IF(A$62=2,VLOOKUP(6,RETANGULAR_SIMPLES,2),""))</f>
        <v>Módulo de resistência (Wx) :</v>
      </c>
      <c r="B68" s="348">
        <f>IF(A$62=1,VLOOKUP(6,CIRCULAR,3),IF(A$62=2,VLOOKUP(6,RETANGULAR_SIMPLES,3),""))</f>
        <v>100.83333333333333</v>
      </c>
      <c r="C68" s="348"/>
      <c r="D68" s="102" t="str">
        <f>IF(A$62=1,VLOOKUP(6,CIRCULAR,4),IF(A$62=2,VLOOKUP(6,RETANGULAR_SIMPLES,4),""))</f>
        <v>cm³</v>
      </c>
      <c r="E68" s="328"/>
      <c r="F68" s="328"/>
      <c r="G68" s="328"/>
      <c r="H68" s="328"/>
      <c r="I68" s="365"/>
      <c r="K68" s="154"/>
      <c r="L68" s="183"/>
    </row>
    <row r="69" spans="1:12" x14ac:dyDescent="0.3">
      <c r="A69" s="101" t="str">
        <f>IF(A$62=1,VLOOKUP(7,CIRCULAR,2),IF(A$62=2,VLOOKUP(7,RETANGULAR_SIMPLES,2),""))</f>
        <v>Módulo de resistência (Wy) :</v>
      </c>
      <c r="B69" s="348">
        <f>IF(A$62=1,VLOOKUP(7,CIRCULAR,3),IF(A$62=2,VLOOKUP(7,RETANGULAR_SIMPLES,3),""))</f>
        <v>45.833333333333336</v>
      </c>
      <c r="C69" s="348"/>
      <c r="D69" s="102" t="str">
        <f>IF(A$62=1,VLOOKUP(7,CIRCULAR,4),IF(A$62=2,VLOOKUP(7,RETANGULAR_SIMPLES,4),""))</f>
        <v>cm³</v>
      </c>
      <c r="E69" s="328"/>
      <c r="F69" s="328"/>
      <c r="G69" s="328"/>
      <c r="H69" s="328"/>
      <c r="I69" s="365"/>
      <c r="K69" s="154"/>
      <c r="L69" s="154"/>
    </row>
    <row r="70" spans="1:12" x14ac:dyDescent="0.3">
      <c r="A70" s="101" t="str">
        <f>IF(A$62=1,VLOOKUP(8,CIRCULAR,2),IF(A$62=2,VLOOKUP(8,RETANGULAR_SIMPLES,2),""))</f>
        <v>Raio de Giração (ix) :</v>
      </c>
      <c r="B70" s="348">
        <f>IF(A$62=1,VLOOKUP(8,CIRCULAR,3),IF(A$62=2,VLOOKUP(8,RETANGULAR_SIMPLES,3),""))</f>
        <v>3.1754264805429417</v>
      </c>
      <c r="C70" s="348"/>
      <c r="D70" s="102" t="str">
        <f>IF(A$62=1,VLOOKUP(8,CIRCULAR,4),IF(A$62=2,VLOOKUP(8,RETANGULAR_SIMPLES,4),""))</f>
        <v>cm</v>
      </c>
      <c r="E70" s="328"/>
      <c r="F70" s="328"/>
      <c r="G70" s="328"/>
      <c r="H70" s="328"/>
      <c r="I70" s="365"/>
      <c r="K70" s="12"/>
      <c r="L70" s="7"/>
    </row>
    <row r="71" spans="1:12" x14ac:dyDescent="0.3">
      <c r="A71" s="101" t="str">
        <f>IF(A$62=1,VLOOKUP(9,CIRCULAR,2),IF(A$62=2,VLOOKUP(9,RETANGULAR_SIMPLES,2),""))</f>
        <v>Raio de Giração (iy) :</v>
      </c>
      <c r="B71" s="348">
        <f>IF(A$62=1,VLOOKUP(9,CIRCULAR,3),IF(A$62=2,VLOOKUP(9,RETANGULAR_SIMPLES,3),""))</f>
        <v>1.4433756729740643</v>
      </c>
      <c r="C71" s="348"/>
      <c r="D71" s="102" t="str">
        <f>IF(A$62=1,VLOOKUP(9,CIRCULAR,4),IF(A$62=2,VLOOKUP(9,RETANGULAR_SIMPLES,4),""))</f>
        <v>cm</v>
      </c>
      <c r="E71" s="328"/>
      <c r="F71" s="328"/>
      <c r="G71" s="328"/>
      <c r="H71" s="328"/>
      <c r="I71" s="365"/>
      <c r="K71" s="12"/>
      <c r="L71" s="7"/>
    </row>
    <row r="72" spans="1:12" x14ac:dyDescent="0.3">
      <c r="A72" s="101" t="str">
        <f>IF(A$62=1,VLOOKUP(10,CIRCULAR,2),IF(A$62=2,VLOOKUP(10,RETANGULAR_SIMPLES,2),""))</f>
        <v>Momento estático da seção (Ms) :</v>
      </c>
      <c r="B72" s="348">
        <f>IF(A$62=1,VLOOKUP(10,CIRCULAR,3),IF(A$62=2,VLOOKUP(10,RETANGULAR_SIMPLES,3),""))</f>
        <v>75.625</v>
      </c>
      <c r="C72" s="348"/>
      <c r="D72" s="102" t="str">
        <f>IF(A$62=1,VLOOKUP(10,CIRCULAR,4),IF(A$62=2,VLOOKUP(10,RETANGULAR_SIMPLES,4),""))</f>
        <v>cm³</v>
      </c>
      <c r="E72" s="328"/>
      <c r="F72" s="328"/>
      <c r="G72" s="328"/>
      <c r="H72" s="328"/>
      <c r="I72" s="365"/>
      <c r="K72" s="12"/>
      <c r="L72" s="7"/>
    </row>
    <row r="73" spans="1:12" x14ac:dyDescent="0.3">
      <c r="A73" s="101" t="str">
        <f>IF(A$62=1,VLOOKUP(11,CIRCULAR,2),IF(A$62=2,VLOOKUP(11,RETANGULAR_SIMPLES,2),""))</f>
        <v>ysuperior :</v>
      </c>
      <c r="B73" s="348">
        <f>IF(A$62=1,VLOOKUP(11,CIRCULAR,3),IF(A$62=2,VLOOKUP(11,RETANGULAR_SIMPLES,3),""))</f>
        <v>5.5</v>
      </c>
      <c r="C73" s="348"/>
      <c r="D73" s="102" t="str">
        <f>IF(A$62=1,VLOOKUP(11,CIRCULAR,4),IF(A$62=2,VLOOKUP(11,RETANGULAR_SIMPLES,4),""))</f>
        <v>cm</v>
      </c>
      <c r="E73" s="328"/>
      <c r="F73" s="328"/>
      <c r="G73" s="328"/>
      <c r="H73" s="328"/>
      <c r="I73" s="365"/>
      <c r="K73" s="12"/>
      <c r="L73" s="7"/>
    </row>
    <row r="74" spans="1:12" x14ac:dyDescent="0.3">
      <c r="A74" s="101" t="str">
        <f>IF(A$62=1,VLOOKUP(12,CIRCULAR,2),IF(A$62=2,VLOOKUP(12,RETANGULAR_SIMPLES,2),""))</f>
        <v>yinferior :</v>
      </c>
      <c r="B74" s="348">
        <f>IF(A$62=1,VLOOKUP(12,CIRCULAR,3),IF(A$62=2,VLOOKUP(12,RETANGULAR_SIMPLES,3),""))</f>
        <v>5.5</v>
      </c>
      <c r="C74" s="348"/>
      <c r="D74" s="102" t="str">
        <f>IF(A$62=1,VLOOKUP(11,CIRCULAR,4),IF(A$62=2,VLOOKUP(12,RETANGULAR_SIMPLES,4),""))</f>
        <v>cm</v>
      </c>
      <c r="E74" s="328"/>
      <c r="F74" s="328"/>
      <c r="G74" s="328"/>
      <c r="H74" s="328"/>
      <c r="I74" s="365"/>
    </row>
    <row r="75" spans="1:12" ht="17.25" thickBot="1" x14ac:dyDescent="0.35">
      <c r="A75" s="103" t="str">
        <f>IF(A$62=1,VLOOKUP(13,CIRCULAR,2),IF(A$62=2,"",""))</f>
        <v/>
      </c>
      <c r="B75" s="349" t="str">
        <f>IF(A$62=1,VLOOKUP(13,CIRCULAR,3),IF(A$62=2,"",""))</f>
        <v/>
      </c>
      <c r="C75" s="349"/>
      <c r="D75" s="104" t="str">
        <f>IF(A$62=1,VLOOKUP(11,CIRCULAR,4),IF(A$62=2,"",""))</f>
        <v/>
      </c>
      <c r="E75" s="366"/>
      <c r="F75" s="366"/>
      <c r="G75" s="366"/>
      <c r="H75" s="366"/>
      <c r="I75" s="367"/>
    </row>
    <row r="76" spans="1:12" x14ac:dyDescent="0.3">
      <c r="A76" s="421" t="s">
        <v>209</v>
      </c>
      <c r="B76" s="422"/>
      <c r="C76" s="422"/>
      <c r="D76" s="422"/>
      <c r="E76" s="422"/>
      <c r="F76" s="422"/>
      <c r="G76" s="422"/>
      <c r="H76" s="422"/>
      <c r="I76" s="423"/>
    </row>
    <row r="77" spans="1:12" x14ac:dyDescent="0.3">
      <c r="A77" s="101" t="s">
        <v>197</v>
      </c>
      <c r="B77" s="426" t="str">
        <f>VLOOKUP('VIGAS BIAPOIADAS'!A62,TABELAS!F2:G11,2)</f>
        <v>Retangular Simples</v>
      </c>
      <c r="C77" s="426"/>
      <c r="D77" s="426"/>
      <c r="E77" s="7"/>
      <c r="F77" s="7"/>
      <c r="G77" s="7"/>
      <c r="H77" s="7"/>
      <c r="I77" s="8"/>
    </row>
    <row r="78" spans="1:12" x14ac:dyDescent="0.3">
      <c r="A78" s="107" t="s">
        <v>198</v>
      </c>
      <c r="B78" s="329">
        <f>IF(A62=1,B66,IF(A62=2,B65,""))</f>
        <v>55</v>
      </c>
      <c r="C78" s="329"/>
      <c r="D78" s="106" t="s">
        <v>172</v>
      </c>
      <c r="E78" s="7"/>
      <c r="F78" s="7"/>
      <c r="G78" s="7"/>
      <c r="H78" s="7"/>
      <c r="I78" s="8"/>
    </row>
    <row r="79" spans="1:12" x14ac:dyDescent="0.3">
      <c r="A79" s="107" t="s">
        <v>199</v>
      </c>
      <c r="B79" s="329">
        <f>IF(A62=1,B68,IF(A62=2,B66,""))</f>
        <v>554.58333333333337</v>
      </c>
      <c r="C79" s="329"/>
      <c r="D79" s="106" t="s">
        <v>173</v>
      </c>
      <c r="E79" s="7"/>
      <c r="F79" s="7"/>
      <c r="G79" s="7"/>
      <c r="H79" s="7"/>
      <c r="I79" s="8"/>
    </row>
    <row r="80" spans="1:12" x14ac:dyDescent="0.3">
      <c r="A80" s="107" t="str">
        <f>IF(C$204=1,"Momento de inércia da seção quadrada equiv. :","Momento de inércia (Jy) adotado :")</f>
        <v>Momento de inércia (Jy) adotado :</v>
      </c>
      <c r="B80" s="329">
        <f>IF(A62=1,B68,IF(A62=2,B67,""))</f>
        <v>114.58333333333333</v>
      </c>
      <c r="C80" s="329"/>
      <c r="D80" s="106" t="s">
        <v>173</v>
      </c>
      <c r="E80" s="7"/>
      <c r="F80" s="7"/>
      <c r="G80" s="7"/>
      <c r="H80" s="7"/>
      <c r="I80" s="8"/>
    </row>
    <row r="81" spans="1:11" x14ac:dyDescent="0.3">
      <c r="A81" s="107" t="s">
        <v>200</v>
      </c>
      <c r="B81" s="329">
        <f>IF(A62=1,B70,IF(A62=2,B68,""))</f>
        <v>100.83333333333333</v>
      </c>
      <c r="C81" s="329"/>
      <c r="D81" s="106" t="s">
        <v>174</v>
      </c>
      <c r="E81" s="7"/>
      <c r="F81" s="7"/>
      <c r="G81" s="7"/>
      <c r="H81" s="7"/>
      <c r="I81" s="8"/>
    </row>
    <row r="82" spans="1:11" x14ac:dyDescent="0.3">
      <c r="A82" s="107" t="s">
        <v>201</v>
      </c>
      <c r="B82" s="329">
        <f>IF(A62=1,B70,IF(A62=2,B68,""))</f>
        <v>100.83333333333333</v>
      </c>
      <c r="C82" s="329"/>
      <c r="D82" s="106" t="s">
        <v>174</v>
      </c>
      <c r="E82" s="7"/>
      <c r="F82" s="7"/>
      <c r="G82" s="7"/>
      <c r="H82" s="7"/>
      <c r="I82" s="8"/>
    </row>
    <row r="83" spans="1:11" x14ac:dyDescent="0.3">
      <c r="A83" s="107" t="s">
        <v>202</v>
      </c>
      <c r="B83" s="329">
        <f>IF(A62=1,B74,IF(A62=2,B73,""))</f>
        <v>5.5</v>
      </c>
      <c r="C83" s="329"/>
      <c r="D83" s="106" t="s">
        <v>169</v>
      </c>
      <c r="E83" s="7"/>
      <c r="F83" s="7"/>
      <c r="G83" s="7"/>
      <c r="H83" s="7"/>
      <c r="I83" s="8"/>
    </row>
    <row r="84" spans="1:11" x14ac:dyDescent="0.3">
      <c r="A84" s="107" t="s">
        <v>203</v>
      </c>
      <c r="B84" s="329">
        <f>IF(A62=1,B75,IF(A62=2,B74,""))</f>
        <v>5.5</v>
      </c>
      <c r="C84" s="329"/>
      <c r="D84" s="106" t="s">
        <v>169</v>
      </c>
      <c r="E84" s="7"/>
      <c r="F84" s="7"/>
      <c r="G84" s="7"/>
      <c r="H84" s="7"/>
      <c r="I84" s="8"/>
    </row>
    <row r="85" spans="1:11" x14ac:dyDescent="0.3">
      <c r="A85" s="107" t="s">
        <v>204</v>
      </c>
      <c r="B85" s="329">
        <f>IF(A62=1,B73,IF(A62=2,B70,""))</f>
        <v>3.1754264805429417</v>
      </c>
      <c r="C85" s="329"/>
      <c r="D85" s="106" t="s">
        <v>169</v>
      </c>
      <c r="E85" s="7"/>
      <c r="F85" s="7"/>
      <c r="G85" s="7"/>
      <c r="H85" s="7"/>
      <c r="I85" s="8"/>
    </row>
    <row r="86" spans="1:11" x14ac:dyDescent="0.3">
      <c r="A86" s="107" t="s">
        <v>205</v>
      </c>
      <c r="B86" s="329">
        <f>IF(A62=1,B73,IF(A62=2,B71,""))</f>
        <v>1.4433756729740643</v>
      </c>
      <c r="C86" s="329"/>
      <c r="D86" s="106" t="s">
        <v>169</v>
      </c>
      <c r="E86" s="7"/>
      <c r="F86" s="7"/>
      <c r="G86" s="7"/>
      <c r="H86" s="7"/>
      <c r="I86" s="8"/>
    </row>
    <row r="87" spans="1:11" x14ac:dyDescent="0.3">
      <c r="A87" s="107" t="s">
        <v>207</v>
      </c>
      <c r="B87" s="329">
        <f>IF(A62=1,B72,IF(A62=2,B72,""))</f>
        <v>75.625</v>
      </c>
      <c r="C87" s="329"/>
      <c r="D87" s="106" t="s">
        <v>174</v>
      </c>
      <c r="E87" s="7"/>
      <c r="F87" s="7"/>
      <c r="G87" s="7"/>
      <c r="H87" s="7"/>
      <c r="I87" s="8"/>
    </row>
    <row r="88" spans="1:11" ht="17.25" thickBot="1" x14ac:dyDescent="0.35">
      <c r="A88" s="108" t="s">
        <v>206</v>
      </c>
      <c r="B88" s="419">
        <f>IF(A62=1,B65,IF(A62=2,B63,""))</f>
        <v>5</v>
      </c>
      <c r="C88" s="419"/>
      <c r="D88" s="109" t="s">
        <v>169</v>
      </c>
      <c r="E88" s="10"/>
      <c r="F88" s="10"/>
      <c r="G88" s="10"/>
      <c r="H88" s="10"/>
      <c r="I88" s="11"/>
    </row>
    <row r="89" spans="1:11" x14ac:dyDescent="0.3">
      <c r="A89" s="421" t="s">
        <v>210</v>
      </c>
      <c r="B89" s="422"/>
      <c r="C89" s="422"/>
      <c r="D89" s="422"/>
      <c r="E89" s="422"/>
      <c r="F89" s="422"/>
      <c r="G89" s="422"/>
      <c r="H89" s="422"/>
      <c r="I89" s="423"/>
    </row>
    <row r="90" spans="1:11" x14ac:dyDescent="0.3">
      <c r="A90" s="101" t="s">
        <v>190</v>
      </c>
      <c r="B90" s="424">
        <v>200</v>
      </c>
      <c r="C90" s="424"/>
      <c r="D90" s="7"/>
      <c r="E90" s="110">
        <f>B90/100</f>
        <v>2</v>
      </c>
      <c r="F90" s="425" t="s">
        <v>196</v>
      </c>
      <c r="G90" s="425"/>
      <c r="H90" s="425"/>
      <c r="I90" s="111">
        <f>((B90/(COS(RADIANS(B93))))+(B91/COS(RADIANS(B93)))+(B92/COS(RADIANS(B93))))/100</f>
        <v>2</v>
      </c>
    </row>
    <row r="91" spans="1:11" x14ac:dyDescent="0.3">
      <c r="A91" s="101" t="s">
        <v>187</v>
      </c>
      <c r="B91" s="424">
        <v>0</v>
      </c>
      <c r="C91" s="424"/>
      <c r="D91" s="7"/>
      <c r="E91" s="110">
        <f t="shared" ref="E91:E92" si="2">B91/100</f>
        <v>0</v>
      </c>
      <c r="F91" s="425" t="s">
        <v>211</v>
      </c>
      <c r="G91" s="425"/>
      <c r="H91" s="425"/>
      <c r="I91" s="112">
        <f>B78*G43/10000</f>
        <v>5.2249999999999996</v>
      </c>
      <c r="K91" s="95"/>
    </row>
    <row r="92" spans="1:11" x14ac:dyDescent="0.3">
      <c r="A92" s="101" t="s">
        <v>188</v>
      </c>
      <c r="B92" s="424">
        <v>0</v>
      </c>
      <c r="C92" s="424"/>
      <c r="D92" s="7"/>
      <c r="E92" s="110">
        <f t="shared" si="2"/>
        <v>0</v>
      </c>
      <c r="F92" s="425" t="s">
        <v>195</v>
      </c>
      <c r="G92" s="425"/>
      <c r="H92" s="425"/>
      <c r="I92" s="113">
        <f>I91*I90</f>
        <v>10.45</v>
      </c>
    </row>
    <row r="93" spans="1:11" x14ac:dyDescent="0.3">
      <c r="A93" s="101" t="s">
        <v>191</v>
      </c>
      <c r="B93" s="420">
        <v>0</v>
      </c>
      <c r="C93" s="420"/>
      <c r="D93" s="7"/>
      <c r="E93" s="114">
        <f>TAN(RADIANS(B93))</f>
        <v>0</v>
      </c>
      <c r="F93" s="425" t="s">
        <v>332</v>
      </c>
      <c r="G93" s="425"/>
      <c r="H93" s="425"/>
      <c r="I93" s="132">
        <f>I92/(I90*(B94/100))</f>
        <v>10.45</v>
      </c>
    </row>
    <row r="94" spans="1:11" x14ac:dyDescent="0.3">
      <c r="A94" s="101" t="s">
        <v>189</v>
      </c>
      <c r="B94" s="424">
        <v>50</v>
      </c>
      <c r="C94" s="424"/>
      <c r="D94" s="7"/>
      <c r="E94" s="7"/>
      <c r="F94" s="7"/>
      <c r="G94" s="7"/>
      <c r="H94" s="7"/>
      <c r="I94" s="8"/>
    </row>
    <row r="95" spans="1:11" x14ac:dyDescent="0.3">
      <c r="A95" s="101" t="s">
        <v>449</v>
      </c>
      <c r="B95" s="420">
        <v>0</v>
      </c>
      <c r="C95" s="420"/>
      <c r="D95" s="7"/>
      <c r="E95" s="7"/>
      <c r="F95" s="7"/>
      <c r="G95" s="7"/>
      <c r="H95" s="7"/>
      <c r="I95" s="8"/>
    </row>
    <row r="96" spans="1:11" x14ac:dyDescent="0.3">
      <c r="A96" s="6"/>
      <c r="B96" s="7"/>
      <c r="C96" s="100"/>
      <c r="D96" s="7"/>
      <c r="E96" s="7"/>
      <c r="F96" s="7"/>
      <c r="G96" s="7"/>
      <c r="H96" s="7"/>
      <c r="I96" s="8"/>
    </row>
    <row r="97" spans="1:10" x14ac:dyDescent="0.3">
      <c r="A97" s="6"/>
      <c r="B97" s="7"/>
      <c r="C97" s="100"/>
      <c r="D97" s="7"/>
      <c r="E97" s="7"/>
      <c r="F97" s="7"/>
      <c r="G97" s="7"/>
      <c r="H97" s="7"/>
      <c r="I97" s="8"/>
    </row>
    <row r="98" spans="1:10" x14ac:dyDescent="0.3">
      <c r="A98" s="6"/>
      <c r="B98" s="7"/>
      <c r="C98" s="100"/>
      <c r="D98" s="7"/>
      <c r="E98" s="7"/>
      <c r="F98" s="7"/>
      <c r="G98" s="7"/>
      <c r="H98" s="7"/>
      <c r="I98" s="8"/>
    </row>
    <row r="99" spans="1:10" x14ac:dyDescent="0.3">
      <c r="A99" s="6"/>
      <c r="B99" s="7"/>
      <c r="C99" s="100"/>
      <c r="D99" s="7"/>
      <c r="E99" s="7"/>
      <c r="F99" s="7"/>
      <c r="G99" s="7"/>
      <c r="H99" s="7"/>
      <c r="I99" s="8"/>
    </row>
    <row r="100" spans="1:10" x14ac:dyDescent="0.3">
      <c r="A100" s="6"/>
      <c r="B100" s="7"/>
      <c r="C100" s="100"/>
      <c r="D100" s="7"/>
      <c r="E100" s="7"/>
      <c r="F100" s="7"/>
      <c r="G100" s="7"/>
      <c r="H100" s="7"/>
      <c r="I100" s="8"/>
    </row>
    <row r="101" spans="1:10" x14ac:dyDescent="0.3">
      <c r="A101" s="6"/>
      <c r="B101" s="7"/>
      <c r="C101" s="100"/>
      <c r="D101" s="7"/>
      <c r="E101" s="7"/>
      <c r="F101" s="7"/>
      <c r="G101" s="7"/>
      <c r="H101" s="7"/>
      <c r="I101" s="8"/>
    </row>
    <row r="102" spans="1:10" x14ac:dyDescent="0.3">
      <c r="A102" s="6"/>
      <c r="B102" s="7"/>
      <c r="C102" s="100"/>
      <c r="D102" s="7"/>
      <c r="E102" s="7"/>
      <c r="F102" s="7"/>
      <c r="G102" s="7"/>
      <c r="H102" s="7"/>
      <c r="I102" s="8"/>
    </row>
    <row r="103" spans="1:10" x14ac:dyDescent="0.3">
      <c r="A103" s="6"/>
      <c r="B103" s="7"/>
      <c r="C103" s="100"/>
      <c r="D103" s="7"/>
      <c r="E103" s="7"/>
      <c r="F103" s="7"/>
      <c r="G103" s="7"/>
      <c r="H103" s="7"/>
      <c r="I103" s="8"/>
    </row>
    <row r="104" spans="1:10" x14ac:dyDescent="0.3">
      <c r="A104" s="6"/>
      <c r="B104" s="7"/>
      <c r="C104" s="100"/>
      <c r="D104" s="7"/>
      <c r="E104" s="7"/>
      <c r="F104" s="7"/>
      <c r="G104" s="7"/>
      <c r="H104" s="7"/>
      <c r="I104" s="8"/>
    </row>
    <row r="105" spans="1:10" x14ac:dyDescent="0.3">
      <c r="A105" s="6"/>
      <c r="B105" s="7"/>
      <c r="C105" s="100"/>
      <c r="D105" s="7"/>
      <c r="E105" s="7"/>
      <c r="F105" s="7"/>
      <c r="G105" s="7"/>
      <c r="H105" s="7"/>
      <c r="I105" s="8"/>
    </row>
    <row r="106" spans="1:10" x14ac:dyDescent="0.3">
      <c r="A106" s="6"/>
      <c r="B106" s="7"/>
      <c r="C106" s="100"/>
      <c r="D106" s="7"/>
      <c r="E106" s="7"/>
      <c r="F106" s="7"/>
      <c r="G106" s="7"/>
      <c r="H106" s="7"/>
      <c r="I106" s="8"/>
    </row>
    <row r="107" spans="1:10" ht="17.25" thickBot="1" x14ac:dyDescent="0.35">
      <c r="A107" s="9"/>
      <c r="B107" s="10"/>
      <c r="C107" s="115"/>
      <c r="D107" s="10"/>
      <c r="E107" s="10"/>
      <c r="F107" s="10"/>
      <c r="G107" s="10"/>
      <c r="H107" s="10"/>
      <c r="I107" s="11"/>
    </row>
    <row r="108" spans="1:10" ht="18.75" x14ac:dyDescent="0.4">
      <c r="A108" s="477" t="s">
        <v>136</v>
      </c>
      <c r="B108" s="477"/>
      <c r="C108" s="477"/>
      <c r="D108" s="477"/>
      <c r="E108" s="477"/>
      <c r="F108" s="477"/>
      <c r="G108" s="477"/>
      <c r="H108" s="477"/>
      <c r="I108" s="83">
        <v>3</v>
      </c>
    </row>
    <row r="109" spans="1:10" x14ac:dyDescent="0.3">
      <c r="A109" s="185" t="s">
        <v>212</v>
      </c>
      <c r="B109" s="185"/>
      <c r="C109" s="185"/>
      <c r="D109" s="185"/>
      <c r="E109" s="185"/>
      <c r="F109" s="185"/>
      <c r="G109" s="186"/>
      <c r="H109" s="186"/>
      <c r="I109" s="186"/>
    </row>
    <row r="110" spans="1:10" x14ac:dyDescent="0.3">
      <c r="A110" s="178" t="s">
        <v>300</v>
      </c>
      <c r="B110" s="7"/>
      <c r="C110" s="458" t="s">
        <v>228</v>
      </c>
      <c r="D110" s="458"/>
      <c r="E110" s="458" t="s">
        <v>298</v>
      </c>
      <c r="F110" s="458"/>
      <c r="G110" s="458" t="s">
        <v>297</v>
      </c>
      <c r="H110" s="458"/>
      <c r="I110" s="131"/>
      <c r="J110" s="133"/>
    </row>
    <row r="111" spans="1:10" x14ac:dyDescent="0.3">
      <c r="A111" s="12" t="s">
        <v>331</v>
      </c>
      <c r="B111" s="7"/>
      <c r="C111" s="465"/>
      <c r="D111" s="465"/>
      <c r="E111" s="465"/>
      <c r="F111" s="465"/>
      <c r="G111" s="459">
        <f>I93</f>
        <v>10.45</v>
      </c>
      <c r="H111" s="460"/>
      <c r="I111" s="7" t="s">
        <v>335</v>
      </c>
    </row>
    <row r="112" spans="1:10" x14ac:dyDescent="0.3">
      <c r="A112" s="7"/>
      <c r="B112" s="179">
        <v>1</v>
      </c>
      <c r="C112" s="465"/>
      <c r="D112" s="465"/>
      <c r="E112" s="465"/>
      <c r="F112" s="465"/>
      <c r="G112" s="459">
        <f>VLOOKUP(B112,TABELAS!$A$34:$C$64,3)</f>
        <v>0</v>
      </c>
      <c r="H112" s="460"/>
      <c r="I112" s="7" t="s">
        <v>322</v>
      </c>
    </row>
    <row r="113" spans="1:14" x14ac:dyDescent="0.3">
      <c r="A113" s="7"/>
      <c r="B113" s="179">
        <v>1</v>
      </c>
      <c r="C113" s="465"/>
      <c r="D113" s="465"/>
      <c r="E113" s="465"/>
      <c r="F113" s="465"/>
      <c r="G113" s="459">
        <f>VLOOKUP(B113,TABELAS!$A$34:$C$64,3)</f>
        <v>0</v>
      </c>
      <c r="H113" s="460"/>
      <c r="I113" s="7" t="s">
        <v>323</v>
      </c>
    </row>
    <row r="114" spans="1:14" x14ac:dyDescent="0.3">
      <c r="A114" s="7"/>
      <c r="B114" s="179">
        <v>1</v>
      </c>
      <c r="C114" s="465"/>
      <c r="D114" s="465"/>
      <c r="E114" s="465"/>
      <c r="F114" s="465"/>
      <c r="G114" s="459">
        <f>VLOOKUP(B114,TABELAS!$A$34:$C$64,3)</f>
        <v>0</v>
      </c>
      <c r="H114" s="460"/>
      <c r="I114" s="7" t="s">
        <v>324</v>
      </c>
    </row>
    <row r="115" spans="1:14" x14ac:dyDescent="0.3">
      <c r="A115" s="7"/>
      <c r="B115" s="179">
        <v>1</v>
      </c>
      <c r="C115" s="465"/>
      <c r="D115" s="465"/>
      <c r="E115" s="465"/>
      <c r="F115" s="465"/>
      <c r="G115" s="459">
        <f>VLOOKUP(B115,TABELAS!$A$34:$C$64,3)</f>
        <v>0</v>
      </c>
      <c r="H115" s="460"/>
      <c r="I115" s="7" t="s">
        <v>325</v>
      </c>
    </row>
    <row r="116" spans="1:14" x14ac:dyDescent="0.3">
      <c r="A116" s="7"/>
      <c r="B116" s="179">
        <v>1</v>
      </c>
      <c r="C116" s="461">
        <v>0</v>
      </c>
      <c r="D116" s="462"/>
      <c r="E116" s="466">
        <f>VLOOKUP(B116,TABELAS!$A$67:$C$178,3)</f>
        <v>0</v>
      </c>
      <c r="F116" s="467"/>
      <c r="G116" s="459">
        <f>VLOOKUP(B116,TABELAS!$A$67:$C$178,3)*C116/100</f>
        <v>0</v>
      </c>
      <c r="H116" s="460"/>
      <c r="I116" s="7" t="s">
        <v>326</v>
      </c>
    </row>
    <row r="117" spans="1:14" x14ac:dyDescent="0.3">
      <c r="A117" s="7"/>
      <c r="B117" s="179">
        <v>1</v>
      </c>
      <c r="C117" s="463">
        <v>0</v>
      </c>
      <c r="D117" s="463"/>
      <c r="E117" s="466">
        <f>VLOOKUP(B117,TABELAS!$A$67:$C$178,3)</f>
        <v>0</v>
      </c>
      <c r="F117" s="467"/>
      <c r="G117" s="459">
        <f>VLOOKUP(B117,TABELAS!$A$67:$C$178,3)*C117/100</f>
        <v>0</v>
      </c>
      <c r="H117" s="460"/>
      <c r="I117" s="7" t="s">
        <v>327</v>
      </c>
    </row>
    <row r="118" spans="1:14" x14ac:dyDescent="0.3">
      <c r="A118" s="7"/>
      <c r="B118" s="179">
        <v>1</v>
      </c>
      <c r="C118" s="463">
        <v>0</v>
      </c>
      <c r="D118" s="463"/>
      <c r="E118" s="469">
        <f>VLOOKUP(B118,TABELAS!$A$67:$C$178,3)</f>
        <v>0</v>
      </c>
      <c r="F118" s="469"/>
      <c r="G118" s="459">
        <f>VLOOKUP(B118,TABELAS!$A$67:$C$178,3)*C118/100</f>
        <v>0</v>
      </c>
      <c r="H118" s="460"/>
      <c r="I118" s="7" t="s">
        <v>328</v>
      </c>
    </row>
    <row r="119" spans="1:14" ht="17.25" thickBot="1" x14ac:dyDescent="0.35">
      <c r="A119" s="184" t="s">
        <v>448</v>
      </c>
      <c r="B119" s="179">
        <v>1</v>
      </c>
      <c r="C119" s="464"/>
      <c r="D119" s="464"/>
      <c r="E119" s="468"/>
      <c r="F119" s="468"/>
      <c r="G119" s="472">
        <v>100</v>
      </c>
      <c r="H119" s="472"/>
      <c r="I119" s="7" t="s">
        <v>329</v>
      </c>
      <c r="L119" s="304"/>
    </row>
    <row r="120" spans="1:14" ht="17.25" thickBot="1" x14ac:dyDescent="0.35">
      <c r="A120" s="7"/>
      <c r="B120" s="7"/>
      <c r="C120" s="100"/>
      <c r="D120" s="7"/>
      <c r="E120" s="470" t="s">
        <v>299</v>
      </c>
      <c r="F120" s="471"/>
      <c r="G120" s="473">
        <f>SUM(G111:H119)</f>
        <v>110.45</v>
      </c>
      <c r="H120" s="474"/>
      <c r="I120" s="38" t="s">
        <v>330</v>
      </c>
    </row>
    <row r="121" spans="1:14" x14ac:dyDescent="0.3">
      <c r="A121" s="178" t="s">
        <v>301</v>
      </c>
      <c r="C121" s="458" t="s">
        <v>297</v>
      </c>
      <c r="D121" s="458"/>
    </row>
    <row r="122" spans="1:14" x14ac:dyDescent="0.3">
      <c r="A122" s="7"/>
      <c r="B122" s="180">
        <v>15</v>
      </c>
      <c r="C122" s="459">
        <f>VLOOKUP(B122,TABELAS!$A$181:$C$197,3)</f>
        <v>150</v>
      </c>
      <c r="D122" s="460"/>
      <c r="E122" t="s">
        <v>320</v>
      </c>
    </row>
    <row r="123" spans="1:14" x14ac:dyDescent="0.3">
      <c r="A123" s="7"/>
      <c r="B123" s="180">
        <v>1</v>
      </c>
      <c r="C123" s="459">
        <f>VLOOKUP(B123,TABELAS!$A$181:$C$196,3)</f>
        <v>0</v>
      </c>
      <c r="D123" s="460"/>
      <c r="E123" t="s">
        <v>321</v>
      </c>
      <c r="L123" s="135"/>
      <c r="M123" s="135"/>
      <c r="N123" s="135"/>
    </row>
    <row r="124" spans="1:14" x14ac:dyDescent="0.3">
      <c r="A124" s="7"/>
      <c r="B124" s="180">
        <v>1</v>
      </c>
      <c r="C124" s="459">
        <f>VLOOKUP(B124,TABELAS!$A$199:$C$202,3)</f>
        <v>0</v>
      </c>
      <c r="D124" s="460"/>
      <c r="E124" t="s">
        <v>318</v>
      </c>
      <c r="L124" s="134"/>
      <c r="M124" s="134"/>
      <c r="N124" s="134"/>
    </row>
    <row r="125" spans="1:14" x14ac:dyDescent="0.3">
      <c r="A125" s="7"/>
      <c r="B125" s="180">
        <v>1</v>
      </c>
      <c r="C125" s="459">
        <f>VLOOKUP(B125,TABELAS!A205:C208,3)</f>
        <v>0</v>
      </c>
      <c r="D125" s="460"/>
      <c r="E125" t="s">
        <v>319</v>
      </c>
    </row>
    <row r="126" spans="1:14" x14ac:dyDescent="0.3">
      <c r="A126" s="178" t="s">
        <v>333</v>
      </c>
    </row>
    <row r="127" spans="1:14" x14ac:dyDescent="0.3">
      <c r="A127" s="7"/>
      <c r="D127">
        <v>3</v>
      </c>
      <c r="E127" s="484" t="s">
        <v>305</v>
      </c>
      <c r="F127" s="484"/>
      <c r="G127" s="484" t="s">
        <v>306</v>
      </c>
      <c r="H127" s="484"/>
      <c r="I127" s="92" t="s">
        <v>307</v>
      </c>
    </row>
    <row r="128" spans="1:14" x14ac:dyDescent="0.3">
      <c r="A128" s="7"/>
      <c r="E128" s="485">
        <f>VLOOKUP($D$127,TABELAS!$N$3:$Q$10,2)</f>
        <v>0.4</v>
      </c>
      <c r="F128" s="485"/>
      <c r="G128" s="485">
        <f>VLOOKUP($D$127,TABELAS!$N$3:$Q$10,3)</f>
        <v>0.3</v>
      </c>
      <c r="H128" s="485"/>
      <c r="I128" s="91">
        <f>VLOOKUP($D$127,TABELAS!$N$3:$Q$10,4)</f>
        <v>0.2</v>
      </c>
    </row>
    <row r="129" spans="1:9" ht="17.25" thickBot="1" x14ac:dyDescent="0.35">
      <c r="A129" s="483" t="s">
        <v>334</v>
      </c>
      <c r="B129" s="483"/>
      <c r="C129" s="483"/>
      <c r="D129" s="483"/>
      <c r="E129" s="483"/>
      <c r="F129" s="483"/>
      <c r="G129" s="483"/>
      <c r="H129" s="483"/>
      <c r="I129" s="483"/>
    </row>
    <row r="130" spans="1:9" ht="17.25" thickBot="1" x14ac:dyDescent="0.35">
      <c r="A130" t="s">
        <v>336</v>
      </c>
      <c r="G130" s="473">
        <f>1.3*G111+1.4*(SUM(G112:H119))+1.4*(SUM(C122:D123))+1.4*0.5*C124</f>
        <v>363.58500000000004</v>
      </c>
      <c r="H130" s="474"/>
    </row>
    <row r="131" spans="1:9" ht="17.25" thickBot="1" x14ac:dyDescent="0.35">
      <c r="A131" t="s">
        <v>337</v>
      </c>
      <c r="G131" s="473">
        <f>1.3*G111+1.4*(SUM(G112:H119))+1.4*E128*SUM(C122:D123)+1.4*0.75*C124</f>
        <v>237.58499999999998</v>
      </c>
      <c r="H131" s="474"/>
    </row>
    <row r="132" spans="1:9" ht="17.25" thickBot="1" x14ac:dyDescent="0.35">
      <c r="A132" t="s">
        <v>338</v>
      </c>
      <c r="G132" s="473">
        <f>G111+0.9*(SUM(G112:H119))-1.4*0.75*(-1)*C125</f>
        <v>100.45</v>
      </c>
      <c r="H132" s="474"/>
      <c r="I132" s="137" t="str">
        <f>IF(G132&lt;0,"Inversão de esforços!","")</f>
        <v/>
      </c>
    </row>
    <row r="133" spans="1:9" ht="17.25" thickBot="1" x14ac:dyDescent="0.35">
      <c r="A133" s="483" t="s">
        <v>339</v>
      </c>
      <c r="B133" s="483"/>
      <c r="C133" s="483"/>
      <c r="D133" s="483"/>
      <c r="E133" s="483"/>
      <c r="F133" s="483"/>
      <c r="G133" s="483"/>
      <c r="H133" s="483"/>
      <c r="I133" s="483"/>
    </row>
    <row r="134" spans="1:9" ht="17.25" thickBot="1" x14ac:dyDescent="0.35">
      <c r="A134" t="s">
        <v>340</v>
      </c>
      <c r="G134" s="473">
        <f>G120+I128*SUM(C122:D123)</f>
        <v>140.44999999999999</v>
      </c>
      <c r="H134" s="474"/>
    </row>
    <row r="136" spans="1:9" x14ac:dyDescent="0.3">
      <c r="A136" s="138" t="s">
        <v>341</v>
      </c>
    </row>
    <row r="137" spans="1:9" ht="17.25" thickBot="1" x14ac:dyDescent="0.35">
      <c r="A137" s="483" t="s">
        <v>346</v>
      </c>
      <c r="B137" s="483"/>
      <c r="C137" s="483"/>
      <c r="D137" s="483"/>
      <c r="E137" s="483"/>
      <c r="F137" s="483"/>
      <c r="G137" s="483"/>
      <c r="H137" s="483"/>
      <c r="I137" s="483"/>
    </row>
    <row r="138" spans="1:9" ht="17.25" thickBot="1" x14ac:dyDescent="0.35">
      <c r="A138" s="136" t="s">
        <v>343</v>
      </c>
      <c r="B138" s="479">
        <f>LARGE($G130:$H132,1)*$B$94/100</f>
        <v>181.79249999999999</v>
      </c>
      <c r="C138" s="480"/>
    </row>
    <row r="139" spans="1:9" ht="17.25" thickBot="1" x14ac:dyDescent="0.35">
      <c r="A139" s="136" t="s">
        <v>344</v>
      </c>
      <c r="B139" s="479">
        <f>IF(G132&lt;0,SMALL($G130:$H132,1)*$B$94/100,0)</f>
        <v>0</v>
      </c>
      <c r="C139" s="480"/>
    </row>
    <row r="140" spans="1:9" ht="17.25" thickBot="1" x14ac:dyDescent="0.35">
      <c r="A140" s="136" t="s">
        <v>342</v>
      </c>
      <c r="B140" s="481">
        <f>G134*B94/100</f>
        <v>70.224999999999994</v>
      </c>
      <c r="C140" s="482"/>
    </row>
    <row r="141" spans="1:9" x14ac:dyDescent="0.3">
      <c r="A141" s="421" t="s">
        <v>345</v>
      </c>
      <c r="B141" s="422"/>
      <c r="C141" s="422"/>
      <c r="D141" s="422"/>
      <c r="E141" s="422"/>
      <c r="F141" s="422"/>
      <c r="G141" s="422"/>
      <c r="H141" s="422"/>
      <c r="I141" s="423"/>
    </row>
    <row r="142" spans="1:9" x14ac:dyDescent="0.3">
      <c r="A142" s="64"/>
      <c r="B142" s="372" t="s">
        <v>369</v>
      </c>
      <c r="C142" s="372"/>
      <c r="D142" s="373"/>
      <c r="E142" s="372" t="s">
        <v>370</v>
      </c>
      <c r="F142" s="372"/>
      <c r="G142" s="372"/>
      <c r="H142" s="368" t="s">
        <v>371</v>
      </c>
      <c r="I142" s="369"/>
    </row>
    <row r="143" spans="1:9" x14ac:dyDescent="0.3">
      <c r="A143" s="64"/>
      <c r="B143" s="374">
        <f>$E$91</f>
        <v>0</v>
      </c>
      <c r="C143" s="375"/>
      <c r="D143" s="376"/>
      <c r="E143" s="377">
        <f>$E$90</f>
        <v>2</v>
      </c>
      <c r="F143" s="378"/>
      <c r="G143" s="378"/>
      <c r="H143" s="370">
        <f>$E$92</f>
        <v>0</v>
      </c>
      <c r="I143" s="371"/>
    </row>
    <row r="144" spans="1:9" x14ac:dyDescent="0.3">
      <c r="A144" s="64" t="s">
        <v>372</v>
      </c>
      <c r="B144" s="397">
        <f>$B$140*B143</f>
        <v>0</v>
      </c>
      <c r="C144" s="398"/>
      <c r="D144" s="398"/>
      <c r="E144" s="398">
        <f>$B$140*E143</f>
        <v>140.44999999999999</v>
      </c>
      <c r="F144" s="398"/>
      <c r="G144" s="398"/>
      <c r="H144" s="398">
        <f>$B$140*H143</f>
        <v>0</v>
      </c>
      <c r="I144" s="399"/>
    </row>
    <row r="145" spans="1:12" x14ac:dyDescent="0.3">
      <c r="A145" s="6"/>
      <c r="B145" s="7"/>
      <c r="C145" s="100"/>
      <c r="D145" s="7"/>
      <c r="E145" s="7"/>
      <c r="F145" s="7"/>
      <c r="G145" s="7"/>
      <c r="H145" s="7"/>
      <c r="I145" s="8"/>
    </row>
    <row r="146" spans="1:12" x14ac:dyDescent="0.3">
      <c r="A146" s="6"/>
      <c r="B146" s="7"/>
      <c r="C146" s="139" t="s">
        <v>373</v>
      </c>
      <c r="D146" s="400">
        <f>((B140*(B143+E143+H143))*((B143+E143+H143)-2*H143))/(2*E143)</f>
        <v>70.224999999999994</v>
      </c>
      <c r="E146" s="401"/>
      <c r="F146" s="144"/>
      <c r="G146" s="400">
        <f>(((E143+H143)^2-B143^2)/(2*E143))*B140</f>
        <v>70.224999999999994</v>
      </c>
      <c r="H146" s="401"/>
      <c r="I146" s="145" t="s">
        <v>374</v>
      </c>
    </row>
    <row r="147" spans="1:12" ht="6" customHeight="1" x14ac:dyDescent="0.3">
      <c r="A147" s="6"/>
      <c r="B147" s="7"/>
      <c r="C147" s="141"/>
      <c r="D147" s="140"/>
      <c r="E147" s="140"/>
      <c r="F147" s="146"/>
      <c r="G147" s="140"/>
      <c r="H147" s="140"/>
      <c r="I147" s="147"/>
    </row>
    <row r="148" spans="1:12" x14ac:dyDescent="0.3">
      <c r="A148" s="64" t="s">
        <v>375</v>
      </c>
      <c r="B148" s="397"/>
      <c r="C148" s="398"/>
      <c r="D148" s="398"/>
      <c r="E148" s="402">
        <f>IF((ABS(D146)/B140)-B143&gt;E143,E143,(ABS(D146)/B140)-B143)</f>
        <v>1</v>
      </c>
      <c r="F148" s="402"/>
      <c r="G148" s="402"/>
      <c r="H148" s="398"/>
      <c r="I148" s="399"/>
    </row>
    <row r="149" spans="1:12" x14ac:dyDescent="0.3">
      <c r="A149" s="6"/>
      <c r="B149" s="7"/>
      <c r="C149" s="100"/>
      <c r="D149" s="7"/>
      <c r="E149" s="7"/>
      <c r="F149" s="181">
        <f>((D146)/B140)-B143</f>
        <v>1</v>
      </c>
      <c r="G149" s="7"/>
      <c r="H149" s="7"/>
      <c r="I149" s="8"/>
      <c r="L149" s="143"/>
    </row>
    <row r="150" spans="1:12" x14ac:dyDescent="0.3">
      <c r="A150" s="6"/>
      <c r="B150" s="7"/>
      <c r="C150" s="139" t="s">
        <v>377</v>
      </c>
      <c r="D150" s="352">
        <f>(-1)*B140*B143^2/2</f>
        <v>0</v>
      </c>
      <c r="E150" s="354"/>
      <c r="F150" s="144"/>
      <c r="G150" s="352">
        <f>(-1)*B140*H143^2/2</f>
        <v>0</v>
      </c>
      <c r="H150" s="354"/>
      <c r="I150" s="145" t="s">
        <v>378</v>
      </c>
    </row>
    <row r="151" spans="1:12" x14ac:dyDescent="0.3">
      <c r="A151" s="6"/>
      <c r="B151" s="7"/>
      <c r="C151" s="355" t="s">
        <v>379</v>
      </c>
      <c r="D151" s="356"/>
      <c r="E151" s="352">
        <f>(D146*E148)-((B140*(E148+B143)^2)/2)</f>
        <v>35.112499999999997</v>
      </c>
      <c r="F151" s="353"/>
      <c r="G151" s="354"/>
      <c r="H151" s="7"/>
      <c r="I151" s="8"/>
    </row>
    <row r="152" spans="1:12" ht="7.5" customHeight="1" x14ac:dyDescent="0.3">
      <c r="A152" s="6"/>
      <c r="B152" s="7"/>
      <c r="C152" s="141"/>
      <c r="D152" s="141"/>
      <c r="E152" s="142"/>
      <c r="F152" s="142"/>
      <c r="G152" s="142"/>
      <c r="H152" s="38"/>
      <c r="I152" s="148"/>
    </row>
    <row r="153" spans="1:12" x14ac:dyDescent="0.3">
      <c r="A153" s="64" t="s">
        <v>376</v>
      </c>
      <c r="B153" s="412">
        <f>((B140/100)*(B143*100))/(24*I41*B79)*((2*(E143*100)*((H143*100)^2+2*(B143*100)^2)+3*(B143*100)^3-(E143*100)^3))</f>
        <v>0</v>
      </c>
      <c r="C153" s="413"/>
      <c r="D153" s="413"/>
      <c r="E153" s="413">
        <f>(((B140/100)*(F149*100)*((E143*100)-(F149*100)))/(24*I41*B79))*(((F149*100)*((E143*100)-(F149*100))+((E143*100)^2)-(2*((H143*100)^2+(B143*100)^2))-(2/(E143*100))*(((H143*100)^2*(F149*100))+((B143*100)^2*((E143*100)-(F149*100))))))</f>
        <v>0.23690598497783485</v>
      </c>
      <c r="F153" s="413"/>
      <c r="G153" s="413"/>
      <c r="H153" s="413">
        <f>((B140/100)*(H143*100))/(24*I41*B79)*((2*(E143*100)*((B143*100)^2+2*(H143*100)^2)+3*(H143*100)^3-(E143*100)^3))</f>
        <v>0</v>
      </c>
      <c r="I153" s="414"/>
    </row>
    <row r="154" spans="1:12" x14ac:dyDescent="0.3">
      <c r="A154" s="6"/>
      <c r="B154" s="7"/>
      <c r="C154" s="100">
        <v>3</v>
      </c>
      <c r="D154" s="7"/>
      <c r="E154" s="7"/>
      <c r="F154" s="7">
        <v>7</v>
      </c>
      <c r="G154" s="7"/>
      <c r="H154" s="7"/>
      <c r="I154" s="149">
        <v>3</v>
      </c>
    </row>
    <row r="155" spans="1:12" x14ac:dyDescent="0.3">
      <c r="A155" s="155" t="s">
        <v>381</v>
      </c>
      <c r="B155" s="415">
        <f>(B143*100)/VLOOKUP(C154,TABELAS!$F$14:$G$23,2)</f>
        <v>0</v>
      </c>
      <c r="C155" s="415"/>
      <c r="D155" s="415"/>
      <c r="E155" s="416">
        <f>(E143*100)/VLOOKUP(F154,TABELAS!$F$14:$G$23,2)</f>
        <v>0.5714285714285714</v>
      </c>
      <c r="F155" s="415"/>
      <c r="G155" s="417"/>
      <c r="H155" s="415">
        <f>(H143*100)/VLOOKUP(I154,TABELAS!$F$14:$G$23,2)</f>
        <v>0</v>
      </c>
      <c r="I155" s="418"/>
    </row>
    <row r="156" spans="1:12" x14ac:dyDescent="0.3">
      <c r="A156" s="150" t="s">
        <v>382</v>
      </c>
      <c r="B156" s="404" t="str">
        <f>IF(B155=0,"",IF(B153&lt;0,(-1)*B153/B155,B153/B155))</f>
        <v/>
      </c>
      <c r="C156" s="404"/>
      <c r="D156" s="404"/>
      <c r="E156" s="405">
        <f>IF(E155=0,"",IF(E153&lt;0,(-1)*E153/E155,E153/E155))</f>
        <v>0.41458547371121102</v>
      </c>
      <c r="F156" s="404"/>
      <c r="G156" s="406"/>
      <c r="H156" s="404" t="str">
        <f>IF(H155=0,"",IF(H153&lt;0,(-1)*H153/H155,H153/H155))</f>
        <v/>
      </c>
      <c r="I156" s="407"/>
    </row>
    <row r="157" spans="1:12" ht="17.25" thickBot="1" x14ac:dyDescent="0.35">
      <c r="A157" s="9"/>
      <c r="B157" s="408" t="str">
        <f>IF(B155=0,"",IF(B156&lt;=1,"OK","Não OK"))</f>
        <v/>
      </c>
      <c r="C157" s="408"/>
      <c r="D157" s="408"/>
      <c r="E157" s="409" t="str">
        <f>IF(E155=0,"",IF(E156&lt;=1,"OK","Não OK"))</f>
        <v>OK</v>
      </c>
      <c r="F157" s="408"/>
      <c r="G157" s="410"/>
      <c r="H157" s="408" t="str">
        <f>IF(H155=0,"",IF(H156&lt;=1,"OK","Não OK"))</f>
        <v/>
      </c>
      <c r="I157" s="411"/>
    </row>
    <row r="158" spans="1:12" ht="19.5" thickBot="1" x14ac:dyDescent="0.45">
      <c r="A158" s="478" t="s">
        <v>136</v>
      </c>
      <c r="B158" s="478"/>
      <c r="C158" s="478"/>
      <c r="D158" s="478"/>
      <c r="E158" s="478"/>
      <c r="F158" s="478"/>
      <c r="G158" s="478"/>
      <c r="H158" s="478"/>
      <c r="I158" s="83">
        <v>4</v>
      </c>
    </row>
    <row r="159" spans="1:12" x14ac:dyDescent="0.3">
      <c r="A159" s="187" t="s">
        <v>383</v>
      </c>
      <c r="B159" s="188"/>
      <c r="C159" s="188"/>
      <c r="D159" s="188"/>
      <c r="E159" s="188"/>
      <c r="F159" s="188"/>
      <c r="G159" s="189"/>
      <c r="H159" s="189"/>
      <c r="I159" s="190"/>
    </row>
    <row r="160" spans="1:12" x14ac:dyDescent="0.3">
      <c r="A160" s="64"/>
      <c r="B160" s="372" t="s">
        <v>369</v>
      </c>
      <c r="C160" s="372"/>
      <c r="D160" s="373"/>
      <c r="E160" s="372" t="s">
        <v>370</v>
      </c>
      <c r="F160" s="372"/>
      <c r="G160" s="372"/>
      <c r="H160" s="368" t="s">
        <v>371</v>
      </c>
      <c r="I160" s="369"/>
    </row>
    <row r="161" spans="1:9" x14ac:dyDescent="0.3">
      <c r="A161" s="64"/>
      <c r="B161" s="374">
        <f>E91</f>
        <v>0</v>
      </c>
      <c r="C161" s="375"/>
      <c r="D161" s="376"/>
      <c r="E161" s="377">
        <f>E90</f>
        <v>2</v>
      </c>
      <c r="F161" s="378"/>
      <c r="G161" s="378"/>
      <c r="H161" s="370">
        <f>E92</f>
        <v>0</v>
      </c>
      <c r="I161" s="371"/>
    </row>
    <row r="162" spans="1:9" x14ac:dyDescent="0.3">
      <c r="A162" s="64" t="s">
        <v>372</v>
      </c>
      <c r="B162" s="397">
        <f>B138*B161</f>
        <v>0</v>
      </c>
      <c r="C162" s="398"/>
      <c r="D162" s="398"/>
      <c r="E162" s="398">
        <f>B138*E161</f>
        <v>363.58499999999998</v>
      </c>
      <c r="F162" s="398"/>
      <c r="G162" s="398"/>
      <c r="H162" s="398">
        <f>B138*H161</f>
        <v>0</v>
      </c>
      <c r="I162" s="399"/>
    </row>
    <row r="163" spans="1:9" x14ac:dyDescent="0.3">
      <c r="A163" s="6"/>
      <c r="B163" s="7"/>
      <c r="C163" s="100"/>
      <c r="D163" s="7"/>
      <c r="E163" s="7"/>
      <c r="F163" s="7"/>
      <c r="G163" s="7"/>
      <c r="H163" s="7"/>
      <c r="I163" s="8"/>
    </row>
    <row r="164" spans="1:9" x14ac:dyDescent="0.3">
      <c r="A164" s="6"/>
      <c r="B164" s="7"/>
      <c r="C164" s="153" t="s">
        <v>373</v>
      </c>
      <c r="D164" s="400">
        <f>((B138*(B161+E161+H161))*((B161+E161+H161)-2*H161))/(2*E161)</f>
        <v>181.79249999999999</v>
      </c>
      <c r="E164" s="401"/>
      <c r="F164" s="144"/>
      <c r="G164" s="400">
        <f>(((E161+H161)^2-B161^2)/(2*E161))*B138</f>
        <v>181.79249999999999</v>
      </c>
      <c r="H164" s="401"/>
      <c r="I164" s="145" t="s">
        <v>374</v>
      </c>
    </row>
    <row r="165" spans="1:9" x14ac:dyDescent="0.3">
      <c r="A165" s="150" t="s">
        <v>385</v>
      </c>
      <c r="B165" s="7"/>
      <c r="C165" s="141"/>
      <c r="D165" s="392">
        <f>(D164*B87)/(B88*B79)</f>
        <v>4.9579772727272715</v>
      </c>
      <c r="E165" s="392"/>
      <c r="F165" s="146"/>
      <c r="G165" s="392">
        <f>(G164*B87)/(B88*B79)</f>
        <v>4.9579772727272715</v>
      </c>
      <c r="H165" s="392"/>
      <c r="I165" s="147"/>
    </row>
    <row r="166" spans="1:9" x14ac:dyDescent="0.3">
      <c r="A166" s="155" t="s">
        <v>384</v>
      </c>
      <c r="B166" s="176"/>
      <c r="C166" s="176"/>
      <c r="D166" s="403">
        <f>G50</f>
        <v>19.034952533333328</v>
      </c>
      <c r="E166" s="403"/>
      <c r="F166" s="176"/>
      <c r="G166" s="403">
        <f>G50</f>
        <v>19.034952533333328</v>
      </c>
      <c r="H166" s="403"/>
      <c r="I166" s="177"/>
    </row>
    <row r="167" spans="1:9" x14ac:dyDescent="0.3">
      <c r="A167" s="150" t="s">
        <v>382</v>
      </c>
      <c r="B167" s="152"/>
      <c r="C167" s="152"/>
      <c r="D167" s="388">
        <f>D165/D166</f>
        <v>0.26046701529961996</v>
      </c>
      <c r="E167" s="390"/>
      <c r="F167" s="152"/>
      <c r="G167" s="388">
        <f>G165/G166</f>
        <v>0.26046701529961996</v>
      </c>
      <c r="H167" s="390"/>
      <c r="I167" s="174"/>
    </row>
    <row r="168" spans="1:9" x14ac:dyDescent="0.3">
      <c r="A168" s="6"/>
      <c r="B168" s="151"/>
      <c r="C168" s="151"/>
      <c r="D168" s="325" t="str">
        <f>IF(D166=0,"",IF(D167&lt;=1,"OK","Não OK"))</f>
        <v>OK</v>
      </c>
      <c r="E168" s="326"/>
      <c r="F168" s="151"/>
      <c r="G168" s="325" t="str">
        <f>IF(G166=0,"",IF(G167&lt;=1,"OK","Não OK"))</f>
        <v>OK</v>
      </c>
      <c r="H168" s="326"/>
      <c r="I168" s="175"/>
    </row>
    <row r="169" spans="1:9" x14ac:dyDescent="0.3">
      <c r="A169" s="64" t="s">
        <v>375</v>
      </c>
      <c r="B169" s="397"/>
      <c r="C169" s="398"/>
      <c r="D169" s="398"/>
      <c r="E169" s="402">
        <f>IF((ABS(D164)/B138)-B161&gt;E161,E161,(ABS(D164)/B138)-B161)</f>
        <v>1</v>
      </c>
      <c r="F169" s="402"/>
      <c r="G169" s="402"/>
      <c r="H169" s="398"/>
      <c r="I169" s="399"/>
    </row>
    <row r="170" spans="1:9" x14ac:dyDescent="0.3">
      <c r="A170" s="6"/>
      <c r="B170" s="7"/>
      <c r="C170" s="100"/>
      <c r="D170" s="7"/>
      <c r="E170" s="7"/>
      <c r="F170" s="181">
        <f>(D164/B138)-B161</f>
        <v>1</v>
      </c>
      <c r="G170" s="7"/>
      <c r="H170" s="7"/>
      <c r="I170" s="8"/>
    </row>
    <row r="171" spans="1:9" x14ac:dyDescent="0.3">
      <c r="A171" s="6"/>
      <c r="B171" s="7"/>
      <c r="C171" s="153" t="s">
        <v>377</v>
      </c>
      <c r="D171" s="352">
        <f>(-1)*B138*B161^2/2</f>
        <v>0</v>
      </c>
      <c r="E171" s="354"/>
      <c r="F171" s="144"/>
      <c r="G171" s="352">
        <f>(-1)*B138*H161^2/2</f>
        <v>0</v>
      </c>
      <c r="H171" s="354"/>
      <c r="I171" s="145" t="s">
        <v>378</v>
      </c>
    </row>
    <row r="172" spans="1:9" x14ac:dyDescent="0.3">
      <c r="A172" s="6"/>
      <c r="B172" s="7"/>
      <c r="C172" s="355" t="s">
        <v>379</v>
      </c>
      <c r="D172" s="356"/>
      <c r="E172" s="381">
        <f>(D164*E169)-((B138*(E169+B161)^2)/2)</f>
        <v>90.896249999999995</v>
      </c>
      <c r="F172" s="381"/>
      <c r="G172" s="381"/>
      <c r="H172" s="7"/>
      <c r="I172" s="8"/>
    </row>
    <row r="173" spans="1:9" x14ac:dyDescent="0.3">
      <c r="A173" s="150" t="s">
        <v>386</v>
      </c>
      <c r="B173" s="392">
        <f>IF(D171&lt;0,ABS((D171/B79)*B83*100),(D171/B79)*B83*100*(-1))</f>
        <v>0</v>
      </c>
      <c r="C173" s="392"/>
      <c r="D173" s="392"/>
      <c r="E173" s="392">
        <f>IF(E172&lt;0,ABS((E172/B79)*B83*100),(E172/B79)*B83*100*(-1))</f>
        <v>-90.145041322314043</v>
      </c>
      <c r="F173" s="392"/>
      <c r="G173" s="392"/>
      <c r="H173" s="392">
        <f>IF(G171&lt;0,ABS((G171/B79)*B83*100),(G171/B79)*B83*100*(-1))</f>
        <v>0</v>
      </c>
      <c r="I173" s="393"/>
    </row>
    <row r="174" spans="1:9" x14ac:dyDescent="0.3">
      <c r="A174" s="150" t="s">
        <v>387</v>
      </c>
      <c r="B174" s="394">
        <f>IF(D171&lt;0,(D171/B79)*B83*100,ABS((D171/B79)*B83*100))</f>
        <v>0</v>
      </c>
      <c r="C174" s="394"/>
      <c r="D174" s="394"/>
      <c r="E174" s="395">
        <f>IF(E172&lt;0,(E172/B79)*B83*100,ABS((E172/B79)*B83*100))</f>
        <v>90.145041322314043</v>
      </c>
      <c r="F174" s="395"/>
      <c r="G174" s="395"/>
      <c r="H174" s="395">
        <f>IF(G171&lt;0,(G171/B79)*B83*100,ABS((G171/B79)*B83*100))</f>
        <v>0</v>
      </c>
      <c r="I174" s="396"/>
    </row>
    <row r="175" spans="1:9" x14ac:dyDescent="0.3">
      <c r="A175" s="156" t="s">
        <v>388</v>
      </c>
      <c r="B175" s="350">
        <f>$G$48</f>
        <v>163.156736</v>
      </c>
      <c r="C175" s="350"/>
      <c r="D175" s="350"/>
      <c r="E175" s="350">
        <f>$G$48</f>
        <v>163.156736</v>
      </c>
      <c r="F175" s="350"/>
      <c r="G175" s="350"/>
      <c r="H175" s="350">
        <f>$G$48</f>
        <v>163.156736</v>
      </c>
      <c r="I175" s="351"/>
    </row>
    <row r="176" spans="1:9" x14ac:dyDescent="0.3">
      <c r="A176" s="156" t="s">
        <v>389</v>
      </c>
      <c r="B176" s="350">
        <f>$G$46</f>
        <v>181.28526222222223</v>
      </c>
      <c r="C176" s="350"/>
      <c r="D176" s="350"/>
      <c r="E176" s="350">
        <f>$G$46</f>
        <v>181.28526222222223</v>
      </c>
      <c r="F176" s="350"/>
      <c r="G176" s="350"/>
      <c r="H176" s="350">
        <f>$G$46</f>
        <v>181.28526222222223</v>
      </c>
      <c r="I176" s="351"/>
    </row>
    <row r="177" spans="1:17" x14ac:dyDescent="0.3">
      <c r="A177" s="150" t="s">
        <v>390</v>
      </c>
      <c r="B177" s="379" t="str">
        <f>IF(B173=0,"",ABS(SMALL(B173:D174,1)/B175))</f>
        <v/>
      </c>
      <c r="C177" s="384"/>
      <c r="D177" s="385"/>
      <c r="E177" s="379">
        <f>IF(E173=0,"",ABS(SMALL(E173:G174,1)/E175))</f>
        <v>0.55250579002949685</v>
      </c>
      <c r="F177" s="384"/>
      <c r="G177" s="385"/>
      <c r="H177" s="379" t="str">
        <f>IF(H173=0,"",ABS(SMALL(H173:I174,1)/H175))</f>
        <v/>
      </c>
      <c r="I177" s="380"/>
    </row>
    <row r="178" spans="1:17" x14ac:dyDescent="0.3">
      <c r="A178" s="150" t="s">
        <v>391</v>
      </c>
      <c r="B178" s="388" t="str">
        <f>IF(B174=0,"",ABS(LARGE(B173:D174,1)/B176))</f>
        <v/>
      </c>
      <c r="C178" s="389"/>
      <c r="D178" s="390"/>
      <c r="E178" s="388">
        <f>IF(E174=0,"",ABS(LARGE(E173:G174,1)/E176))</f>
        <v>0.49725521102654713</v>
      </c>
      <c r="F178" s="389"/>
      <c r="G178" s="390"/>
      <c r="H178" s="388" t="str">
        <f>IF(H174=0,"",ABS(LARGE(H173:I174,1)/H176))</f>
        <v/>
      </c>
      <c r="I178" s="391"/>
    </row>
    <row r="179" spans="1:17" ht="17.25" thickBot="1" x14ac:dyDescent="0.35">
      <c r="A179" s="9"/>
      <c r="B179" s="382" t="str">
        <f>IF(OR(B173=0,B174=0),"",IF(AND(B177&lt;=1,B178&lt;=1),"OK","Não OK"))</f>
        <v/>
      </c>
      <c r="C179" s="386"/>
      <c r="D179" s="387"/>
      <c r="E179" s="382" t="str">
        <f>IF(OR(E173=0,E174=0),"",IF(AND(E177&lt;=1,E178&lt;=1),"OK","Não OK"))</f>
        <v>OK</v>
      </c>
      <c r="F179" s="386"/>
      <c r="G179" s="387"/>
      <c r="H179" s="382" t="str">
        <f>IF(OR(H173=0,H174=0),"",IF(AND(H177&lt;=1,H178&lt;=1),"OK","Não OK"))</f>
        <v/>
      </c>
      <c r="I179" s="383"/>
    </row>
    <row r="180" spans="1:17" ht="15" x14ac:dyDescent="0.25">
      <c r="A180" s="187" t="s">
        <v>466</v>
      </c>
      <c r="B180" s="188"/>
      <c r="C180" s="188"/>
      <c r="D180" s="188"/>
      <c r="E180" s="188"/>
      <c r="F180" s="188"/>
      <c r="G180" s="189"/>
      <c r="H180" s="189"/>
      <c r="I180" s="190"/>
      <c r="J180" s="206" t="s">
        <v>461</v>
      </c>
      <c r="K180" s="207"/>
      <c r="L180" s="207"/>
      <c r="M180" s="207"/>
      <c r="N180" s="208"/>
      <c r="O180" s="186"/>
      <c r="P180" s="186"/>
      <c r="Q180" s="186"/>
    </row>
    <row r="181" spans="1:17" ht="15.75" x14ac:dyDescent="0.3">
      <c r="A181" s="150" t="s">
        <v>450</v>
      </c>
      <c r="B181" s="320">
        <f>B64/B63</f>
        <v>2.2000000000000002</v>
      </c>
      <c r="C181" s="320"/>
      <c r="D181" s="321" t="str">
        <f>IF(INT(B181)&lt;=2,"CASO 1",IF(INT(B181)=3,"CASO 2",IF(INT(B181)=4,"CASO 3",IF(INT(B181)=5,"CASO 4",IF(INT(B181)=6,"CASO 5",IF(INT(B181)&gt;=7,"CASO 6",""))))))</f>
        <v>CASO 1</v>
      </c>
      <c r="E181" s="321"/>
      <c r="F181" s="7"/>
      <c r="G181" s="7"/>
      <c r="H181" s="7"/>
      <c r="I181" s="8"/>
      <c r="J181" s="486" t="s">
        <v>462</v>
      </c>
      <c r="K181" s="487"/>
      <c r="L181" s="280">
        <v>0.9</v>
      </c>
      <c r="M181" s="281">
        <f>B90*L181/100</f>
        <v>1.8</v>
      </c>
      <c r="N181" s="282"/>
    </row>
    <row r="182" spans="1:17" x14ac:dyDescent="0.3">
      <c r="A182" s="150" t="s">
        <v>451</v>
      </c>
      <c r="B182" s="320">
        <f>B90/B63</f>
        <v>40</v>
      </c>
      <c r="C182" s="320"/>
      <c r="D182" s="7"/>
      <c r="E182" s="7"/>
      <c r="F182" s="7"/>
      <c r="G182" s="7"/>
      <c r="H182" s="7"/>
      <c r="I182" s="8"/>
      <c r="J182" s="486" t="s">
        <v>463</v>
      </c>
      <c r="K182" s="487"/>
      <c r="L182" s="211">
        <f>(((PI()*(B63^3*B64))*(SQRT(C29*10.197296*C30*10.197296*(1-0.63*(B63/B64)))))/(6*B90*L181))/100</f>
        <v>1051.6469838332407</v>
      </c>
      <c r="M182" s="201" t="s">
        <v>476</v>
      </c>
      <c r="N182" s="8"/>
    </row>
    <row r="183" spans="1:17" x14ac:dyDescent="0.3">
      <c r="A183" s="150" t="s">
        <v>452</v>
      </c>
      <c r="B183" s="320">
        <f>(4/PI())*(4/1.4)*((B181^(3/2))/((B181-0.63)^(1/2)))</f>
        <v>9.4738448752626176</v>
      </c>
      <c r="C183" s="320"/>
      <c r="D183" s="7"/>
      <c r="E183" s="7"/>
      <c r="F183" s="7"/>
      <c r="G183" s="7"/>
      <c r="H183" s="7"/>
      <c r="I183" s="8"/>
      <c r="J183" s="486" t="s">
        <v>464</v>
      </c>
      <c r="K183" s="487"/>
      <c r="L183" s="197">
        <f>((PI()*B63^2)/(B64*B90*L181))*(SQRT(C29*10.197296*C30*10.197296*(1-0.63*(B63/B64))))</f>
        <v>1042.9556864461892</v>
      </c>
      <c r="M183" s="201" t="s">
        <v>467</v>
      </c>
      <c r="N183" s="8"/>
    </row>
    <row r="184" spans="1:17" x14ac:dyDescent="0.3">
      <c r="A184" s="150" t="s">
        <v>453</v>
      </c>
      <c r="B184" s="320">
        <f>I41/(B183*I48)</f>
        <v>51.457460663402117</v>
      </c>
      <c r="C184" s="320"/>
      <c r="D184" s="193" t="str">
        <f>IF(B182&lt;B184,"Não há necessidade de verificação !","Vai haver flambagem lateral, precisará de trav. intermed.")</f>
        <v>Não há necessidade de verificação !</v>
      </c>
      <c r="E184" s="193"/>
      <c r="F184" s="7"/>
      <c r="G184" s="7"/>
      <c r="H184" s="7"/>
      <c r="I184" s="8"/>
      <c r="J184" s="486" t="s">
        <v>465</v>
      </c>
      <c r="K184" s="487"/>
      <c r="L184" s="202">
        <f>SQRT(C19*10.197296/L183)</f>
        <v>0.62537365297445935</v>
      </c>
      <c r="M184" s="201"/>
      <c r="N184" s="8"/>
    </row>
    <row r="185" spans="1:17" ht="18.75" x14ac:dyDescent="0.4">
      <c r="A185" s="150" t="s">
        <v>454</v>
      </c>
      <c r="B185" s="322">
        <f>(B63*I41)/(B183*I48)/100</f>
        <v>2.5728730331701057</v>
      </c>
      <c r="C185" s="322"/>
      <c r="D185" s="7"/>
      <c r="E185" s="7"/>
      <c r="F185" s="7"/>
      <c r="G185" s="323">
        <f>B186/B185</f>
        <v>0.77734111797026628</v>
      </c>
      <c r="H185" s="324"/>
      <c r="I185" s="8"/>
      <c r="J185" s="486" t="s">
        <v>468</v>
      </c>
      <c r="K185" s="487"/>
      <c r="L185" s="202">
        <f>IF(L184&lt;=0.75,1,IF(AND(0.75&lt;L184,L184&lt;=1.4),1.56-0.75*L184,(1/(L184^2))))</f>
        <v>1</v>
      </c>
      <c r="M185" s="201"/>
      <c r="N185" s="8"/>
    </row>
    <row r="186" spans="1:17" ht="18.75" x14ac:dyDescent="0.4">
      <c r="A186" s="150" t="s">
        <v>460</v>
      </c>
      <c r="B186" s="327">
        <f>E90</f>
        <v>2</v>
      </c>
      <c r="C186" s="328"/>
      <c r="D186" s="7"/>
      <c r="E186" s="7"/>
      <c r="F186" s="7"/>
      <c r="G186" s="325" t="str">
        <f>IF(B185=0,"",IF(G185&lt;=1,"OK","Não OK"))</f>
        <v>OK</v>
      </c>
      <c r="H186" s="326"/>
      <c r="I186" s="8"/>
      <c r="J186" s="486" t="s">
        <v>454</v>
      </c>
      <c r="K186" s="487"/>
      <c r="L186" s="198">
        <f>(((1.4^2*PI()*B63^2)/(B64*C19*10.197296))*SQRT((C29*10.197296*C30*10.197296*(1-0.63*(B63/B64)))))/100/L181</f>
        <v>10.023211768269405</v>
      </c>
      <c r="M186" s="203" t="s">
        <v>472</v>
      </c>
      <c r="N186" s="209">
        <f>B186/L187</f>
        <v>0.69527503259487922</v>
      </c>
    </row>
    <row r="187" spans="1:17" ht="18.75" x14ac:dyDescent="0.4">
      <c r="A187" s="195" t="s">
        <v>455</v>
      </c>
      <c r="B187" s="192"/>
      <c r="C187" s="197"/>
      <c r="D187" s="7"/>
      <c r="E187" s="7"/>
      <c r="F187" s="7"/>
      <c r="G187" s="7"/>
      <c r="H187" s="7"/>
      <c r="I187" s="8"/>
      <c r="J187" s="486" t="s">
        <v>470</v>
      </c>
      <c r="K187" s="487"/>
      <c r="L187" s="198">
        <f>(((0.75^2*PI()*B63^2)/(B64*C19*10.197296))*SQRT((C29*10.197296*C30*10.197296*(1-0.63*(B63/B64)))))/100/L181</f>
        <v>2.876559499822215</v>
      </c>
      <c r="M187" s="203" t="s">
        <v>471</v>
      </c>
      <c r="N187" s="210" t="str">
        <f>IF(N186&lt;=1,"OK","Não OK")</f>
        <v>OK</v>
      </c>
    </row>
    <row r="188" spans="1:17" x14ac:dyDescent="0.3">
      <c r="A188" s="195" t="s">
        <v>456</v>
      </c>
      <c r="B188" s="192"/>
      <c r="C188" s="197"/>
      <c r="D188" s="7"/>
      <c r="E188" s="7"/>
      <c r="F188" s="7"/>
      <c r="G188" s="7"/>
      <c r="H188" s="7"/>
      <c r="I188" s="8"/>
      <c r="J188" s="486" t="s">
        <v>473</v>
      </c>
      <c r="K188" s="487"/>
      <c r="L188" s="204">
        <f>G45</f>
        <v>163.156736</v>
      </c>
      <c r="M188" s="201"/>
      <c r="N188" s="8"/>
    </row>
    <row r="189" spans="1:17" ht="15.75" x14ac:dyDescent="0.3">
      <c r="A189" s="195" t="s">
        <v>457</v>
      </c>
      <c r="B189" s="192"/>
      <c r="C189" s="197"/>
      <c r="D189" s="7"/>
      <c r="E189" s="7"/>
      <c r="F189" s="7"/>
      <c r="G189" s="7"/>
      <c r="H189" s="7"/>
      <c r="I189" s="8"/>
      <c r="J189" s="486" t="s">
        <v>474</v>
      </c>
      <c r="K189" s="487"/>
      <c r="L189" s="204">
        <f>L188*L185</f>
        <v>163.156736</v>
      </c>
      <c r="M189" s="199">
        <f>L190/L189</f>
        <v>0.55250579002949696</v>
      </c>
      <c r="N189" s="8"/>
    </row>
    <row r="190" spans="1:17" ht="15.75" x14ac:dyDescent="0.3">
      <c r="A190" s="195" t="s">
        <v>469</v>
      </c>
      <c r="B190" s="192"/>
      <c r="C190" s="197"/>
      <c r="D190" s="7"/>
      <c r="E190" s="7"/>
      <c r="F190" s="7"/>
      <c r="G190" s="7"/>
      <c r="H190" s="7"/>
      <c r="I190" s="8"/>
      <c r="J190" s="486" t="s">
        <v>475</v>
      </c>
      <c r="K190" s="487"/>
      <c r="L190" s="204">
        <f>(E172*100)/B81</f>
        <v>90.145041322314057</v>
      </c>
      <c r="M190" s="200" t="str">
        <f>IF(M189&lt;=1,"OK","Não OK")</f>
        <v>OK</v>
      </c>
      <c r="N190" s="8"/>
    </row>
    <row r="191" spans="1:17" x14ac:dyDescent="0.3">
      <c r="A191" s="195" t="s">
        <v>458</v>
      </c>
      <c r="B191" s="192"/>
      <c r="C191" s="197"/>
      <c r="D191" s="7"/>
      <c r="E191" s="7"/>
      <c r="F191" s="7"/>
      <c r="G191" s="7"/>
      <c r="H191" s="7"/>
      <c r="I191" s="8"/>
      <c r="J191" s="6"/>
      <c r="K191" s="7"/>
      <c r="L191" s="7"/>
      <c r="M191" s="201"/>
      <c r="N191" s="8"/>
    </row>
    <row r="192" spans="1:17" ht="17.25" thickBot="1" x14ac:dyDescent="0.35">
      <c r="A192" s="196" t="s">
        <v>459</v>
      </c>
      <c r="B192" s="194"/>
      <c r="C192" s="115"/>
      <c r="D192" s="10"/>
      <c r="E192" s="10"/>
      <c r="F192" s="10"/>
      <c r="G192" s="10"/>
      <c r="H192" s="10"/>
      <c r="I192" s="11"/>
      <c r="J192" s="9"/>
      <c r="K192" s="10"/>
      <c r="L192" s="10"/>
      <c r="M192" s="205"/>
      <c r="N192" s="11"/>
    </row>
  </sheetData>
  <mergeCells count="258">
    <mergeCell ref="J188:K188"/>
    <mergeCell ref="J189:K189"/>
    <mergeCell ref="J190:K190"/>
    <mergeCell ref="J181:K181"/>
    <mergeCell ref="J182:K182"/>
    <mergeCell ref="J183:K183"/>
    <mergeCell ref="J184:K184"/>
    <mergeCell ref="J185:K185"/>
    <mergeCell ref="J186:K186"/>
    <mergeCell ref="J187:K187"/>
    <mergeCell ref="A10:H10"/>
    <mergeCell ref="A59:H59"/>
    <mergeCell ref="A108:H108"/>
    <mergeCell ref="A158:H158"/>
    <mergeCell ref="A141:I141"/>
    <mergeCell ref="G134:H134"/>
    <mergeCell ref="B138:C138"/>
    <mergeCell ref="B140:C140"/>
    <mergeCell ref="B139:C139"/>
    <mergeCell ref="A137:I137"/>
    <mergeCell ref="A129:I129"/>
    <mergeCell ref="G130:H130"/>
    <mergeCell ref="G131:H131"/>
    <mergeCell ref="G132:H132"/>
    <mergeCell ref="A133:I133"/>
    <mergeCell ref="E127:F127"/>
    <mergeCell ref="G127:H127"/>
    <mergeCell ref="E128:F128"/>
    <mergeCell ref="G128:H128"/>
    <mergeCell ref="C125:D125"/>
    <mergeCell ref="C111:D111"/>
    <mergeCell ref="E111:F111"/>
    <mergeCell ref="G111:H111"/>
    <mergeCell ref="F93:H93"/>
    <mergeCell ref="E120:F120"/>
    <mergeCell ref="C121:D121"/>
    <mergeCell ref="C122:D122"/>
    <mergeCell ref="C123:D123"/>
    <mergeCell ref="C124:D124"/>
    <mergeCell ref="G116:H116"/>
    <mergeCell ref="G117:H117"/>
    <mergeCell ref="G118:H118"/>
    <mergeCell ref="G119:H119"/>
    <mergeCell ref="G120:H120"/>
    <mergeCell ref="G110:H110"/>
    <mergeCell ref="G112:H112"/>
    <mergeCell ref="G113:H113"/>
    <mergeCell ref="G114:H114"/>
    <mergeCell ref="G115:H115"/>
    <mergeCell ref="C116:D116"/>
    <mergeCell ref="C117:D117"/>
    <mergeCell ref="C118:D118"/>
    <mergeCell ref="C119:D119"/>
    <mergeCell ref="E110:F110"/>
    <mergeCell ref="E112:F112"/>
    <mergeCell ref="E113:F113"/>
    <mergeCell ref="E114:F114"/>
    <mergeCell ref="E115:F115"/>
    <mergeCell ref="E116:F116"/>
    <mergeCell ref="E117:F117"/>
    <mergeCell ref="E119:F119"/>
    <mergeCell ref="E118:F118"/>
    <mergeCell ref="C110:D110"/>
    <mergeCell ref="C112:D112"/>
    <mergeCell ref="C113:D113"/>
    <mergeCell ref="C114:D114"/>
    <mergeCell ref="C115:D115"/>
    <mergeCell ref="B72:C72"/>
    <mergeCell ref="B73:C73"/>
    <mergeCell ref="A61:I61"/>
    <mergeCell ref="E63:F63"/>
    <mergeCell ref="E64:F64"/>
    <mergeCell ref="B64:C64"/>
    <mergeCell ref="B65:C65"/>
    <mergeCell ref="B66:C66"/>
    <mergeCell ref="B67:C67"/>
    <mergeCell ref="B68:C68"/>
    <mergeCell ref="B69:C69"/>
    <mergeCell ref="B63:C63"/>
    <mergeCell ref="G50:H50"/>
    <mergeCell ref="G51:H51"/>
    <mergeCell ref="G52:H52"/>
    <mergeCell ref="G53:H53"/>
    <mergeCell ref="G54:H54"/>
    <mergeCell ref="G55:H55"/>
    <mergeCell ref="G56:H56"/>
    <mergeCell ref="B70:C70"/>
    <mergeCell ref="B71:C71"/>
    <mergeCell ref="A12:D12"/>
    <mergeCell ref="B13:D13"/>
    <mergeCell ref="A32:D36"/>
    <mergeCell ref="E12:I12"/>
    <mergeCell ref="E16:H16"/>
    <mergeCell ref="E25:I25"/>
    <mergeCell ref="H26:I26"/>
    <mergeCell ref="H27:I27"/>
    <mergeCell ref="H28:I28"/>
    <mergeCell ref="E28:G28"/>
    <mergeCell ref="E17:I17"/>
    <mergeCell ref="G34:H34"/>
    <mergeCell ref="A76:I76"/>
    <mergeCell ref="B78:C78"/>
    <mergeCell ref="B77:D77"/>
    <mergeCell ref="B79:C79"/>
    <mergeCell ref="B80:C80"/>
    <mergeCell ref="B81:C81"/>
    <mergeCell ref="B82:C82"/>
    <mergeCell ref="E29:I29"/>
    <mergeCell ref="B14:D14"/>
    <mergeCell ref="G45:H45"/>
    <mergeCell ref="C40:D40"/>
    <mergeCell ref="E40:F40"/>
    <mergeCell ref="B39:I39"/>
    <mergeCell ref="A38:I38"/>
    <mergeCell ref="G40:H40"/>
    <mergeCell ref="G41:H41"/>
    <mergeCell ref="G42:H42"/>
    <mergeCell ref="G43:H43"/>
    <mergeCell ref="G44:H44"/>
    <mergeCell ref="G57:H57"/>
    <mergeCell ref="G46:H46"/>
    <mergeCell ref="G47:H47"/>
    <mergeCell ref="G48:H48"/>
    <mergeCell ref="G49:H49"/>
    <mergeCell ref="B87:C87"/>
    <mergeCell ref="B88:C88"/>
    <mergeCell ref="B95:C95"/>
    <mergeCell ref="A89:I89"/>
    <mergeCell ref="B90:C90"/>
    <mergeCell ref="B91:C91"/>
    <mergeCell ref="B92:C92"/>
    <mergeCell ref="B93:C93"/>
    <mergeCell ref="B94:C94"/>
    <mergeCell ref="F90:H90"/>
    <mergeCell ref="F91:H91"/>
    <mergeCell ref="F92:H92"/>
    <mergeCell ref="B153:D153"/>
    <mergeCell ref="E153:G153"/>
    <mergeCell ref="H153:I153"/>
    <mergeCell ref="B155:D155"/>
    <mergeCell ref="E155:G155"/>
    <mergeCell ref="H155:I155"/>
    <mergeCell ref="B144:D144"/>
    <mergeCell ref="E144:G144"/>
    <mergeCell ref="H144:I144"/>
    <mergeCell ref="D146:E146"/>
    <mergeCell ref="G146:H146"/>
    <mergeCell ref="B148:D148"/>
    <mergeCell ref="E148:G148"/>
    <mergeCell ref="H148:I148"/>
    <mergeCell ref="B156:D156"/>
    <mergeCell ref="E156:G156"/>
    <mergeCell ref="H156:I156"/>
    <mergeCell ref="B157:D157"/>
    <mergeCell ref="E157:G157"/>
    <mergeCell ref="H157:I157"/>
    <mergeCell ref="B160:D160"/>
    <mergeCell ref="E160:G160"/>
    <mergeCell ref="H160:I160"/>
    <mergeCell ref="E161:G161"/>
    <mergeCell ref="H161:I161"/>
    <mergeCell ref="B162:D162"/>
    <mergeCell ref="E162:G162"/>
    <mergeCell ref="H162:I162"/>
    <mergeCell ref="D164:E164"/>
    <mergeCell ref="G164:H164"/>
    <mergeCell ref="B169:D169"/>
    <mergeCell ref="E169:G169"/>
    <mergeCell ref="H169:I169"/>
    <mergeCell ref="D166:E166"/>
    <mergeCell ref="G166:H166"/>
    <mergeCell ref="D165:E165"/>
    <mergeCell ref="G165:H165"/>
    <mergeCell ref="D167:E167"/>
    <mergeCell ref="G167:H167"/>
    <mergeCell ref="D168:E168"/>
    <mergeCell ref="G168:H168"/>
    <mergeCell ref="B176:D176"/>
    <mergeCell ref="E176:G176"/>
    <mergeCell ref="H176:I176"/>
    <mergeCell ref="H177:I177"/>
    <mergeCell ref="D171:E171"/>
    <mergeCell ref="G171:H171"/>
    <mergeCell ref="C172:D172"/>
    <mergeCell ref="E172:G172"/>
    <mergeCell ref="H179:I179"/>
    <mergeCell ref="B177:D177"/>
    <mergeCell ref="B179:D179"/>
    <mergeCell ref="E177:G177"/>
    <mergeCell ref="E179:G179"/>
    <mergeCell ref="B178:D178"/>
    <mergeCell ref="E178:G178"/>
    <mergeCell ref="H178:I178"/>
    <mergeCell ref="B173:D173"/>
    <mergeCell ref="E173:G173"/>
    <mergeCell ref="H173:I173"/>
    <mergeCell ref="B174:D174"/>
    <mergeCell ref="E174:G174"/>
    <mergeCell ref="H174:I174"/>
    <mergeCell ref="B175:D175"/>
    <mergeCell ref="E175:G175"/>
    <mergeCell ref="H175:I175"/>
    <mergeCell ref="E151:G151"/>
    <mergeCell ref="C151:D151"/>
    <mergeCell ref="G150:H150"/>
    <mergeCell ref="D150:E150"/>
    <mergeCell ref="B2:C2"/>
    <mergeCell ref="B1:D1"/>
    <mergeCell ref="E1:G1"/>
    <mergeCell ref="H1:I1"/>
    <mergeCell ref="E2:F2"/>
    <mergeCell ref="B9:D9"/>
    <mergeCell ref="E9:G9"/>
    <mergeCell ref="H9:I9"/>
    <mergeCell ref="E65:I75"/>
    <mergeCell ref="H142:I142"/>
    <mergeCell ref="H143:I143"/>
    <mergeCell ref="E142:G142"/>
    <mergeCell ref="B142:D142"/>
    <mergeCell ref="B143:D143"/>
    <mergeCell ref="E143:G143"/>
    <mergeCell ref="B83:C83"/>
    <mergeCell ref="B84:C84"/>
    <mergeCell ref="B85:C85"/>
    <mergeCell ref="B161:D161"/>
    <mergeCell ref="B86:C86"/>
    <mergeCell ref="J1:K1"/>
    <mergeCell ref="B3:I3"/>
    <mergeCell ref="B5:D5"/>
    <mergeCell ref="B7:D7"/>
    <mergeCell ref="B8:D8"/>
    <mergeCell ref="E5:G5"/>
    <mergeCell ref="E7:G7"/>
    <mergeCell ref="E8:G8"/>
    <mergeCell ref="H5:I5"/>
    <mergeCell ref="H7:I7"/>
    <mergeCell ref="H8:I8"/>
    <mergeCell ref="D6:E6"/>
    <mergeCell ref="G6:H6"/>
    <mergeCell ref="B4:D4"/>
    <mergeCell ref="E4:G4"/>
    <mergeCell ref="H4:I4"/>
    <mergeCell ref="J4:K4"/>
    <mergeCell ref="J3:K3"/>
    <mergeCell ref="J5:K5"/>
    <mergeCell ref="J6:K6"/>
    <mergeCell ref="J7:K7"/>
    <mergeCell ref="B74:C74"/>
    <mergeCell ref="B75:C75"/>
    <mergeCell ref="B181:C181"/>
    <mergeCell ref="B182:C182"/>
    <mergeCell ref="B183:C183"/>
    <mergeCell ref="B184:C184"/>
    <mergeCell ref="D181:E181"/>
    <mergeCell ref="B185:C185"/>
    <mergeCell ref="G185:H185"/>
    <mergeCell ref="G186:H186"/>
    <mergeCell ref="B186:C186"/>
  </mergeCells>
  <conditionalFormatting sqref="B5:I5 D6:E6 G6:H6 B7:D8 E7:G9 H7:I8">
    <cfRule type="cellIs" dxfId="4" priority="13" operator="lessThan">
      <formula>1</formula>
    </cfRule>
    <cfRule type="cellIs" dxfId="3" priority="14" operator="lessThan">
      <formula>1</formula>
    </cfRule>
    <cfRule type="cellIs" dxfId="2" priority="15" operator="greaterThan">
      <formula>1</formula>
    </cfRule>
  </conditionalFormatting>
  <conditionalFormatting sqref="B3:I4">
    <cfRule type="cellIs" dxfId="1" priority="7" operator="equal">
      <formula>"A PEÇA NÃO ESTÁ OK!"</formula>
    </cfRule>
  </conditionalFormatting>
  <conditionalFormatting sqref="B4:I4 J7:K7 B139:C139 G132:H132">
    <cfRule type="cellIs" dxfId="0" priority="6" operator="lessThan">
      <formula>0</formula>
    </cfRule>
  </conditionalFormatting>
  <printOptions horizontalCentered="1"/>
  <pageMargins left="0.19685039370078741" right="0.19685039370078741" top="0.39370078740157483" bottom="0.39370078740157483" header="0.31496062992125984" footer="0.19685039370078741"/>
  <pageSetup paperSize="9" fitToHeight="3" orientation="portrait" horizontalDpi="1200" verticalDpi="1200" r:id="rId1"/>
  <headerFooter>
    <oddFooter>&amp;L&amp;8Carpintería Estruturas de Madeira&amp;C&amp;8www.carpinteria.com.br&amp;R&amp;8+55 (11) 3052-3510</oddFooter>
  </headerFooter>
  <ignoredErrors>
    <ignoredError sqref="G54 I54" 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Drop Down 1">
              <controlPr defaultSize="0" autoLine="0" autoPict="0">
                <anchor moveWithCells="1">
                  <from>
                    <xdr:col>0</xdr:col>
                    <xdr:colOff>19050</xdr:colOff>
                    <xdr:row>11</xdr:row>
                    <xdr:rowOff>200025</xdr:rowOff>
                  </from>
                  <to>
                    <xdr:col>0</xdr:col>
                    <xdr:colOff>1933575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5" name="Drop Down 5">
              <controlPr defaultSize="0" autoLine="0" autoPict="0">
                <anchor moveWithCells="1">
                  <from>
                    <xdr:col>5</xdr:col>
                    <xdr:colOff>9525</xdr:colOff>
                    <xdr:row>11</xdr:row>
                    <xdr:rowOff>180975</xdr:rowOff>
                  </from>
                  <to>
                    <xdr:col>8</xdr:col>
                    <xdr:colOff>161925</xdr:colOff>
                    <xdr:row>12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6" name="Drop Down 6">
              <controlPr defaultSize="0" autoLine="0" autoPict="0">
                <anchor moveWithCells="1">
                  <from>
                    <xdr:col>5</xdr:col>
                    <xdr:colOff>9525</xdr:colOff>
                    <xdr:row>12</xdr:row>
                    <xdr:rowOff>180975</xdr:rowOff>
                  </from>
                  <to>
                    <xdr:col>8</xdr:col>
                    <xdr:colOff>161925</xdr:colOff>
                    <xdr:row>13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9" r:id="rId7" name="Drop Down 7">
              <controlPr defaultSize="0" autoLine="0" autoPict="0">
                <anchor moveWithCells="1">
                  <from>
                    <xdr:col>5</xdr:col>
                    <xdr:colOff>9525</xdr:colOff>
                    <xdr:row>13</xdr:row>
                    <xdr:rowOff>180975</xdr:rowOff>
                  </from>
                  <to>
                    <xdr:col>8</xdr:col>
                    <xdr:colOff>161925</xdr:colOff>
                    <xdr:row>14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8" name="Drop Down 9">
              <controlPr defaultSize="0" autoLine="0" autoPict="0">
                <anchor moveWithCells="1">
                  <from>
                    <xdr:col>0</xdr:col>
                    <xdr:colOff>19050</xdr:colOff>
                    <xdr:row>61</xdr:row>
                    <xdr:rowOff>9525</xdr:rowOff>
                  </from>
                  <to>
                    <xdr:col>0</xdr:col>
                    <xdr:colOff>1933575</xdr:colOff>
                    <xdr:row>61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2" r:id="rId9" name="Spinner 10">
              <controlPr defaultSize="0" print="0" autoPict="0">
                <anchor moveWithCells="1" sizeWithCells="1">
                  <from>
                    <xdr:col>3</xdr:col>
                    <xdr:colOff>9525</xdr:colOff>
                    <xdr:row>62</xdr:row>
                    <xdr:rowOff>9525</xdr:rowOff>
                  </from>
                  <to>
                    <xdr:col>3</xdr:col>
                    <xdr:colOff>323850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3" r:id="rId10" name="Spinner 11">
              <controlPr defaultSize="0" print="0" autoPict="0">
                <anchor moveWithCells="1" sizeWithCells="1">
                  <from>
                    <xdr:col>3</xdr:col>
                    <xdr:colOff>9525</xdr:colOff>
                    <xdr:row>63</xdr:row>
                    <xdr:rowOff>9525</xdr:rowOff>
                  </from>
                  <to>
                    <xdr:col>3</xdr:col>
                    <xdr:colOff>323850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7" r:id="rId11" name="Spinner 15">
              <controlPr defaultSize="0" print="0" autoPict="0">
                <anchor moveWithCells="1" sizeWithCells="1">
                  <from>
                    <xdr:col>7</xdr:col>
                    <xdr:colOff>9525</xdr:colOff>
                    <xdr:row>62</xdr:row>
                    <xdr:rowOff>9525</xdr:rowOff>
                  </from>
                  <to>
                    <xdr:col>8</xdr:col>
                    <xdr:colOff>0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8" r:id="rId12" name="Spinner 16">
              <controlPr defaultSize="0" print="0" autoPict="0">
                <anchor moveWithCells="1" sizeWithCells="1">
                  <from>
                    <xdr:col>7</xdr:col>
                    <xdr:colOff>9525</xdr:colOff>
                    <xdr:row>63</xdr:row>
                    <xdr:rowOff>9525</xdr:rowOff>
                  </from>
                  <to>
                    <xdr:col>8</xdr:col>
                    <xdr:colOff>0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9" r:id="rId13" name="Spinner 17">
              <controlPr defaultSize="0" print="0" autoPict="0">
                <anchor moveWithCells="1" sizeWithCells="1">
                  <from>
                    <xdr:col>3</xdr:col>
                    <xdr:colOff>9525</xdr:colOff>
                    <xdr:row>90</xdr:row>
                    <xdr:rowOff>9525</xdr:rowOff>
                  </from>
                  <to>
                    <xdr:col>3</xdr:col>
                    <xdr:colOff>323850</xdr:colOff>
                    <xdr:row>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0" r:id="rId14" name="Spinner 18">
              <controlPr defaultSize="0" print="0" autoPict="0">
                <anchor moveWithCells="1" sizeWithCells="1">
                  <from>
                    <xdr:col>3</xdr:col>
                    <xdr:colOff>9525</xdr:colOff>
                    <xdr:row>91</xdr:row>
                    <xdr:rowOff>9525</xdr:rowOff>
                  </from>
                  <to>
                    <xdr:col>3</xdr:col>
                    <xdr:colOff>323850</xdr:colOff>
                    <xdr:row>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1" r:id="rId15" name="Spinner 19">
              <controlPr defaultSize="0" print="0" autoPict="0">
                <anchor moveWithCells="1" sizeWithCells="1">
                  <from>
                    <xdr:col>3</xdr:col>
                    <xdr:colOff>9525</xdr:colOff>
                    <xdr:row>92</xdr:row>
                    <xdr:rowOff>9525</xdr:rowOff>
                  </from>
                  <to>
                    <xdr:col>3</xdr:col>
                    <xdr:colOff>323850</xdr:colOff>
                    <xdr:row>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2" r:id="rId16" name="Spinner 20">
              <controlPr defaultSize="0" print="0" autoPict="0">
                <anchor moveWithCells="1" sizeWithCells="1">
                  <from>
                    <xdr:col>3</xdr:col>
                    <xdr:colOff>9525</xdr:colOff>
                    <xdr:row>89</xdr:row>
                    <xdr:rowOff>9525</xdr:rowOff>
                  </from>
                  <to>
                    <xdr:col>3</xdr:col>
                    <xdr:colOff>323850</xdr:colOff>
                    <xdr:row>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3" r:id="rId17" name="Spinner 21">
              <controlPr defaultSize="0" print="0" autoPict="0">
                <anchor moveWithCells="1" sizeWithCells="1">
                  <from>
                    <xdr:col>3</xdr:col>
                    <xdr:colOff>9525</xdr:colOff>
                    <xdr:row>93</xdr:row>
                    <xdr:rowOff>9525</xdr:rowOff>
                  </from>
                  <to>
                    <xdr:col>3</xdr:col>
                    <xdr:colOff>323850</xdr:colOff>
                    <xdr:row>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6" r:id="rId18" name="Drop Down 24">
              <controlPr defaultSize="0" autoLine="0" autoPict="0">
                <anchor moveWithCells="1">
                  <from>
                    <xdr:col>0</xdr:col>
                    <xdr:colOff>9525</xdr:colOff>
                    <xdr:row>111</xdr:row>
                    <xdr:rowOff>0</xdr:rowOff>
                  </from>
                  <to>
                    <xdr:col>1</xdr:col>
                    <xdr:colOff>190500</xdr:colOff>
                    <xdr:row>111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7" r:id="rId19" name="Drop Down 25">
              <controlPr defaultSize="0" autoLine="0" autoPict="0">
                <anchor moveWithCells="1">
                  <from>
                    <xdr:col>0</xdr:col>
                    <xdr:colOff>9525</xdr:colOff>
                    <xdr:row>112</xdr:row>
                    <xdr:rowOff>0</xdr:rowOff>
                  </from>
                  <to>
                    <xdr:col>1</xdr:col>
                    <xdr:colOff>190500</xdr:colOff>
                    <xdr:row>112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8" r:id="rId20" name="Drop Down 26">
              <controlPr defaultSize="0" autoLine="0" autoPict="0">
                <anchor moveWithCells="1">
                  <from>
                    <xdr:col>0</xdr:col>
                    <xdr:colOff>9525</xdr:colOff>
                    <xdr:row>113</xdr:row>
                    <xdr:rowOff>0</xdr:rowOff>
                  </from>
                  <to>
                    <xdr:col>1</xdr:col>
                    <xdr:colOff>190500</xdr:colOff>
                    <xdr:row>113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9" r:id="rId21" name="Drop Down 27">
              <controlPr defaultSize="0" autoLine="0" autoPict="0">
                <anchor moveWithCells="1">
                  <from>
                    <xdr:col>0</xdr:col>
                    <xdr:colOff>9525</xdr:colOff>
                    <xdr:row>114</xdr:row>
                    <xdr:rowOff>0</xdr:rowOff>
                  </from>
                  <to>
                    <xdr:col>1</xdr:col>
                    <xdr:colOff>190500</xdr:colOff>
                    <xdr:row>114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0" r:id="rId22" name="Drop Down 28">
              <controlPr defaultSize="0" autoLine="0" autoPict="0">
                <anchor moveWithCells="1">
                  <from>
                    <xdr:col>0</xdr:col>
                    <xdr:colOff>9525</xdr:colOff>
                    <xdr:row>115</xdr:row>
                    <xdr:rowOff>0</xdr:rowOff>
                  </from>
                  <to>
                    <xdr:col>1</xdr:col>
                    <xdr:colOff>190500</xdr:colOff>
                    <xdr:row>115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1" r:id="rId23" name="Drop Down 29">
              <controlPr defaultSize="0" autoLine="0" autoPict="0">
                <anchor moveWithCells="1">
                  <from>
                    <xdr:col>0</xdr:col>
                    <xdr:colOff>9525</xdr:colOff>
                    <xdr:row>116</xdr:row>
                    <xdr:rowOff>0</xdr:rowOff>
                  </from>
                  <to>
                    <xdr:col>1</xdr:col>
                    <xdr:colOff>190500</xdr:colOff>
                    <xdr:row>116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2" r:id="rId24" name="Drop Down 30">
              <controlPr defaultSize="0" autoLine="0" autoPict="0">
                <anchor moveWithCells="1">
                  <from>
                    <xdr:col>0</xdr:col>
                    <xdr:colOff>9525</xdr:colOff>
                    <xdr:row>117</xdr:row>
                    <xdr:rowOff>0</xdr:rowOff>
                  </from>
                  <to>
                    <xdr:col>1</xdr:col>
                    <xdr:colOff>190500</xdr:colOff>
                    <xdr:row>117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4" r:id="rId25" name="Drop Down 32">
              <controlPr defaultSize="0" autoLine="0" autoPict="0">
                <anchor moveWithCells="1">
                  <from>
                    <xdr:col>0</xdr:col>
                    <xdr:colOff>9525</xdr:colOff>
                    <xdr:row>121</xdr:row>
                    <xdr:rowOff>0</xdr:rowOff>
                  </from>
                  <to>
                    <xdr:col>1</xdr:col>
                    <xdr:colOff>190500</xdr:colOff>
                    <xdr:row>121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5" r:id="rId26" name="Drop Down 33">
              <controlPr defaultSize="0" autoLine="0" autoPict="0">
                <anchor moveWithCells="1">
                  <from>
                    <xdr:col>0</xdr:col>
                    <xdr:colOff>9525</xdr:colOff>
                    <xdr:row>122</xdr:row>
                    <xdr:rowOff>0</xdr:rowOff>
                  </from>
                  <to>
                    <xdr:col>1</xdr:col>
                    <xdr:colOff>190500</xdr:colOff>
                    <xdr:row>122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6" r:id="rId27" name="Drop Down 34">
              <controlPr defaultSize="0" autoLine="0" autoPict="0">
                <anchor moveWithCells="1">
                  <from>
                    <xdr:col>0</xdr:col>
                    <xdr:colOff>9525</xdr:colOff>
                    <xdr:row>123</xdr:row>
                    <xdr:rowOff>0</xdr:rowOff>
                  </from>
                  <to>
                    <xdr:col>1</xdr:col>
                    <xdr:colOff>190500</xdr:colOff>
                    <xdr:row>123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7" r:id="rId28" name="Drop Down 35">
              <controlPr defaultSize="0" autoLine="0" autoPict="0">
                <anchor moveWithCells="1">
                  <from>
                    <xdr:col>0</xdr:col>
                    <xdr:colOff>9525</xdr:colOff>
                    <xdr:row>124</xdr:row>
                    <xdr:rowOff>0</xdr:rowOff>
                  </from>
                  <to>
                    <xdr:col>1</xdr:col>
                    <xdr:colOff>190500</xdr:colOff>
                    <xdr:row>124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9" r:id="rId29" name="Drop Down 37">
              <controlPr defaultSize="0" autoLine="0" autoPict="0">
                <anchor moveWithCells="1">
                  <from>
                    <xdr:col>0</xdr:col>
                    <xdr:colOff>9525</xdr:colOff>
                    <xdr:row>126</xdr:row>
                    <xdr:rowOff>0</xdr:rowOff>
                  </from>
                  <to>
                    <xdr:col>3</xdr:col>
                    <xdr:colOff>114300</xdr:colOff>
                    <xdr:row>127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0" r:id="rId30" name="Drop Down 38">
              <controlPr defaultSize="0" autoLine="0" autoPict="0">
                <anchor moveWithCells="1">
                  <from>
                    <xdr:col>1</xdr:col>
                    <xdr:colOff>257175</xdr:colOff>
                    <xdr:row>153</xdr:row>
                    <xdr:rowOff>9525</xdr:rowOff>
                  </from>
                  <to>
                    <xdr:col>3</xdr:col>
                    <xdr:colOff>66675</xdr:colOff>
                    <xdr:row>154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1" r:id="rId31" name="Drop Down 39">
              <controlPr defaultSize="0" autoLine="0" autoPict="0">
                <anchor moveWithCells="1">
                  <from>
                    <xdr:col>4</xdr:col>
                    <xdr:colOff>495300</xdr:colOff>
                    <xdr:row>153</xdr:row>
                    <xdr:rowOff>9525</xdr:rowOff>
                  </from>
                  <to>
                    <xdr:col>6</xdr:col>
                    <xdr:colOff>219075</xdr:colOff>
                    <xdr:row>154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2" r:id="rId32" name="Drop Down 40">
              <controlPr defaultSize="0" autoLine="0" autoPict="0">
                <anchor moveWithCells="1">
                  <from>
                    <xdr:col>8</xdr:col>
                    <xdr:colOff>9525</xdr:colOff>
                    <xdr:row>153</xdr:row>
                    <xdr:rowOff>9525</xdr:rowOff>
                  </from>
                  <to>
                    <xdr:col>8</xdr:col>
                    <xdr:colOff>742950</xdr:colOff>
                    <xdr:row>154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7" r:id="rId33" name="Drop Down 45">
              <controlPr defaultSize="0" autoLine="0" autoPict="0">
                <anchor moveWithCells="1">
                  <from>
                    <xdr:col>0</xdr:col>
                    <xdr:colOff>28575</xdr:colOff>
                    <xdr:row>1</xdr:row>
                    <xdr:rowOff>0</xdr:rowOff>
                  </from>
                  <to>
                    <xdr:col>0</xdr:col>
                    <xdr:colOff>2162175</xdr:colOff>
                    <xdr:row>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8" r:id="rId34" name="Spinner 46">
              <controlPr defaultSize="0" autoPict="0">
                <anchor moveWithCells="1" sizeWithCells="1">
                  <from>
                    <xdr:col>6</xdr:col>
                    <xdr:colOff>9525</xdr:colOff>
                    <xdr:row>1</xdr:row>
                    <xdr:rowOff>9525</xdr:rowOff>
                  </from>
                  <to>
                    <xdr:col>6</xdr:col>
                    <xdr:colOff>323850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9" r:id="rId35" name="Spinner 47">
              <controlPr defaultSize="0" autoPict="0">
                <anchor moveWithCells="1" sizeWithCells="1">
                  <from>
                    <xdr:col>3</xdr:col>
                    <xdr:colOff>9525</xdr:colOff>
                    <xdr:row>1</xdr:row>
                    <xdr:rowOff>9525</xdr:rowOff>
                  </from>
                  <to>
                    <xdr:col>3</xdr:col>
                    <xdr:colOff>323850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0" r:id="rId36" name="Spinner 48">
              <controlPr defaultSize="0" autoPict="0">
                <anchor moveWithCells="1" sizeWithCells="1">
                  <from>
                    <xdr:col>7</xdr:col>
                    <xdr:colOff>9525</xdr:colOff>
                    <xdr:row>1</xdr:row>
                    <xdr:rowOff>9525</xdr:rowOff>
                  </from>
                  <to>
                    <xdr:col>8</xdr:col>
                    <xdr:colOff>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1" r:id="rId37" name="Spinner 49">
              <controlPr defaultSize="0" autoPict="0">
                <anchor moveWithCells="1" sizeWithCells="1">
                  <from>
                    <xdr:col>10</xdr:col>
                    <xdr:colOff>9525</xdr:colOff>
                    <xdr:row>1</xdr:row>
                    <xdr:rowOff>9525</xdr:rowOff>
                  </from>
                  <to>
                    <xdr:col>10</xdr:col>
                    <xdr:colOff>323850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4" r:id="rId38" name="Spinner 52">
              <controlPr defaultSize="0" print="0" autoPict="0">
                <anchor moveWithCells="1" sizeWithCells="1">
                  <from>
                    <xdr:col>8</xdr:col>
                    <xdr:colOff>342900</xdr:colOff>
                    <xdr:row>118</xdr:row>
                    <xdr:rowOff>9525</xdr:rowOff>
                  </from>
                  <to>
                    <xdr:col>8</xdr:col>
                    <xdr:colOff>657225</xdr:colOff>
                    <xdr:row>118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5" r:id="rId39" name="Spinner 53">
              <controlPr defaultSize="0" print="0" autoPict="0">
                <anchor moveWithCells="1" sizeWithCells="1">
                  <from>
                    <xdr:col>3</xdr:col>
                    <xdr:colOff>9525</xdr:colOff>
                    <xdr:row>94</xdr:row>
                    <xdr:rowOff>9525</xdr:rowOff>
                  </from>
                  <to>
                    <xdr:col>3</xdr:col>
                    <xdr:colOff>323850</xdr:colOff>
                    <xdr:row>95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/>
  <dimension ref="A1:T103"/>
  <sheetViews>
    <sheetView workbookViewId="0">
      <pane ySplit="3" topLeftCell="A5" activePane="bottomLeft" state="frozen"/>
      <selection pane="bottomLeft" activeCell="I10" sqref="I10"/>
    </sheetView>
  </sheetViews>
  <sheetFormatPr defaultRowHeight="12.75" x14ac:dyDescent="0.25"/>
  <cols>
    <col min="1" max="1" width="6.28515625" style="13" bestFit="1" customWidth="1"/>
    <col min="2" max="2" width="17.28515625" style="14" bestFit="1" customWidth="1"/>
    <col min="3" max="3" width="16.85546875" style="15" bestFit="1" customWidth="1"/>
    <col min="4" max="4" width="14.42578125" style="15" bestFit="1" customWidth="1"/>
    <col min="5" max="5" width="14.85546875" style="15" bestFit="1" customWidth="1"/>
    <col min="6" max="6" width="22.7109375" style="22" bestFit="1" customWidth="1"/>
    <col min="7" max="7" width="9" style="15" bestFit="1" customWidth="1"/>
    <col min="8" max="8" width="20" style="15" bestFit="1" customWidth="1"/>
    <col min="9" max="9" width="24.140625" style="15" bestFit="1" customWidth="1"/>
    <col min="10" max="10" width="24" style="15" bestFit="1" customWidth="1"/>
    <col min="11" max="11" width="28.140625" style="15" bestFit="1" customWidth="1"/>
    <col min="12" max="12" width="12.5703125" style="15" bestFit="1" customWidth="1"/>
    <col min="13" max="13" width="30.140625" style="15" bestFit="1" customWidth="1"/>
    <col min="14" max="14" width="34.28515625" style="15" bestFit="1" customWidth="1"/>
    <col min="15" max="15" width="16" style="15" bestFit="1" customWidth="1"/>
    <col min="16" max="16" width="13.5703125" style="15" bestFit="1" customWidth="1"/>
    <col min="17" max="17" width="30.42578125" style="15" bestFit="1" customWidth="1"/>
    <col min="18" max="18" width="15.85546875" style="15" bestFit="1" customWidth="1"/>
    <col min="19" max="19" width="13.42578125" style="15" bestFit="1" customWidth="1"/>
    <col min="20" max="20" width="15.85546875" style="15" bestFit="1" customWidth="1"/>
    <col min="21" max="16384" width="9.140625" style="13"/>
  </cols>
  <sheetData>
    <row r="1" spans="1:20" x14ac:dyDescent="0.25">
      <c r="C1" s="488" t="s">
        <v>8</v>
      </c>
      <c r="D1" s="489"/>
      <c r="E1" s="489"/>
      <c r="F1" s="490"/>
    </row>
    <row r="2" spans="1:20" x14ac:dyDescent="0.25">
      <c r="B2" s="13" t="s">
        <v>41</v>
      </c>
      <c r="C2" s="16" t="s">
        <v>5</v>
      </c>
      <c r="D2" s="16" t="s">
        <v>5</v>
      </c>
      <c r="E2" s="16" t="s">
        <v>7</v>
      </c>
      <c r="F2" s="16" t="s">
        <v>6</v>
      </c>
      <c r="G2" s="16" t="s">
        <v>5</v>
      </c>
      <c r="H2" s="16" t="s">
        <v>5</v>
      </c>
      <c r="I2" s="16" t="s">
        <v>5</v>
      </c>
      <c r="J2" s="16" t="s">
        <v>5</v>
      </c>
      <c r="K2" s="16" t="s">
        <v>5</v>
      </c>
      <c r="L2" s="16" t="s">
        <v>5</v>
      </c>
      <c r="M2" s="16" t="s">
        <v>5</v>
      </c>
      <c r="N2" s="16" t="s">
        <v>5</v>
      </c>
      <c r="O2" s="16" t="s">
        <v>5</v>
      </c>
      <c r="P2" s="16" t="s">
        <v>7</v>
      </c>
      <c r="Q2" s="16" t="s">
        <v>5</v>
      </c>
      <c r="R2" s="16" t="s">
        <v>5</v>
      </c>
      <c r="S2" s="16" t="s">
        <v>5</v>
      </c>
      <c r="T2" s="16" t="s">
        <v>0</v>
      </c>
    </row>
    <row r="3" spans="1:20" x14ac:dyDescent="0.25">
      <c r="A3" s="17" t="s">
        <v>66</v>
      </c>
      <c r="B3" s="17" t="s">
        <v>0</v>
      </c>
      <c r="C3" s="18" t="s">
        <v>3</v>
      </c>
      <c r="D3" s="18" t="s">
        <v>4</v>
      </c>
      <c r="E3" s="18" t="s">
        <v>69</v>
      </c>
      <c r="F3" s="18" t="s">
        <v>70</v>
      </c>
      <c r="G3" s="18" t="s">
        <v>11</v>
      </c>
      <c r="H3" s="18" t="s">
        <v>12</v>
      </c>
      <c r="I3" s="18" t="s">
        <v>13</v>
      </c>
      <c r="J3" s="18" t="s">
        <v>16</v>
      </c>
      <c r="K3" s="18" t="s">
        <v>17</v>
      </c>
      <c r="L3" s="18" t="s">
        <v>18</v>
      </c>
      <c r="M3" s="18" t="s">
        <v>19</v>
      </c>
      <c r="N3" s="18" t="s">
        <v>20</v>
      </c>
      <c r="O3" s="18" t="s">
        <v>22</v>
      </c>
      <c r="P3" s="18" t="s">
        <v>71</v>
      </c>
      <c r="Q3" s="18" t="s">
        <v>23</v>
      </c>
      <c r="R3" s="18" t="s">
        <v>24</v>
      </c>
      <c r="S3" s="18" t="s">
        <v>25</v>
      </c>
      <c r="T3" s="18" t="s">
        <v>68</v>
      </c>
    </row>
    <row r="4" spans="1:20" s="20" customFormat="1" x14ac:dyDescent="0.25">
      <c r="A4" s="19">
        <v>1</v>
      </c>
      <c r="B4" s="277" t="str">
        <f>MADEIRAS!C4</f>
        <v>NBR7190-C20</v>
      </c>
      <c r="C4" s="278">
        <f>MADEIRAS!D4</f>
        <v>3500</v>
      </c>
      <c r="D4" s="278">
        <f>MADEIRAS!E4</f>
        <v>175</v>
      </c>
      <c r="E4" s="278">
        <f>MADEIRAS!F4*100</f>
        <v>500</v>
      </c>
      <c r="F4" s="279">
        <f>MADEIRAS!G4</f>
        <v>4.9999999999999996E-6</v>
      </c>
      <c r="G4" s="278">
        <f>MADEIRAS!I4</f>
        <v>20</v>
      </c>
      <c r="H4" s="278">
        <f>MADEIRAS!J4</f>
        <v>25.974025974025974</v>
      </c>
      <c r="I4" s="278">
        <f>MADEIRAS!K4</f>
        <v>0.1</v>
      </c>
      <c r="J4" s="278">
        <f>MADEIRAS!L4</f>
        <v>20</v>
      </c>
      <c r="K4" s="278">
        <f>MADEIRAS!M4</f>
        <v>5</v>
      </c>
      <c r="L4" s="278">
        <f>MADEIRAS!N4</f>
        <v>4</v>
      </c>
      <c r="M4" s="278">
        <f>MADEIRAS!O4</f>
        <v>3500</v>
      </c>
      <c r="N4" s="278">
        <f>MADEIRAS!P4</f>
        <v>175</v>
      </c>
      <c r="O4" s="278">
        <f>MADEIRAS!Q4</f>
        <v>175</v>
      </c>
      <c r="P4" s="278">
        <f>MADEIRAS!R4</f>
        <v>400</v>
      </c>
      <c r="Q4" s="278">
        <f>MADEIRAS!S4</f>
        <v>2450</v>
      </c>
      <c r="R4" s="278">
        <f>MADEIRAS!U4</f>
        <v>122.49999999999999</v>
      </c>
      <c r="S4" s="278">
        <f>MADEIRAS!V4</f>
        <v>1</v>
      </c>
      <c r="T4" s="278" t="str">
        <f>MADEIRAS!X4</f>
        <v>NBR7190-C20</v>
      </c>
    </row>
    <row r="5" spans="1:20" x14ac:dyDescent="0.25">
      <c r="A5" s="21">
        <f>A4+1</f>
        <v>2</v>
      </c>
      <c r="B5" s="277" t="str">
        <f>MADEIRAS!C5</f>
        <v>NBR7190-C25</v>
      </c>
      <c r="C5" s="278">
        <f>MADEIRAS!D5</f>
        <v>8500</v>
      </c>
      <c r="D5" s="278">
        <f>MADEIRAS!E5</f>
        <v>425</v>
      </c>
      <c r="E5" s="278">
        <f>MADEIRAS!F5*100</f>
        <v>550</v>
      </c>
      <c r="F5" s="279">
        <f>MADEIRAS!G5</f>
        <v>4.9999999999999996E-6</v>
      </c>
      <c r="G5" s="278">
        <f>MADEIRAS!I5</f>
        <v>25</v>
      </c>
      <c r="H5" s="278">
        <f>MADEIRAS!J5</f>
        <v>32.467532467532465</v>
      </c>
      <c r="I5" s="278">
        <f>MADEIRAS!K5</f>
        <v>0.1</v>
      </c>
      <c r="J5" s="278">
        <f>MADEIRAS!L5</f>
        <v>25</v>
      </c>
      <c r="K5" s="278">
        <f>MADEIRAS!M5</f>
        <v>6.25</v>
      </c>
      <c r="L5" s="278">
        <f>MADEIRAS!N5</f>
        <v>5</v>
      </c>
      <c r="M5" s="278">
        <f>MADEIRAS!O5</f>
        <v>8500</v>
      </c>
      <c r="N5" s="278">
        <f>MADEIRAS!P5</f>
        <v>425</v>
      </c>
      <c r="O5" s="278">
        <f>MADEIRAS!Q5</f>
        <v>425</v>
      </c>
      <c r="P5" s="278">
        <f>MADEIRAS!R5</f>
        <v>450</v>
      </c>
      <c r="Q5" s="278">
        <f>MADEIRAS!S5</f>
        <v>5950</v>
      </c>
      <c r="R5" s="278">
        <f>MADEIRAS!U5</f>
        <v>297.5</v>
      </c>
      <c r="S5" s="278">
        <f>MADEIRAS!V5</f>
        <v>1</v>
      </c>
      <c r="T5" s="278" t="str">
        <f>MADEIRAS!X5</f>
        <v>NBR7190-C25</v>
      </c>
    </row>
    <row r="6" spans="1:20" x14ac:dyDescent="0.25">
      <c r="A6" s="21">
        <f t="shared" ref="A6:A69" si="0">A5+1</f>
        <v>3</v>
      </c>
      <c r="B6" s="277" t="str">
        <f>MADEIRAS!C6</f>
        <v>NBR7190-C30</v>
      </c>
      <c r="C6" s="278">
        <f>MADEIRAS!D6</f>
        <v>14500</v>
      </c>
      <c r="D6" s="278">
        <f>MADEIRAS!E6</f>
        <v>725</v>
      </c>
      <c r="E6" s="278">
        <f>MADEIRAS!F6*100</f>
        <v>600</v>
      </c>
      <c r="F6" s="279">
        <f>MADEIRAS!G6</f>
        <v>4.9999999999999996E-6</v>
      </c>
      <c r="G6" s="278">
        <f>MADEIRAS!I6</f>
        <v>30</v>
      </c>
      <c r="H6" s="278">
        <f>MADEIRAS!J6</f>
        <v>38.961038961038959</v>
      </c>
      <c r="I6" s="278">
        <f>MADEIRAS!K6</f>
        <v>0.1</v>
      </c>
      <c r="J6" s="278">
        <f>MADEIRAS!L6</f>
        <v>30</v>
      </c>
      <c r="K6" s="278">
        <f>MADEIRAS!M6</f>
        <v>7.5</v>
      </c>
      <c r="L6" s="278">
        <f>MADEIRAS!N6</f>
        <v>6</v>
      </c>
      <c r="M6" s="278">
        <f>MADEIRAS!O6</f>
        <v>14500</v>
      </c>
      <c r="N6" s="278">
        <f>MADEIRAS!P6</f>
        <v>725</v>
      </c>
      <c r="O6" s="278">
        <f>MADEIRAS!Q6</f>
        <v>725</v>
      </c>
      <c r="P6" s="278">
        <f>MADEIRAS!R6</f>
        <v>500</v>
      </c>
      <c r="Q6" s="278">
        <f>MADEIRAS!S6</f>
        <v>10150</v>
      </c>
      <c r="R6" s="278">
        <f>MADEIRAS!U6</f>
        <v>507.49999999999994</v>
      </c>
      <c r="S6" s="278">
        <f>MADEIRAS!V6</f>
        <v>1</v>
      </c>
      <c r="T6" s="278" t="str">
        <f>MADEIRAS!X6</f>
        <v>NBR7190-C30</v>
      </c>
    </row>
    <row r="7" spans="1:20" x14ac:dyDescent="0.25">
      <c r="A7" s="21">
        <f t="shared" si="0"/>
        <v>4</v>
      </c>
      <c r="B7" s="277" t="str">
        <f>MADEIRAS!C7</f>
        <v>NBR7190-D20</v>
      </c>
      <c r="C7" s="278">
        <f>MADEIRAS!D7</f>
        <v>9500</v>
      </c>
      <c r="D7" s="278">
        <f>MADEIRAS!E7</f>
        <v>475</v>
      </c>
      <c r="E7" s="278">
        <f>MADEIRAS!F7*100</f>
        <v>650</v>
      </c>
      <c r="F7" s="279">
        <f>MADEIRAS!G7</f>
        <v>4.9999999999999996E-6</v>
      </c>
      <c r="G7" s="278">
        <f>MADEIRAS!I7</f>
        <v>20</v>
      </c>
      <c r="H7" s="278">
        <f>MADEIRAS!J7</f>
        <v>28.571428571428573</v>
      </c>
      <c r="I7" s="278">
        <f>MADEIRAS!K7</f>
        <v>0.1</v>
      </c>
      <c r="J7" s="278">
        <f>MADEIRAS!L7</f>
        <v>20</v>
      </c>
      <c r="K7" s="278">
        <f>MADEIRAS!M7</f>
        <v>5</v>
      </c>
      <c r="L7" s="278">
        <f>MADEIRAS!N7</f>
        <v>4</v>
      </c>
      <c r="M7" s="278">
        <f>MADEIRAS!O7</f>
        <v>9500</v>
      </c>
      <c r="N7" s="278">
        <f>MADEIRAS!P7</f>
        <v>475</v>
      </c>
      <c r="O7" s="278">
        <f>MADEIRAS!Q7</f>
        <v>475</v>
      </c>
      <c r="P7" s="278">
        <f>MADEIRAS!R7</f>
        <v>500</v>
      </c>
      <c r="Q7" s="278">
        <f>MADEIRAS!S7</f>
        <v>6650</v>
      </c>
      <c r="R7" s="278">
        <f>MADEIRAS!U7</f>
        <v>332.5</v>
      </c>
      <c r="S7" s="278">
        <f>MADEIRAS!V7</f>
        <v>1</v>
      </c>
      <c r="T7" s="278" t="str">
        <f>MADEIRAS!X7</f>
        <v>NBR7190-D20</v>
      </c>
    </row>
    <row r="8" spans="1:20" x14ac:dyDescent="0.25">
      <c r="A8" s="21">
        <f t="shared" si="0"/>
        <v>5</v>
      </c>
      <c r="B8" s="277" t="str">
        <f>MADEIRAS!C8</f>
        <v>NBR7190-D30</v>
      </c>
      <c r="C8" s="278">
        <f>MADEIRAS!D8</f>
        <v>14500</v>
      </c>
      <c r="D8" s="278">
        <f>MADEIRAS!E8</f>
        <v>725</v>
      </c>
      <c r="E8" s="278">
        <f>MADEIRAS!F8*100</f>
        <v>600</v>
      </c>
      <c r="F8" s="279">
        <f>MADEIRAS!G8</f>
        <v>4.9999999999999996E-6</v>
      </c>
      <c r="G8" s="278">
        <f>MADEIRAS!I8</f>
        <v>30</v>
      </c>
      <c r="H8" s="278">
        <f>MADEIRAS!J8</f>
        <v>42.857142857142861</v>
      </c>
      <c r="I8" s="278">
        <f>MADEIRAS!K8</f>
        <v>0.1</v>
      </c>
      <c r="J8" s="278">
        <f>MADEIRAS!L8</f>
        <v>30</v>
      </c>
      <c r="K8" s="278">
        <f>MADEIRAS!M8</f>
        <v>7.5</v>
      </c>
      <c r="L8" s="278">
        <f>MADEIRAS!N8</f>
        <v>5</v>
      </c>
      <c r="M8" s="278">
        <f>MADEIRAS!O8</f>
        <v>14500</v>
      </c>
      <c r="N8" s="278">
        <f>MADEIRAS!P8</f>
        <v>725</v>
      </c>
      <c r="O8" s="278">
        <f>MADEIRAS!Q8</f>
        <v>725</v>
      </c>
      <c r="P8" s="278">
        <f>MADEIRAS!R8</f>
        <v>650</v>
      </c>
      <c r="Q8" s="278">
        <f>MADEIRAS!S8</f>
        <v>10150</v>
      </c>
      <c r="R8" s="278">
        <f>MADEIRAS!U8</f>
        <v>507.49999999999994</v>
      </c>
      <c r="S8" s="278">
        <f>MADEIRAS!V8</f>
        <v>1</v>
      </c>
      <c r="T8" s="278" t="str">
        <f>MADEIRAS!X8</f>
        <v>NBR7190-D30</v>
      </c>
    </row>
    <row r="9" spans="1:20" x14ac:dyDescent="0.25">
      <c r="A9" s="21">
        <f t="shared" si="0"/>
        <v>6</v>
      </c>
      <c r="B9" s="277" t="str">
        <f>MADEIRAS!C9</f>
        <v>NBR7190-D40</v>
      </c>
      <c r="C9" s="278">
        <f>MADEIRAS!D9</f>
        <v>19500</v>
      </c>
      <c r="D9" s="278">
        <f>MADEIRAS!E9</f>
        <v>975</v>
      </c>
      <c r="E9" s="278">
        <f>MADEIRAS!F9*100</f>
        <v>950</v>
      </c>
      <c r="F9" s="279">
        <f>MADEIRAS!G9</f>
        <v>4.9999999999999996E-6</v>
      </c>
      <c r="G9" s="278">
        <f>MADEIRAS!I9</f>
        <v>40</v>
      </c>
      <c r="H9" s="278">
        <f>MADEIRAS!J9</f>
        <v>57.142857142857146</v>
      </c>
      <c r="I9" s="278">
        <f>MADEIRAS!K9</f>
        <v>0.1</v>
      </c>
      <c r="J9" s="278">
        <f>MADEIRAS!L9</f>
        <v>40</v>
      </c>
      <c r="K9" s="278">
        <f>MADEIRAS!M9</f>
        <v>10</v>
      </c>
      <c r="L9" s="278">
        <f>MADEIRAS!N9</f>
        <v>6</v>
      </c>
      <c r="M9" s="278">
        <f>MADEIRAS!O9</f>
        <v>19500</v>
      </c>
      <c r="N9" s="278">
        <f>MADEIRAS!P9</f>
        <v>975</v>
      </c>
      <c r="O9" s="278">
        <f>MADEIRAS!Q9</f>
        <v>975</v>
      </c>
      <c r="P9" s="278">
        <f>MADEIRAS!R9</f>
        <v>750</v>
      </c>
      <c r="Q9" s="278">
        <f>MADEIRAS!S9</f>
        <v>13650</v>
      </c>
      <c r="R9" s="278">
        <f>MADEIRAS!U9</f>
        <v>682.5</v>
      </c>
      <c r="S9" s="278">
        <f>MADEIRAS!V9</f>
        <v>1</v>
      </c>
      <c r="T9" s="278" t="str">
        <f>MADEIRAS!X9</f>
        <v>NBR7190-D40</v>
      </c>
    </row>
    <row r="10" spans="1:20" x14ac:dyDescent="0.25">
      <c r="A10" s="21">
        <f t="shared" si="0"/>
        <v>7</v>
      </c>
      <c r="B10" s="277" t="str">
        <f>MADEIRAS!C10</f>
        <v>NBR7190-D50</v>
      </c>
      <c r="C10" s="278">
        <f>MADEIRAS!D10</f>
        <v>22000</v>
      </c>
      <c r="D10" s="278">
        <f>MADEIRAS!E10</f>
        <v>1100</v>
      </c>
      <c r="E10" s="278">
        <f>MADEIRAS!F10*100</f>
        <v>969.99999999999989</v>
      </c>
      <c r="F10" s="279">
        <f>MADEIRAS!G10</f>
        <v>4.9999999999999996E-6</v>
      </c>
      <c r="G10" s="278">
        <f>MADEIRAS!I10</f>
        <v>50</v>
      </c>
      <c r="H10" s="278">
        <f>MADEIRAS!J10</f>
        <v>71.428571428571431</v>
      </c>
      <c r="I10" s="278">
        <f>MADEIRAS!K10</f>
        <v>0.1</v>
      </c>
      <c r="J10" s="278">
        <f>MADEIRAS!L10</f>
        <v>50</v>
      </c>
      <c r="K10" s="278">
        <f>MADEIRAS!M10</f>
        <v>12.5</v>
      </c>
      <c r="L10" s="278">
        <f>MADEIRAS!N10</f>
        <v>7</v>
      </c>
      <c r="M10" s="278">
        <f>MADEIRAS!O10</f>
        <v>22000</v>
      </c>
      <c r="N10" s="278">
        <f>MADEIRAS!P10</f>
        <v>1100</v>
      </c>
      <c r="O10" s="278">
        <f>MADEIRAS!Q10</f>
        <v>1100</v>
      </c>
      <c r="P10" s="278">
        <f>MADEIRAS!R10</f>
        <v>770</v>
      </c>
      <c r="Q10" s="278">
        <f>MADEIRAS!S10</f>
        <v>15399.999999999998</v>
      </c>
      <c r="R10" s="278">
        <f>MADEIRAS!U10</f>
        <v>770</v>
      </c>
      <c r="S10" s="278">
        <f>MADEIRAS!V10</f>
        <v>1</v>
      </c>
      <c r="T10" s="278" t="str">
        <f>MADEIRAS!X10</f>
        <v>NBR7190-D50</v>
      </c>
    </row>
    <row r="11" spans="1:20" x14ac:dyDescent="0.25">
      <c r="A11" s="21">
        <f t="shared" si="0"/>
        <v>8</v>
      </c>
      <c r="B11" s="277" t="str">
        <f>MADEIRAS!C11</f>
        <v>NBR7190-D60</v>
      </c>
      <c r="C11" s="278">
        <f>MADEIRAS!D11</f>
        <v>24500</v>
      </c>
      <c r="D11" s="278">
        <f>MADEIRAS!E11</f>
        <v>1225</v>
      </c>
      <c r="E11" s="278">
        <f>MADEIRAS!F11*100</f>
        <v>1000</v>
      </c>
      <c r="F11" s="279">
        <f>MADEIRAS!G11</f>
        <v>4.9999999999999996E-6</v>
      </c>
      <c r="G11" s="278">
        <f>MADEIRAS!I11</f>
        <v>60</v>
      </c>
      <c r="H11" s="278">
        <f>MADEIRAS!J11</f>
        <v>85.714285714285722</v>
      </c>
      <c r="I11" s="278">
        <f>MADEIRAS!K11</f>
        <v>0.1</v>
      </c>
      <c r="J11" s="278">
        <f>MADEIRAS!L11</f>
        <v>60</v>
      </c>
      <c r="K11" s="278">
        <f>MADEIRAS!M11</f>
        <v>15</v>
      </c>
      <c r="L11" s="278">
        <f>MADEIRAS!N11</f>
        <v>8</v>
      </c>
      <c r="M11" s="278">
        <f>MADEIRAS!O11</f>
        <v>24500</v>
      </c>
      <c r="N11" s="278">
        <f>MADEIRAS!P11</f>
        <v>1225</v>
      </c>
      <c r="O11" s="278">
        <f>MADEIRAS!Q11</f>
        <v>1225</v>
      </c>
      <c r="P11" s="278">
        <f>MADEIRAS!R11</f>
        <v>800</v>
      </c>
      <c r="Q11" s="278">
        <f>MADEIRAS!S11</f>
        <v>17150</v>
      </c>
      <c r="R11" s="278">
        <f>MADEIRAS!U11</f>
        <v>857.5</v>
      </c>
      <c r="S11" s="278">
        <f>MADEIRAS!V11</f>
        <v>1</v>
      </c>
      <c r="T11" s="278" t="str">
        <f>MADEIRAS!X11</f>
        <v>NBR7190-D60</v>
      </c>
    </row>
    <row r="12" spans="1:20" x14ac:dyDescent="0.25">
      <c r="A12" s="21">
        <f t="shared" si="0"/>
        <v>9</v>
      </c>
      <c r="B12" s="277" t="str">
        <f>MADEIRAS!C12</f>
        <v>EC5-C14</v>
      </c>
      <c r="C12" s="278">
        <f>MADEIRAS!D12</f>
        <v>7000</v>
      </c>
      <c r="D12" s="278">
        <f>MADEIRAS!E12</f>
        <v>440</v>
      </c>
      <c r="E12" s="278">
        <f>MADEIRAS!F12*100</f>
        <v>350</v>
      </c>
      <c r="F12" s="279">
        <f>MADEIRAS!G12</f>
        <v>5.0000000000000004E-6</v>
      </c>
      <c r="G12" s="278">
        <f>MADEIRAS!I12</f>
        <v>14</v>
      </c>
      <c r="H12" s="278">
        <f>MADEIRAS!J12</f>
        <v>8</v>
      </c>
      <c r="I12" s="278">
        <f>MADEIRAS!K12</f>
        <v>0.4</v>
      </c>
      <c r="J12" s="278">
        <f>MADEIRAS!L12</f>
        <v>16</v>
      </c>
      <c r="K12" s="278">
        <f>MADEIRAS!M12</f>
        <v>2</v>
      </c>
      <c r="L12" s="278">
        <f>MADEIRAS!N12</f>
        <v>1.7</v>
      </c>
      <c r="M12" s="278">
        <f>MADEIRAS!O12</f>
        <v>7000</v>
      </c>
      <c r="N12" s="278">
        <f>MADEIRAS!P12</f>
        <v>230</v>
      </c>
      <c r="O12" s="278">
        <f>MADEIRAS!Q12</f>
        <v>440</v>
      </c>
      <c r="P12" s="278">
        <f>MADEIRAS!R12</f>
        <v>290</v>
      </c>
      <c r="Q12" s="278">
        <f>MADEIRAS!S12</f>
        <v>4700</v>
      </c>
      <c r="R12" s="278">
        <f>MADEIRAS!U12</f>
        <v>0</v>
      </c>
      <c r="S12" s="278">
        <f>MADEIRAS!V12</f>
        <v>1</v>
      </c>
      <c r="T12" s="278" t="str">
        <f>MADEIRAS!X12</f>
        <v>EC5-C14</v>
      </c>
    </row>
    <row r="13" spans="1:20" x14ac:dyDescent="0.25">
      <c r="A13" s="21">
        <f t="shared" si="0"/>
        <v>10</v>
      </c>
      <c r="B13" s="277" t="str">
        <f>MADEIRAS!C13</f>
        <v>EC5-C16</v>
      </c>
      <c r="C13" s="278">
        <f>MADEIRAS!D13</f>
        <v>8000</v>
      </c>
      <c r="D13" s="278">
        <f>MADEIRAS!E13</f>
        <v>500</v>
      </c>
      <c r="E13" s="278">
        <f>MADEIRAS!F13*100</f>
        <v>370</v>
      </c>
      <c r="F13" s="279">
        <f>MADEIRAS!G13</f>
        <v>5.0000000000000004E-6</v>
      </c>
      <c r="G13" s="278">
        <f>MADEIRAS!I13</f>
        <v>16</v>
      </c>
      <c r="H13" s="278">
        <f>MADEIRAS!J13</f>
        <v>10</v>
      </c>
      <c r="I13" s="278">
        <f>MADEIRAS!K13</f>
        <v>0.5</v>
      </c>
      <c r="J13" s="278">
        <f>MADEIRAS!L13</f>
        <v>17</v>
      </c>
      <c r="K13" s="278">
        <f>MADEIRAS!M13</f>
        <v>2.2000000000000002</v>
      </c>
      <c r="L13" s="278">
        <f>MADEIRAS!N13</f>
        <v>1.8</v>
      </c>
      <c r="M13" s="278">
        <f>MADEIRAS!O13</f>
        <v>8000</v>
      </c>
      <c r="N13" s="278">
        <f>MADEIRAS!P13</f>
        <v>270</v>
      </c>
      <c r="O13" s="278">
        <f>MADEIRAS!Q13</f>
        <v>500</v>
      </c>
      <c r="P13" s="278">
        <f>MADEIRAS!R13</f>
        <v>310</v>
      </c>
      <c r="Q13" s="278">
        <f>MADEIRAS!S13</f>
        <v>5400</v>
      </c>
      <c r="R13" s="278">
        <f>MADEIRAS!U13</f>
        <v>0</v>
      </c>
      <c r="S13" s="278">
        <f>MADEIRAS!V13</f>
        <v>1</v>
      </c>
      <c r="T13" s="278" t="str">
        <f>MADEIRAS!X13</f>
        <v>EC5-C16</v>
      </c>
    </row>
    <row r="14" spans="1:20" x14ac:dyDescent="0.25">
      <c r="A14" s="21">
        <f t="shared" si="0"/>
        <v>11</v>
      </c>
      <c r="B14" s="277" t="str">
        <f>MADEIRAS!C14</f>
        <v>EC5-C18</v>
      </c>
      <c r="C14" s="278">
        <f>MADEIRAS!D14</f>
        <v>9000</v>
      </c>
      <c r="D14" s="278">
        <f>MADEIRAS!E14</f>
        <v>560</v>
      </c>
      <c r="E14" s="278">
        <f>MADEIRAS!F14*100</f>
        <v>380</v>
      </c>
      <c r="F14" s="279">
        <f>MADEIRAS!G14</f>
        <v>5.0000000000000004E-6</v>
      </c>
      <c r="G14" s="278">
        <f>MADEIRAS!I14</f>
        <v>18</v>
      </c>
      <c r="H14" s="278">
        <f>MADEIRAS!J14</f>
        <v>11</v>
      </c>
      <c r="I14" s="278">
        <f>MADEIRAS!K14</f>
        <v>0.5</v>
      </c>
      <c r="J14" s="278">
        <f>MADEIRAS!L14</f>
        <v>18</v>
      </c>
      <c r="K14" s="278">
        <f>MADEIRAS!M14</f>
        <v>2.2000000000000002</v>
      </c>
      <c r="L14" s="278">
        <f>MADEIRAS!N14</f>
        <v>2</v>
      </c>
      <c r="M14" s="278">
        <f>MADEIRAS!O14</f>
        <v>9000</v>
      </c>
      <c r="N14" s="278">
        <f>MADEIRAS!P14</f>
        <v>300</v>
      </c>
      <c r="O14" s="278">
        <f>MADEIRAS!Q14</f>
        <v>560</v>
      </c>
      <c r="P14" s="278">
        <f>MADEIRAS!R14</f>
        <v>320</v>
      </c>
      <c r="Q14" s="278">
        <f>MADEIRAS!S14</f>
        <v>6000</v>
      </c>
      <c r="R14" s="278">
        <f>MADEIRAS!U14</f>
        <v>0</v>
      </c>
      <c r="S14" s="278">
        <f>MADEIRAS!V14</f>
        <v>1</v>
      </c>
      <c r="T14" s="278" t="str">
        <f>MADEIRAS!X14</f>
        <v>EC5-C18</v>
      </c>
    </row>
    <row r="15" spans="1:20" x14ac:dyDescent="0.25">
      <c r="A15" s="21">
        <f t="shared" si="0"/>
        <v>12</v>
      </c>
      <c r="B15" s="277" t="str">
        <f>MADEIRAS!C15</f>
        <v>EC5-C20</v>
      </c>
      <c r="C15" s="278">
        <f>MADEIRAS!D15</f>
        <v>9500</v>
      </c>
      <c r="D15" s="278">
        <f>MADEIRAS!E15</f>
        <v>590</v>
      </c>
      <c r="E15" s="278">
        <f>MADEIRAS!F15*100</f>
        <v>390</v>
      </c>
      <c r="F15" s="279">
        <f>MADEIRAS!G15</f>
        <v>5.0000000000000004E-6</v>
      </c>
      <c r="G15" s="278">
        <f>MADEIRAS!I15</f>
        <v>20</v>
      </c>
      <c r="H15" s="278">
        <f>MADEIRAS!J15</f>
        <v>12</v>
      </c>
      <c r="I15" s="278">
        <f>MADEIRAS!K15</f>
        <v>0.5</v>
      </c>
      <c r="J15" s="278">
        <f>MADEIRAS!L15</f>
        <v>19</v>
      </c>
      <c r="K15" s="278">
        <f>MADEIRAS!M15</f>
        <v>2.2999999999999998</v>
      </c>
      <c r="L15" s="278">
        <f>MADEIRAS!N15</f>
        <v>2.2000000000000002</v>
      </c>
      <c r="M15" s="278">
        <f>MADEIRAS!O15</f>
        <v>9500</v>
      </c>
      <c r="N15" s="278">
        <f>MADEIRAS!P15</f>
        <v>320</v>
      </c>
      <c r="O15" s="278">
        <f>MADEIRAS!Q15</f>
        <v>590</v>
      </c>
      <c r="P15" s="278">
        <f>MADEIRAS!R15</f>
        <v>330</v>
      </c>
      <c r="Q15" s="278">
        <f>MADEIRAS!S15</f>
        <v>6400</v>
      </c>
      <c r="R15" s="278">
        <f>MADEIRAS!U15</f>
        <v>0</v>
      </c>
      <c r="S15" s="278">
        <f>MADEIRAS!V15</f>
        <v>1</v>
      </c>
      <c r="T15" s="278" t="str">
        <f>MADEIRAS!X15</f>
        <v>EC5-C20</v>
      </c>
    </row>
    <row r="16" spans="1:20" x14ac:dyDescent="0.25">
      <c r="A16" s="21">
        <f t="shared" si="0"/>
        <v>13</v>
      </c>
      <c r="B16" s="277" t="str">
        <f>MADEIRAS!C16</f>
        <v>EC5-C22</v>
      </c>
      <c r="C16" s="278">
        <f>MADEIRAS!D16</f>
        <v>10000</v>
      </c>
      <c r="D16" s="278">
        <f>MADEIRAS!E16</f>
        <v>630</v>
      </c>
      <c r="E16" s="278">
        <f>MADEIRAS!F16*100</f>
        <v>409.99999999999994</v>
      </c>
      <c r="F16" s="279">
        <f>MADEIRAS!G16</f>
        <v>5.0000000000000004E-6</v>
      </c>
      <c r="G16" s="278">
        <f>MADEIRAS!I16</f>
        <v>22</v>
      </c>
      <c r="H16" s="278">
        <f>MADEIRAS!J16</f>
        <v>13</v>
      </c>
      <c r="I16" s="278">
        <f>MADEIRAS!K16</f>
        <v>0.5</v>
      </c>
      <c r="J16" s="278">
        <f>MADEIRAS!L16</f>
        <v>20</v>
      </c>
      <c r="K16" s="278">
        <f>MADEIRAS!M16</f>
        <v>2.4</v>
      </c>
      <c r="L16" s="278">
        <f>MADEIRAS!N16</f>
        <v>2.4</v>
      </c>
      <c r="M16" s="278">
        <f>MADEIRAS!O16</f>
        <v>10000</v>
      </c>
      <c r="N16" s="278">
        <f>MADEIRAS!P16</f>
        <v>330</v>
      </c>
      <c r="O16" s="278">
        <f>MADEIRAS!Q16</f>
        <v>630</v>
      </c>
      <c r="P16" s="278">
        <f>MADEIRAS!R16</f>
        <v>340</v>
      </c>
      <c r="Q16" s="278">
        <f>MADEIRAS!S16</f>
        <v>6700</v>
      </c>
      <c r="R16" s="278">
        <f>MADEIRAS!U16</f>
        <v>0</v>
      </c>
      <c r="S16" s="278">
        <f>MADEIRAS!V16</f>
        <v>1</v>
      </c>
      <c r="T16" s="278" t="str">
        <f>MADEIRAS!X16</f>
        <v>EC5-C22</v>
      </c>
    </row>
    <row r="17" spans="1:20" x14ac:dyDescent="0.25">
      <c r="A17" s="21">
        <f t="shared" si="0"/>
        <v>14</v>
      </c>
      <c r="B17" s="277" t="str">
        <f>MADEIRAS!C17</f>
        <v>EC5-C24</v>
      </c>
      <c r="C17" s="278">
        <f>MADEIRAS!D17</f>
        <v>11000</v>
      </c>
      <c r="D17" s="278">
        <f>MADEIRAS!E17</f>
        <v>690</v>
      </c>
      <c r="E17" s="278">
        <f>MADEIRAS!F17*100</f>
        <v>420</v>
      </c>
      <c r="F17" s="279">
        <f>MADEIRAS!G17</f>
        <v>5.0000000000000004E-6</v>
      </c>
      <c r="G17" s="278">
        <f>MADEIRAS!I17</f>
        <v>24</v>
      </c>
      <c r="H17" s="278">
        <f>MADEIRAS!J17</f>
        <v>14</v>
      </c>
      <c r="I17" s="278">
        <f>MADEIRAS!K17</f>
        <v>0.5</v>
      </c>
      <c r="J17" s="278">
        <f>MADEIRAS!L17</f>
        <v>21</v>
      </c>
      <c r="K17" s="278">
        <f>MADEIRAS!M17</f>
        <v>2.5</v>
      </c>
      <c r="L17" s="278">
        <f>MADEIRAS!N17</f>
        <v>2.5</v>
      </c>
      <c r="M17" s="278">
        <f>MADEIRAS!O17</f>
        <v>11000</v>
      </c>
      <c r="N17" s="278">
        <f>MADEIRAS!P17</f>
        <v>370</v>
      </c>
      <c r="O17" s="278">
        <f>MADEIRAS!Q17</f>
        <v>690</v>
      </c>
      <c r="P17" s="278">
        <f>MADEIRAS!R17</f>
        <v>350</v>
      </c>
      <c r="Q17" s="278">
        <f>MADEIRAS!S17</f>
        <v>7400</v>
      </c>
      <c r="R17" s="278">
        <f>MADEIRAS!U17</f>
        <v>0</v>
      </c>
      <c r="S17" s="278">
        <f>MADEIRAS!V17</f>
        <v>1</v>
      </c>
      <c r="T17" s="278" t="str">
        <f>MADEIRAS!X17</f>
        <v>EC5-C24</v>
      </c>
    </row>
    <row r="18" spans="1:20" x14ac:dyDescent="0.25">
      <c r="A18" s="21">
        <f t="shared" si="0"/>
        <v>15</v>
      </c>
      <c r="B18" s="277" t="str">
        <f>MADEIRAS!C18</f>
        <v>EC5-C27</v>
      </c>
      <c r="C18" s="278">
        <f>MADEIRAS!D18</f>
        <v>11500</v>
      </c>
      <c r="D18" s="278">
        <f>MADEIRAS!E18</f>
        <v>720</v>
      </c>
      <c r="E18" s="278">
        <f>MADEIRAS!F18*100</f>
        <v>450</v>
      </c>
      <c r="F18" s="279">
        <f>MADEIRAS!G18</f>
        <v>5.0000000000000004E-6</v>
      </c>
      <c r="G18" s="278">
        <f>MADEIRAS!I18</f>
        <v>27</v>
      </c>
      <c r="H18" s="278">
        <f>MADEIRAS!J18</f>
        <v>16</v>
      </c>
      <c r="I18" s="278">
        <f>MADEIRAS!K18</f>
        <v>0.6</v>
      </c>
      <c r="J18" s="278">
        <f>MADEIRAS!L18</f>
        <v>22</v>
      </c>
      <c r="K18" s="278">
        <f>MADEIRAS!M18</f>
        <v>2.6</v>
      </c>
      <c r="L18" s="278">
        <f>MADEIRAS!N18</f>
        <v>2.8</v>
      </c>
      <c r="M18" s="278">
        <f>MADEIRAS!O18</f>
        <v>11500</v>
      </c>
      <c r="N18" s="278">
        <f>MADEIRAS!P18</f>
        <v>380</v>
      </c>
      <c r="O18" s="278">
        <f>MADEIRAS!Q18</f>
        <v>720</v>
      </c>
      <c r="P18" s="278">
        <f>MADEIRAS!R18</f>
        <v>370</v>
      </c>
      <c r="Q18" s="278">
        <f>MADEIRAS!S18</f>
        <v>7700</v>
      </c>
      <c r="R18" s="278">
        <f>MADEIRAS!U18</f>
        <v>0</v>
      </c>
      <c r="S18" s="278">
        <f>MADEIRAS!V18</f>
        <v>1</v>
      </c>
      <c r="T18" s="278" t="str">
        <f>MADEIRAS!X18</f>
        <v>EC5-C27</v>
      </c>
    </row>
    <row r="19" spans="1:20" x14ac:dyDescent="0.25">
      <c r="A19" s="21">
        <f t="shared" si="0"/>
        <v>16</v>
      </c>
      <c r="B19" s="277" t="str">
        <f>MADEIRAS!C19</f>
        <v>EC5-C30</v>
      </c>
      <c r="C19" s="278">
        <f>MADEIRAS!D19</f>
        <v>12000</v>
      </c>
      <c r="D19" s="278">
        <f>MADEIRAS!E19</f>
        <v>750</v>
      </c>
      <c r="E19" s="278">
        <f>MADEIRAS!F19*100</f>
        <v>459.99999999999994</v>
      </c>
      <c r="F19" s="279">
        <f>MADEIRAS!G19</f>
        <v>5.0000000000000004E-6</v>
      </c>
      <c r="G19" s="278">
        <f>MADEIRAS!I19</f>
        <v>30</v>
      </c>
      <c r="H19" s="278">
        <f>MADEIRAS!J19</f>
        <v>18</v>
      </c>
      <c r="I19" s="278">
        <f>MADEIRAS!K19</f>
        <v>0.6</v>
      </c>
      <c r="J19" s="278">
        <f>MADEIRAS!L19</f>
        <v>23</v>
      </c>
      <c r="K19" s="278">
        <f>MADEIRAS!M19</f>
        <v>2.7</v>
      </c>
      <c r="L19" s="278">
        <f>MADEIRAS!N19</f>
        <v>3</v>
      </c>
      <c r="M19" s="278">
        <f>MADEIRAS!O19</f>
        <v>12000</v>
      </c>
      <c r="N19" s="278">
        <f>MADEIRAS!P19</f>
        <v>400</v>
      </c>
      <c r="O19" s="278">
        <f>MADEIRAS!Q19</f>
        <v>750</v>
      </c>
      <c r="P19" s="278">
        <f>MADEIRAS!R19</f>
        <v>380</v>
      </c>
      <c r="Q19" s="278">
        <f>MADEIRAS!S19</f>
        <v>8000</v>
      </c>
      <c r="R19" s="278">
        <f>MADEIRAS!U19</f>
        <v>0</v>
      </c>
      <c r="S19" s="278">
        <f>MADEIRAS!V19</f>
        <v>1</v>
      </c>
      <c r="T19" s="278" t="str">
        <f>MADEIRAS!X19</f>
        <v>EC5-C30</v>
      </c>
    </row>
    <row r="20" spans="1:20" x14ac:dyDescent="0.25">
      <c r="A20" s="21">
        <f t="shared" si="0"/>
        <v>17</v>
      </c>
      <c r="B20" s="277" t="str">
        <f>MADEIRAS!C20</f>
        <v>EC5-C35</v>
      </c>
      <c r="C20" s="278">
        <f>MADEIRAS!D20</f>
        <v>13000</v>
      </c>
      <c r="D20" s="278">
        <f>MADEIRAS!E20</f>
        <v>810</v>
      </c>
      <c r="E20" s="278">
        <f>MADEIRAS!F20*100</f>
        <v>480</v>
      </c>
      <c r="F20" s="279">
        <f>MADEIRAS!G20</f>
        <v>5.0000000000000004E-6</v>
      </c>
      <c r="G20" s="278">
        <f>MADEIRAS!I20</f>
        <v>35</v>
      </c>
      <c r="H20" s="278">
        <f>MADEIRAS!J20</f>
        <v>21</v>
      </c>
      <c r="I20" s="278">
        <f>MADEIRAS!K20</f>
        <v>0.6</v>
      </c>
      <c r="J20" s="278">
        <f>MADEIRAS!L20</f>
        <v>25</v>
      </c>
      <c r="K20" s="278">
        <f>MADEIRAS!M20</f>
        <v>2.8</v>
      </c>
      <c r="L20" s="278">
        <f>MADEIRAS!N20</f>
        <v>3.4</v>
      </c>
      <c r="M20" s="278">
        <f>MADEIRAS!O20</f>
        <v>13000</v>
      </c>
      <c r="N20" s="278">
        <f>MADEIRAS!P20</f>
        <v>430</v>
      </c>
      <c r="O20" s="278">
        <f>MADEIRAS!Q20</f>
        <v>810</v>
      </c>
      <c r="P20" s="278">
        <f>MADEIRAS!R20</f>
        <v>400</v>
      </c>
      <c r="Q20" s="278">
        <f>MADEIRAS!S20</f>
        <v>8700</v>
      </c>
      <c r="R20" s="278">
        <f>MADEIRAS!U20</f>
        <v>0</v>
      </c>
      <c r="S20" s="278">
        <f>MADEIRAS!V20</f>
        <v>1</v>
      </c>
      <c r="T20" s="278" t="str">
        <f>MADEIRAS!X20</f>
        <v>EC5-C35</v>
      </c>
    </row>
    <row r="21" spans="1:20" x14ac:dyDescent="0.25">
      <c r="A21" s="21">
        <f t="shared" si="0"/>
        <v>18</v>
      </c>
      <c r="B21" s="277" t="str">
        <f>MADEIRAS!C21</f>
        <v>EC5-C40</v>
      </c>
      <c r="C21" s="278">
        <f>MADEIRAS!D21</f>
        <v>14000</v>
      </c>
      <c r="D21" s="278">
        <f>MADEIRAS!E21</f>
        <v>880</v>
      </c>
      <c r="E21" s="278">
        <f>MADEIRAS!F21*100</f>
        <v>500</v>
      </c>
      <c r="F21" s="279">
        <f>MADEIRAS!G21</f>
        <v>5.0000000000000004E-6</v>
      </c>
      <c r="G21" s="278">
        <f>MADEIRAS!I21</f>
        <v>40</v>
      </c>
      <c r="H21" s="278">
        <f>MADEIRAS!J21</f>
        <v>24</v>
      </c>
      <c r="I21" s="278">
        <f>MADEIRAS!K21</f>
        <v>0.6</v>
      </c>
      <c r="J21" s="278">
        <f>MADEIRAS!L21</f>
        <v>26</v>
      </c>
      <c r="K21" s="278">
        <f>MADEIRAS!M21</f>
        <v>2.9</v>
      </c>
      <c r="L21" s="278">
        <f>MADEIRAS!N21</f>
        <v>3.8</v>
      </c>
      <c r="M21" s="278">
        <f>MADEIRAS!O21</f>
        <v>14000</v>
      </c>
      <c r="N21" s="278">
        <f>MADEIRAS!P21</f>
        <v>470</v>
      </c>
      <c r="O21" s="278">
        <f>MADEIRAS!Q21</f>
        <v>880</v>
      </c>
      <c r="P21" s="278">
        <f>MADEIRAS!R21</f>
        <v>420</v>
      </c>
      <c r="Q21" s="278">
        <f>MADEIRAS!S21</f>
        <v>9400</v>
      </c>
      <c r="R21" s="278">
        <f>MADEIRAS!U21</f>
        <v>0</v>
      </c>
      <c r="S21" s="278">
        <f>MADEIRAS!V21</f>
        <v>1</v>
      </c>
      <c r="T21" s="278" t="str">
        <f>MADEIRAS!X21</f>
        <v>EC5-C40</v>
      </c>
    </row>
    <row r="22" spans="1:20" x14ac:dyDescent="0.25">
      <c r="A22" s="21">
        <f t="shared" si="0"/>
        <v>19</v>
      </c>
      <c r="B22" s="277" t="str">
        <f>MADEIRAS!C22</f>
        <v>EC5-C45</v>
      </c>
      <c r="C22" s="278">
        <f>MADEIRAS!D22</f>
        <v>15000</v>
      </c>
      <c r="D22" s="278">
        <f>MADEIRAS!E22</f>
        <v>940</v>
      </c>
      <c r="E22" s="278">
        <f>MADEIRAS!F22*100</f>
        <v>520</v>
      </c>
      <c r="F22" s="279">
        <f>MADEIRAS!G22</f>
        <v>5.0000000000000004E-6</v>
      </c>
      <c r="G22" s="278">
        <f>MADEIRAS!I22</f>
        <v>45</v>
      </c>
      <c r="H22" s="278">
        <f>MADEIRAS!J22</f>
        <v>27</v>
      </c>
      <c r="I22" s="278">
        <f>MADEIRAS!K22</f>
        <v>0.6</v>
      </c>
      <c r="J22" s="278">
        <f>MADEIRAS!L22</f>
        <v>27</v>
      </c>
      <c r="K22" s="278">
        <f>MADEIRAS!M22</f>
        <v>3.1</v>
      </c>
      <c r="L22" s="278">
        <f>MADEIRAS!N22</f>
        <v>3.8</v>
      </c>
      <c r="M22" s="278">
        <f>MADEIRAS!O22</f>
        <v>15000</v>
      </c>
      <c r="N22" s="278">
        <f>MADEIRAS!P22</f>
        <v>500</v>
      </c>
      <c r="O22" s="278">
        <f>MADEIRAS!Q22</f>
        <v>940</v>
      </c>
      <c r="P22" s="278">
        <f>MADEIRAS!R22</f>
        <v>440</v>
      </c>
      <c r="Q22" s="278">
        <f>MADEIRAS!S22</f>
        <v>10000</v>
      </c>
      <c r="R22" s="278">
        <f>MADEIRAS!U22</f>
        <v>0</v>
      </c>
      <c r="S22" s="278">
        <f>MADEIRAS!V22</f>
        <v>1</v>
      </c>
      <c r="T22" s="278" t="str">
        <f>MADEIRAS!X22</f>
        <v>EC5-C45</v>
      </c>
    </row>
    <row r="23" spans="1:20" x14ac:dyDescent="0.25">
      <c r="A23" s="21">
        <f t="shared" si="0"/>
        <v>20</v>
      </c>
      <c r="B23" s="277" t="str">
        <f>MADEIRAS!C23</f>
        <v>EC5-C50</v>
      </c>
      <c r="C23" s="278">
        <f>MADEIRAS!D23</f>
        <v>16000</v>
      </c>
      <c r="D23" s="278">
        <f>MADEIRAS!E23</f>
        <v>1000</v>
      </c>
      <c r="E23" s="278">
        <f>MADEIRAS!F23*100</f>
        <v>550</v>
      </c>
      <c r="F23" s="279">
        <f>MADEIRAS!G23</f>
        <v>5.0000000000000004E-6</v>
      </c>
      <c r="G23" s="278">
        <f>MADEIRAS!I23</f>
        <v>50</v>
      </c>
      <c r="H23" s="278">
        <f>MADEIRAS!J23</f>
        <v>30</v>
      </c>
      <c r="I23" s="278">
        <f>MADEIRAS!K23</f>
        <v>0.6</v>
      </c>
      <c r="J23" s="278">
        <f>MADEIRAS!L23</f>
        <v>29</v>
      </c>
      <c r="K23" s="278">
        <f>MADEIRAS!M23</f>
        <v>3.2</v>
      </c>
      <c r="L23" s="278">
        <f>MADEIRAS!N23</f>
        <v>3.8</v>
      </c>
      <c r="M23" s="278">
        <f>MADEIRAS!O23</f>
        <v>16000</v>
      </c>
      <c r="N23" s="278">
        <f>MADEIRAS!P23</f>
        <v>530</v>
      </c>
      <c r="O23" s="278">
        <f>MADEIRAS!Q23</f>
        <v>1000</v>
      </c>
      <c r="P23" s="278">
        <f>MADEIRAS!R23</f>
        <v>460</v>
      </c>
      <c r="Q23" s="278">
        <f>MADEIRAS!S23</f>
        <v>10700</v>
      </c>
      <c r="R23" s="278">
        <f>MADEIRAS!U23</f>
        <v>0</v>
      </c>
      <c r="S23" s="278">
        <f>MADEIRAS!V23</f>
        <v>1</v>
      </c>
      <c r="T23" s="278" t="str">
        <f>MADEIRAS!X23</f>
        <v>EC5-C50</v>
      </c>
    </row>
    <row r="24" spans="1:20" x14ac:dyDescent="0.25">
      <c r="A24" s="21">
        <f t="shared" si="0"/>
        <v>21</v>
      </c>
      <c r="B24" s="277" t="str">
        <f>MADEIRAS!C24</f>
        <v>EC5-D30</v>
      </c>
      <c r="C24" s="278">
        <f>MADEIRAS!D24</f>
        <v>10000</v>
      </c>
      <c r="D24" s="278">
        <f>MADEIRAS!E24</f>
        <v>600</v>
      </c>
      <c r="E24" s="278">
        <f>MADEIRAS!F24*100</f>
        <v>640</v>
      </c>
      <c r="F24" s="279">
        <f>MADEIRAS!G24</f>
        <v>5.0000000000000004E-6</v>
      </c>
      <c r="G24" s="278">
        <f>MADEIRAS!I24</f>
        <v>30</v>
      </c>
      <c r="H24" s="278">
        <f>MADEIRAS!J24</f>
        <v>18</v>
      </c>
      <c r="I24" s="278">
        <f>MADEIRAS!K24</f>
        <v>0.6</v>
      </c>
      <c r="J24" s="278">
        <f>MADEIRAS!L24</f>
        <v>23</v>
      </c>
      <c r="K24" s="278">
        <f>MADEIRAS!M24</f>
        <v>8</v>
      </c>
      <c r="L24" s="278">
        <f>MADEIRAS!N24</f>
        <v>3</v>
      </c>
      <c r="M24" s="278">
        <f>MADEIRAS!O24</f>
        <v>10000</v>
      </c>
      <c r="N24" s="278">
        <f>MADEIRAS!P24</f>
        <v>640</v>
      </c>
      <c r="O24" s="278">
        <f>MADEIRAS!Q24</f>
        <v>600</v>
      </c>
      <c r="P24" s="278">
        <f>MADEIRAS!R24</f>
        <v>530</v>
      </c>
      <c r="Q24" s="278">
        <f>MADEIRAS!S24</f>
        <v>8000</v>
      </c>
      <c r="R24" s="278">
        <f>MADEIRAS!U24</f>
        <v>0</v>
      </c>
      <c r="S24" s="278">
        <f>MADEIRAS!V24</f>
        <v>1</v>
      </c>
      <c r="T24" s="278" t="str">
        <f>MADEIRAS!X24</f>
        <v>EC5-D30</v>
      </c>
    </row>
    <row r="25" spans="1:20" x14ac:dyDescent="0.25">
      <c r="A25" s="21">
        <f t="shared" si="0"/>
        <v>22</v>
      </c>
      <c r="B25" s="277" t="str">
        <f>MADEIRAS!C25</f>
        <v>EC5-D35</v>
      </c>
      <c r="C25" s="278">
        <f>MADEIRAS!D25</f>
        <v>10000</v>
      </c>
      <c r="D25" s="278">
        <f>MADEIRAS!E25</f>
        <v>650</v>
      </c>
      <c r="E25" s="278">
        <f>MADEIRAS!F25*100</f>
        <v>670</v>
      </c>
      <c r="F25" s="279">
        <f>MADEIRAS!G25</f>
        <v>5.0000000000000004E-6</v>
      </c>
      <c r="G25" s="278">
        <f>MADEIRAS!I25</f>
        <v>35</v>
      </c>
      <c r="H25" s="278">
        <f>MADEIRAS!J25</f>
        <v>21</v>
      </c>
      <c r="I25" s="278">
        <f>MADEIRAS!K25</f>
        <v>0.6</v>
      </c>
      <c r="J25" s="278">
        <f>MADEIRAS!L25</f>
        <v>25</v>
      </c>
      <c r="K25" s="278">
        <f>MADEIRAS!M25</f>
        <v>8.4</v>
      </c>
      <c r="L25" s="278">
        <f>MADEIRAS!N25</f>
        <v>3.4</v>
      </c>
      <c r="M25" s="278">
        <f>MADEIRAS!O25</f>
        <v>10000</v>
      </c>
      <c r="N25" s="278">
        <f>MADEIRAS!P25</f>
        <v>690</v>
      </c>
      <c r="O25" s="278">
        <f>MADEIRAS!Q25</f>
        <v>650</v>
      </c>
      <c r="P25" s="278">
        <f>MADEIRAS!R25</f>
        <v>560</v>
      </c>
      <c r="Q25" s="278">
        <f>MADEIRAS!S25</f>
        <v>8700</v>
      </c>
      <c r="R25" s="278">
        <f>MADEIRAS!U25</f>
        <v>0</v>
      </c>
      <c r="S25" s="278">
        <f>MADEIRAS!V25</f>
        <v>1</v>
      </c>
      <c r="T25" s="278" t="str">
        <f>MADEIRAS!X25</f>
        <v>EC5-D35</v>
      </c>
    </row>
    <row r="26" spans="1:20" x14ac:dyDescent="0.25">
      <c r="A26" s="21">
        <f t="shared" si="0"/>
        <v>23</v>
      </c>
      <c r="B26" s="277" t="str">
        <f>MADEIRAS!C26</f>
        <v>EC5-D40</v>
      </c>
      <c r="C26" s="278">
        <f>MADEIRAS!D26</f>
        <v>11000</v>
      </c>
      <c r="D26" s="278">
        <f>MADEIRAS!E26</f>
        <v>700</v>
      </c>
      <c r="E26" s="278">
        <f>MADEIRAS!F26*100</f>
        <v>700</v>
      </c>
      <c r="F26" s="279">
        <f>MADEIRAS!G26</f>
        <v>5.0000000000000004E-6</v>
      </c>
      <c r="G26" s="278">
        <f>MADEIRAS!I26</f>
        <v>40</v>
      </c>
      <c r="H26" s="278">
        <f>MADEIRAS!J26</f>
        <v>24</v>
      </c>
      <c r="I26" s="278">
        <f>MADEIRAS!K26</f>
        <v>0.6</v>
      </c>
      <c r="J26" s="278">
        <f>MADEIRAS!L26</f>
        <v>26</v>
      </c>
      <c r="K26" s="278">
        <f>MADEIRAS!M26</f>
        <v>8.8000000000000007</v>
      </c>
      <c r="L26" s="278">
        <f>MADEIRAS!N26</f>
        <v>3.8</v>
      </c>
      <c r="M26" s="278">
        <f>MADEIRAS!O26</f>
        <v>11000</v>
      </c>
      <c r="N26" s="278">
        <f>MADEIRAS!P26</f>
        <v>750</v>
      </c>
      <c r="O26" s="278">
        <f>MADEIRAS!Q26</f>
        <v>700</v>
      </c>
      <c r="P26" s="278">
        <f>MADEIRAS!R26</f>
        <v>590</v>
      </c>
      <c r="Q26" s="278">
        <f>MADEIRAS!S26</f>
        <v>9400</v>
      </c>
      <c r="R26" s="278">
        <f>MADEIRAS!U26</f>
        <v>0</v>
      </c>
      <c r="S26" s="278">
        <f>MADEIRAS!V26</f>
        <v>1</v>
      </c>
      <c r="T26" s="278" t="str">
        <f>MADEIRAS!X26</f>
        <v>EC5-D40</v>
      </c>
    </row>
    <row r="27" spans="1:20" x14ac:dyDescent="0.25">
      <c r="A27" s="21">
        <f t="shared" si="0"/>
        <v>24</v>
      </c>
      <c r="B27" s="277" t="str">
        <f>MADEIRAS!C27</f>
        <v>EC5-D50</v>
      </c>
      <c r="C27" s="278">
        <f>MADEIRAS!D27</f>
        <v>14000</v>
      </c>
      <c r="D27" s="278">
        <f>MADEIRAS!E27</f>
        <v>880</v>
      </c>
      <c r="E27" s="278">
        <f>MADEIRAS!F27*100</f>
        <v>780</v>
      </c>
      <c r="F27" s="279">
        <f>MADEIRAS!G27</f>
        <v>5.0000000000000004E-6</v>
      </c>
      <c r="G27" s="278">
        <f>MADEIRAS!I27</f>
        <v>50</v>
      </c>
      <c r="H27" s="278">
        <f>MADEIRAS!J27</f>
        <v>30</v>
      </c>
      <c r="I27" s="278">
        <f>MADEIRAS!K27</f>
        <v>0.6</v>
      </c>
      <c r="J27" s="278">
        <f>MADEIRAS!L27</f>
        <v>29</v>
      </c>
      <c r="K27" s="278">
        <f>MADEIRAS!M27</f>
        <v>9.6999999999999993</v>
      </c>
      <c r="L27" s="278">
        <f>MADEIRAS!N27</f>
        <v>4.5999999999999996</v>
      </c>
      <c r="M27" s="278">
        <f>MADEIRAS!O27</f>
        <v>14000</v>
      </c>
      <c r="N27" s="278">
        <f>MADEIRAS!P27</f>
        <v>930</v>
      </c>
      <c r="O27" s="278">
        <f>MADEIRAS!Q27</f>
        <v>880</v>
      </c>
      <c r="P27" s="278">
        <f>MADEIRAS!R27</f>
        <v>650</v>
      </c>
      <c r="Q27" s="278">
        <f>MADEIRAS!S27</f>
        <v>11800</v>
      </c>
      <c r="R27" s="278">
        <f>MADEIRAS!U27</f>
        <v>0</v>
      </c>
      <c r="S27" s="278">
        <f>MADEIRAS!V27</f>
        <v>1</v>
      </c>
      <c r="T27" s="278" t="str">
        <f>MADEIRAS!X27</f>
        <v>EC5-D50</v>
      </c>
    </row>
    <row r="28" spans="1:20" x14ac:dyDescent="0.25">
      <c r="A28" s="21">
        <f t="shared" si="0"/>
        <v>25</v>
      </c>
      <c r="B28" s="277" t="str">
        <f>MADEIRAS!C28</f>
        <v>EC5-D60</v>
      </c>
      <c r="C28" s="278">
        <f>MADEIRAS!D28</f>
        <v>17000</v>
      </c>
      <c r="D28" s="278">
        <f>MADEIRAS!E28</f>
        <v>1060</v>
      </c>
      <c r="E28" s="278">
        <f>MADEIRAS!F28*100</f>
        <v>840</v>
      </c>
      <c r="F28" s="279">
        <f>MADEIRAS!G28</f>
        <v>5.0000000000000004E-6</v>
      </c>
      <c r="G28" s="278">
        <f>MADEIRAS!I28</f>
        <v>60</v>
      </c>
      <c r="H28" s="278">
        <f>MADEIRAS!J28</f>
        <v>36</v>
      </c>
      <c r="I28" s="278">
        <f>MADEIRAS!K28</f>
        <v>0.6</v>
      </c>
      <c r="J28" s="278">
        <f>MADEIRAS!L28</f>
        <v>32</v>
      </c>
      <c r="K28" s="278">
        <f>MADEIRAS!M28</f>
        <v>10.5</v>
      </c>
      <c r="L28" s="278">
        <f>MADEIRAS!N28</f>
        <v>5.3</v>
      </c>
      <c r="M28" s="278">
        <f>MADEIRAS!O28</f>
        <v>17000</v>
      </c>
      <c r="N28" s="278">
        <f>MADEIRAS!P28</f>
        <v>1130</v>
      </c>
      <c r="O28" s="278">
        <f>MADEIRAS!Q28</f>
        <v>1060</v>
      </c>
      <c r="P28" s="278">
        <f>MADEIRAS!R28</f>
        <v>700</v>
      </c>
      <c r="Q28" s="278">
        <f>MADEIRAS!S28</f>
        <v>14300</v>
      </c>
      <c r="R28" s="278">
        <f>MADEIRAS!U28</f>
        <v>0</v>
      </c>
      <c r="S28" s="278">
        <f>MADEIRAS!V28</f>
        <v>1</v>
      </c>
      <c r="T28" s="278" t="str">
        <f>MADEIRAS!X28</f>
        <v>EC5-D60</v>
      </c>
    </row>
    <row r="29" spans="1:20" x14ac:dyDescent="0.25">
      <c r="A29" s="21">
        <f t="shared" si="0"/>
        <v>26</v>
      </c>
      <c r="B29" s="277" t="str">
        <f>MADEIRAS!C29</f>
        <v>EC5-D70</v>
      </c>
      <c r="C29" s="278">
        <f>MADEIRAS!D29</f>
        <v>20000</v>
      </c>
      <c r="D29" s="278">
        <f>MADEIRAS!E29</f>
        <v>1250</v>
      </c>
      <c r="E29" s="278">
        <f>MADEIRAS!F29*100</f>
        <v>1080</v>
      </c>
      <c r="F29" s="279">
        <f>MADEIRAS!G29</f>
        <v>5.0000000000000004E-6</v>
      </c>
      <c r="G29" s="278">
        <f>MADEIRAS!I29</f>
        <v>70</v>
      </c>
      <c r="H29" s="278">
        <f>MADEIRAS!J29</f>
        <v>42</v>
      </c>
      <c r="I29" s="278">
        <f>MADEIRAS!K29</f>
        <v>0.6</v>
      </c>
      <c r="J29" s="278">
        <f>MADEIRAS!L29</f>
        <v>34</v>
      </c>
      <c r="K29" s="278">
        <f>MADEIRAS!M29</f>
        <v>13.5</v>
      </c>
      <c r="L29" s="278">
        <f>MADEIRAS!N29</f>
        <v>6</v>
      </c>
      <c r="M29" s="278">
        <f>MADEIRAS!O29</f>
        <v>20000</v>
      </c>
      <c r="N29" s="278">
        <f>MADEIRAS!P29</f>
        <v>1330</v>
      </c>
      <c r="O29" s="278">
        <f>MADEIRAS!Q29</f>
        <v>1250</v>
      </c>
      <c r="P29" s="278">
        <f>MADEIRAS!R29</f>
        <v>900</v>
      </c>
      <c r="Q29" s="278">
        <f>MADEIRAS!S29</f>
        <v>16800</v>
      </c>
      <c r="R29" s="278">
        <f>MADEIRAS!U29</f>
        <v>0</v>
      </c>
      <c r="S29" s="278">
        <f>MADEIRAS!V29</f>
        <v>1</v>
      </c>
      <c r="T29" s="278" t="str">
        <f>MADEIRAS!X29</f>
        <v>EC5-D70</v>
      </c>
    </row>
    <row r="30" spans="1:20" x14ac:dyDescent="0.25">
      <c r="A30" s="21">
        <f t="shared" si="0"/>
        <v>27</v>
      </c>
      <c r="B30" s="277" t="str">
        <f>MADEIRAS!C30</f>
        <v>EC5-GL24h</v>
      </c>
      <c r="C30" s="278">
        <f>MADEIRAS!D30</f>
        <v>11600</v>
      </c>
      <c r="D30" s="278">
        <f>MADEIRAS!E30</f>
        <v>0</v>
      </c>
      <c r="E30" s="278">
        <f>MADEIRAS!F30*100</f>
        <v>370</v>
      </c>
      <c r="F30" s="279">
        <f>MADEIRAS!G30</f>
        <v>5.0000000000000004E-6</v>
      </c>
      <c r="G30" s="278">
        <f>MADEIRAS!I30</f>
        <v>24</v>
      </c>
      <c r="H30" s="278">
        <f>MADEIRAS!J30</f>
        <v>16.5</v>
      </c>
      <c r="I30" s="278">
        <f>MADEIRAS!K30</f>
        <v>0.4</v>
      </c>
      <c r="J30" s="278">
        <f>MADEIRAS!L30</f>
        <v>24</v>
      </c>
      <c r="K30" s="278">
        <f>MADEIRAS!M30</f>
        <v>2.7</v>
      </c>
      <c r="L30" s="278">
        <f>MADEIRAS!N30</f>
        <v>2.7</v>
      </c>
      <c r="M30" s="278">
        <f>MADEIRAS!O30</f>
        <v>11600</v>
      </c>
      <c r="N30" s="278">
        <f>MADEIRAS!P30</f>
        <v>0</v>
      </c>
      <c r="O30" s="278">
        <f>MADEIRAS!Q30</f>
        <v>0</v>
      </c>
      <c r="P30" s="278">
        <f>MADEIRAS!R30</f>
        <v>0</v>
      </c>
      <c r="Q30" s="278">
        <f>MADEIRAS!S30</f>
        <v>0</v>
      </c>
      <c r="R30" s="278">
        <f>MADEIRAS!U30</f>
        <v>0</v>
      </c>
      <c r="S30" s="278">
        <f>MADEIRAS!V30</f>
        <v>1</v>
      </c>
      <c r="T30" s="278" t="str">
        <f>MADEIRAS!X30</f>
        <v>EC5-GL24h</v>
      </c>
    </row>
    <row r="31" spans="1:20" x14ac:dyDescent="0.25">
      <c r="A31" s="21">
        <f t="shared" si="0"/>
        <v>28</v>
      </c>
      <c r="B31" s="277" t="str">
        <f>MADEIRAS!C31</f>
        <v>EC5-GL24c</v>
      </c>
      <c r="C31" s="278">
        <f>MADEIRAS!D31</f>
        <v>11600</v>
      </c>
      <c r="D31" s="278">
        <f>MADEIRAS!E31</f>
        <v>0</v>
      </c>
      <c r="E31" s="278">
        <f>MADEIRAS!F31*100</f>
        <v>350</v>
      </c>
      <c r="F31" s="279">
        <f>MADEIRAS!G31</f>
        <v>5.0000000000000004E-6</v>
      </c>
      <c r="G31" s="278">
        <f>MADEIRAS!I31</f>
        <v>24</v>
      </c>
      <c r="H31" s="278">
        <f>MADEIRAS!J31</f>
        <v>16</v>
      </c>
      <c r="I31" s="278">
        <f>MADEIRAS!K31</f>
        <v>0.3</v>
      </c>
      <c r="J31" s="278">
        <f>MADEIRAS!L31</f>
        <v>21</v>
      </c>
      <c r="K31" s="278">
        <f>MADEIRAS!M31</f>
        <v>2.4</v>
      </c>
      <c r="L31" s="278">
        <f>MADEIRAS!N31</f>
        <v>2.2000000000000002</v>
      </c>
      <c r="M31" s="278">
        <f>MADEIRAS!O31</f>
        <v>11600</v>
      </c>
      <c r="N31" s="278">
        <f>MADEIRAS!P31</f>
        <v>0</v>
      </c>
      <c r="O31" s="278">
        <f>MADEIRAS!Q31</f>
        <v>0</v>
      </c>
      <c r="P31" s="278">
        <f>MADEIRAS!R31</f>
        <v>0</v>
      </c>
      <c r="Q31" s="278">
        <f>MADEIRAS!S31</f>
        <v>0</v>
      </c>
      <c r="R31" s="278">
        <f>MADEIRAS!U31</f>
        <v>0</v>
      </c>
      <c r="S31" s="278">
        <f>MADEIRAS!V31</f>
        <v>1</v>
      </c>
      <c r="T31" s="278" t="str">
        <f>MADEIRAS!X31</f>
        <v>EC5-GL24c</v>
      </c>
    </row>
    <row r="32" spans="1:20" x14ac:dyDescent="0.25">
      <c r="A32" s="21">
        <f t="shared" si="0"/>
        <v>29</v>
      </c>
      <c r="B32" s="277" t="str">
        <f>MADEIRAS!C32</f>
        <v>EC5-GL28h</v>
      </c>
      <c r="C32" s="278">
        <f>MADEIRAS!D32</f>
        <v>12600</v>
      </c>
      <c r="D32" s="278">
        <f>MADEIRAS!E32</f>
        <v>0</v>
      </c>
      <c r="E32" s="278">
        <f>MADEIRAS!F32*100</f>
        <v>400</v>
      </c>
      <c r="F32" s="279">
        <f>MADEIRAS!G32</f>
        <v>5.0000000000000004E-6</v>
      </c>
      <c r="G32" s="278">
        <f>MADEIRAS!I32</f>
        <v>28</v>
      </c>
      <c r="H32" s="278">
        <f>MADEIRAS!J32</f>
        <v>19.5</v>
      </c>
      <c r="I32" s="278">
        <f>MADEIRAS!K32</f>
        <v>0.4</v>
      </c>
      <c r="J32" s="278">
        <f>MADEIRAS!L32</f>
        <v>26.5</v>
      </c>
      <c r="K32" s="278">
        <f>MADEIRAS!M32</f>
        <v>3</v>
      </c>
      <c r="L32" s="278">
        <f>MADEIRAS!N32</f>
        <v>3.2</v>
      </c>
      <c r="M32" s="278">
        <f>MADEIRAS!O32</f>
        <v>12600</v>
      </c>
      <c r="N32" s="278">
        <f>MADEIRAS!P32</f>
        <v>0</v>
      </c>
      <c r="O32" s="278">
        <f>MADEIRAS!Q32</f>
        <v>0</v>
      </c>
      <c r="P32" s="278">
        <f>MADEIRAS!R32</f>
        <v>0</v>
      </c>
      <c r="Q32" s="278">
        <f>MADEIRAS!S32</f>
        <v>0</v>
      </c>
      <c r="R32" s="278">
        <f>MADEIRAS!U32</f>
        <v>0</v>
      </c>
      <c r="S32" s="278">
        <f>MADEIRAS!V32</f>
        <v>1</v>
      </c>
      <c r="T32" s="278" t="str">
        <f>MADEIRAS!X32</f>
        <v>EC5-GL28h</v>
      </c>
    </row>
    <row r="33" spans="1:20" x14ac:dyDescent="0.25">
      <c r="A33" s="21">
        <f t="shared" si="0"/>
        <v>30</v>
      </c>
      <c r="B33" s="277" t="str">
        <f>MADEIRAS!C33</f>
        <v>EC5-GL28c</v>
      </c>
      <c r="C33" s="278">
        <f>MADEIRAS!D33</f>
        <v>12600</v>
      </c>
      <c r="D33" s="278">
        <f>MADEIRAS!E33</f>
        <v>720</v>
      </c>
      <c r="E33" s="278">
        <f>MADEIRAS!F33*100</f>
        <v>370</v>
      </c>
      <c r="F33" s="279">
        <f>MADEIRAS!G33</f>
        <v>5.0000000000000004E-6</v>
      </c>
      <c r="G33" s="278">
        <f>MADEIRAS!I33</f>
        <v>28</v>
      </c>
      <c r="H33" s="278">
        <f>MADEIRAS!J33</f>
        <v>16.5</v>
      </c>
      <c r="I33" s="278">
        <f>MADEIRAS!K33</f>
        <v>0.4</v>
      </c>
      <c r="J33" s="278">
        <f>MADEIRAS!L33</f>
        <v>24</v>
      </c>
      <c r="K33" s="278">
        <f>MADEIRAS!M33</f>
        <v>2.7</v>
      </c>
      <c r="L33" s="278">
        <f>MADEIRAS!N33</f>
        <v>2.7</v>
      </c>
      <c r="M33" s="278">
        <f>MADEIRAS!O33</f>
        <v>12600</v>
      </c>
      <c r="N33" s="278">
        <f>MADEIRAS!P33</f>
        <v>390</v>
      </c>
      <c r="O33" s="278">
        <f>MADEIRAS!Q33</f>
        <v>720</v>
      </c>
      <c r="P33" s="278">
        <f>MADEIRAS!R33</f>
        <v>380</v>
      </c>
      <c r="Q33" s="278">
        <f>MADEIRAS!S33</f>
        <v>10200</v>
      </c>
      <c r="R33" s="278">
        <f>MADEIRAS!U33</f>
        <v>583</v>
      </c>
      <c r="S33" s="278">
        <f>MADEIRAS!V33</f>
        <v>1</v>
      </c>
      <c r="T33" s="278" t="str">
        <f>MADEIRAS!X33</f>
        <v>EC5-GL28c</v>
      </c>
    </row>
    <row r="34" spans="1:20" x14ac:dyDescent="0.25">
      <c r="A34" s="21">
        <f t="shared" si="0"/>
        <v>31</v>
      </c>
      <c r="B34" s="277" t="str">
        <f>MADEIRAS!C34</f>
        <v>EC5-GL32h</v>
      </c>
      <c r="C34" s="278">
        <f>MADEIRAS!D34</f>
        <v>13700</v>
      </c>
      <c r="D34" s="278">
        <f>MADEIRAS!E34</f>
        <v>0</v>
      </c>
      <c r="E34" s="278">
        <f>MADEIRAS!F34*100</f>
        <v>420</v>
      </c>
      <c r="F34" s="279">
        <f>MADEIRAS!G34</f>
        <v>5.0000000000000004E-6</v>
      </c>
      <c r="G34" s="278">
        <f>MADEIRAS!I34</f>
        <v>32</v>
      </c>
      <c r="H34" s="278">
        <f>MADEIRAS!J34</f>
        <v>22.5</v>
      </c>
      <c r="I34" s="278">
        <f>MADEIRAS!K34</f>
        <v>0.5</v>
      </c>
      <c r="J34" s="278">
        <f>MADEIRAS!L34</f>
        <v>29</v>
      </c>
      <c r="K34" s="278">
        <f>MADEIRAS!M34</f>
        <v>3.3</v>
      </c>
      <c r="L34" s="278">
        <f>MADEIRAS!N34</f>
        <v>3.8</v>
      </c>
      <c r="M34" s="278">
        <f>MADEIRAS!O34</f>
        <v>13700</v>
      </c>
      <c r="N34" s="278">
        <f>MADEIRAS!P34</f>
        <v>0</v>
      </c>
      <c r="O34" s="278">
        <f>MADEIRAS!Q34</f>
        <v>0</v>
      </c>
      <c r="P34" s="278">
        <f>MADEIRAS!R34</f>
        <v>0</v>
      </c>
      <c r="Q34" s="278">
        <f>MADEIRAS!S34</f>
        <v>0</v>
      </c>
      <c r="R34" s="278">
        <f>MADEIRAS!U34</f>
        <v>0</v>
      </c>
      <c r="S34" s="278">
        <f>MADEIRAS!V34</f>
        <v>1</v>
      </c>
      <c r="T34" s="278" t="str">
        <f>MADEIRAS!X34</f>
        <v>EC5-GL32h</v>
      </c>
    </row>
    <row r="35" spans="1:20" x14ac:dyDescent="0.25">
      <c r="A35" s="21">
        <f t="shared" si="0"/>
        <v>32</v>
      </c>
      <c r="B35" s="277" t="str">
        <f>MADEIRAS!C35</f>
        <v>EC5-GL32c</v>
      </c>
      <c r="C35" s="278">
        <f>MADEIRAS!D35</f>
        <v>13700</v>
      </c>
      <c r="D35" s="278">
        <f>MADEIRAS!E35</f>
        <v>0</v>
      </c>
      <c r="E35" s="278">
        <f>MADEIRAS!F35*100</f>
        <v>400</v>
      </c>
      <c r="F35" s="279">
        <f>MADEIRAS!G35</f>
        <v>5.0000000000000004E-6</v>
      </c>
      <c r="G35" s="278">
        <f>MADEIRAS!I35</f>
        <v>32</v>
      </c>
      <c r="H35" s="278">
        <f>MADEIRAS!J35</f>
        <v>19.5</v>
      </c>
      <c r="I35" s="278">
        <f>MADEIRAS!K35</f>
        <v>0.4</v>
      </c>
      <c r="J35" s="278">
        <f>MADEIRAS!L35</f>
        <v>26.5</v>
      </c>
      <c r="K35" s="278">
        <f>MADEIRAS!M35</f>
        <v>3</v>
      </c>
      <c r="L35" s="278">
        <f>MADEIRAS!N35</f>
        <v>3.2</v>
      </c>
      <c r="M35" s="278">
        <f>MADEIRAS!O35</f>
        <v>13700</v>
      </c>
      <c r="N35" s="278">
        <f>MADEIRAS!P35</f>
        <v>0</v>
      </c>
      <c r="O35" s="278">
        <f>MADEIRAS!Q35</f>
        <v>0</v>
      </c>
      <c r="P35" s="278">
        <f>MADEIRAS!R35</f>
        <v>0</v>
      </c>
      <c r="Q35" s="278">
        <f>MADEIRAS!S35</f>
        <v>0</v>
      </c>
      <c r="R35" s="278">
        <f>MADEIRAS!U35</f>
        <v>0</v>
      </c>
      <c r="S35" s="278">
        <f>MADEIRAS!V35</f>
        <v>1</v>
      </c>
      <c r="T35" s="278" t="str">
        <f>MADEIRAS!X35</f>
        <v>EC5-GL32c</v>
      </c>
    </row>
    <row r="36" spans="1:20" x14ac:dyDescent="0.25">
      <c r="A36" s="21">
        <f t="shared" si="0"/>
        <v>33</v>
      </c>
      <c r="B36" s="277" t="str">
        <f>MADEIRAS!C36</f>
        <v>EC5-GL36h</v>
      </c>
      <c r="C36" s="278">
        <f>MADEIRAS!D36</f>
        <v>14700</v>
      </c>
      <c r="D36" s="278">
        <f>MADEIRAS!E36</f>
        <v>0</v>
      </c>
      <c r="E36" s="278">
        <f>MADEIRAS!F36*100</f>
        <v>440.00000000000006</v>
      </c>
      <c r="F36" s="279">
        <f>MADEIRAS!G36</f>
        <v>5.0000000000000004E-6</v>
      </c>
      <c r="G36" s="278">
        <f>MADEIRAS!I36</f>
        <v>36</v>
      </c>
      <c r="H36" s="278">
        <f>MADEIRAS!J36</f>
        <v>26</v>
      </c>
      <c r="I36" s="278">
        <f>MADEIRAS!K36</f>
        <v>0.6</v>
      </c>
      <c r="J36" s="278">
        <f>MADEIRAS!L36</f>
        <v>31</v>
      </c>
      <c r="K36" s="278">
        <f>MADEIRAS!M36</f>
        <v>3.6</v>
      </c>
      <c r="L36" s="278">
        <f>MADEIRAS!N36</f>
        <v>4.3</v>
      </c>
      <c r="M36" s="278">
        <f>MADEIRAS!O36</f>
        <v>14700</v>
      </c>
      <c r="N36" s="278">
        <f>MADEIRAS!P36</f>
        <v>0</v>
      </c>
      <c r="O36" s="278">
        <f>MADEIRAS!Q36</f>
        <v>0</v>
      </c>
      <c r="P36" s="278">
        <f>MADEIRAS!R36</f>
        <v>0</v>
      </c>
      <c r="Q36" s="278">
        <f>MADEIRAS!S36</f>
        <v>0</v>
      </c>
      <c r="R36" s="278">
        <f>MADEIRAS!U36</f>
        <v>0</v>
      </c>
      <c r="S36" s="278">
        <f>MADEIRAS!V36</f>
        <v>1</v>
      </c>
      <c r="T36" s="278" t="str">
        <f>MADEIRAS!X36</f>
        <v>EC5-GL36h</v>
      </c>
    </row>
    <row r="37" spans="1:20" x14ac:dyDescent="0.25">
      <c r="A37" s="21">
        <f t="shared" si="0"/>
        <v>34</v>
      </c>
      <c r="B37" s="277" t="str">
        <f>MADEIRAS!C37</f>
        <v>EC5-GL36c</v>
      </c>
      <c r="C37" s="278">
        <f>MADEIRAS!D37</f>
        <v>14700</v>
      </c>
      <c r="D37" s="278">
        <f>MADEIRAS!E37</f>
        <v>0</v>
      </c>
      <c r="E37" s="278">
        <f>MADEIRAS!F37*100</f>
        <v>420</v>
      </c>
      <c r="F37" s="279">
        <f>MADEIRAS!G37</f>
        <v>5.0000000000000004E-6</v>
      </c>
      <c r="G37" s="278">
        <f>MADEIRAS!I37</f>
        <v>36</v>
      </c>
      <c r="H37" s="278">
        <f>MADEIRAS!J37</f>
        <v>22.5</v>
      </c>
      <c r="I37" s="278">
        <f>MADEIRAS!K37</f>
        <v>0.5</v>
      </c>
      <c r="J37" s="278">
        <f>MADEIRAS!L37</f>
        <v>29</v>
      </c>
      <c r="K37" s="278">
        <f>MADEIRAS!M37</f>
        <v>3.3</v>
      </c>
      <c r="L37" s="278">
        <f>MADEIRAS!N37</f>
        <v>3.8</v>
      </c>
      <c r="M37" s="278">
        <f>MADEIRAS!O37</f>
        <v>14700</v>
      </c>
      <c r="N37" s="278">
        <f>MADEIRAS!P37</f>
        <v>0</v>
      </c>
      <c r="O37" s="278">
        <f>MADEIRAS!Q37</f>
        <v>0</v>
      </c>
      <c r="P37" s="278">
        <f>MADEIRAS!R37</f>
        <v>0</v>
      </c>
      <c r="Q37" s="278">
        <f>MADEIRAS!S37</f>
        <v>0</v>
      </c>
      <c r="R37" s="278">
        <f>MADEIRAS!U37</f>
        <v>0</v>
      </c>
      <c r="S37" s="278">
        <f>MADEIRAS!V37</f>
        <v>1</v>
      </c>
      <c r="T37" s="278" t="str">
        <f>MADEIRAS!X37</f>
        <v>EC5-GL36c</v>
      </c>
    </row>
    <row r="38" spans="1:20" x14ac:dyDescent="0.25">
      <c r="A38" s="21">
        <f t="shared" si="0"/>
        <v>35</v>
      </c>
      <c r="B38" s="277" t="str">
        <f>MADEIRAS!C38</f>
        <v>ANGELIM</v>
      </c>
      <c r="C38" s="278">
        <f>MADEIRAS!D38</f>
        <v>14977.919999999998</v>
      </c>
      <c r="D38" s="278">
        <f>MADEIRAS!E38</f>
        <v>748.89599999999996</v>
      </c>
      <c r="E38" s="278">
        <f>MADEIRAS!F38*100</f>
        <v>1190</v>
      </c>
      <c r="F38" s="279">
        <f>MADEIRAS!G38</f>
        <v>5.0000000000000004E-6</v>
      </c>
      <c r="G38" s="278">
        <f>MADEIRAS!I38</f>
        <v>103.34049999999999</v>
      </c>
      <c r="H38" s="278">
        <f>MADEIRAS!J38</f>
        <v>67.922077922077918</v>
      </c>
      <c r="I38" s="278">
        <f>MADEIRAS!K38</f>
        <v>67.922077922077918</v>
      </c>
      <c r="J38" s="278">
        <f>MADEIRAS!L38</f>
        <v>52.3</v>
      </c>
      <c r="K38" s="278">
        <f>MADEIRAS!M38</f>
        <v>11.3</v>
      </c>
      <c r="L38" s="278">
        <f>MADEIRAS!N38</f>
        <v>12.3</v>
      </c>
      <c r="M38" s="278">
        <f>MADEIRAS!O38</f>
        <v>14977.919999999998</v>
      </c>
      <c r="N38" s="278">
        <f>MADEIRAS!P38</f>
        <v>748.89599999999996</v>
      </c>
      <c r="O38" s="278">
        <f>MADEIRAS!Q38</f>
        <v>748.89599999999996</v>
      </c>
      <c r="P38" s="278">
        <f>MADEIRAS!R38</f>
        <v>590</v>
      </c>
      <c r="Q38" s="278">
        <f>MADEIRAS!S38</f>
        <v>10484.543999999998</v>
      </c>
      <c r="R38" s="278">
        <f>MADEIRAS!U38</f>
        <v>524.22719999999993</v>
      </c>
      <c r="S38" s="278">
        <f>MADEIRAS!V38</f>
        <v>1.1000000000000001</v>
      </c>
      <c r="T38" s="278" t="str">
        <f>MADEIRAS!X38</f>
        <v>Hymenolobium petraeum</v>
      </c>
    </row>
    <row r="39" spans="1:20" x14ac:dyDescent="0.25">
      <c r="A39" s="21">
        <f t="shared" si="0"/>
        <v>36</v>
      </c>
      <c r="B39" s="277" t="str">
        <f>MADEIRAS!C39</f>
        <v>CUMARÚ</v>
      </c>
      <c r="C39" s="278">
        <f>MADEIRAS!D39</f>
        <v>22394.959999999999</v>
      </c>
      <c r="D39" s="278">
        <f>MADEIRAS!E39</f>
        <v>1119.748</v>
      </c>
      <c r="E39" s="278">
        <f>MADEIRAS!F39*100</f>
        <v>1090</v>
      </c>
      <c r="F39" s="279">
        <f>MADEIRAS!G39</f>
        <v>5.0000000000000004E-6</v>
      </c>
      <c r="G39" s="278">
        <f>MADEIRAS!I39</f>
        <v>173.92950000000002</v>
      </c>
      <c r="H39" s="278">
        <f>MADEIRAS!J39</f>
        <v>114.42207792207792</v>
      </c>
      <c r="I39" s="278">
        <f>MADEIRAS!K39</f>
        <v>114.42207792207792</v>
      </c>
      <c r="J39" s="278">
        <f>MADEIRAS!L39</f>
        <v>88.105000000000004</v>
      </c>
      <c r="K39" s="278">
        <f>MADEIRAS!M39</f>
        <v>22.026250000000001</v>
      </c>
      <c r="L39" s="278">
        <f>MADEIRAS!N39</f>
        <v>17.608000000000001</v>
      </c>
      <c r="M39" s="278">
        <f>MADEIRAS!O39</f>
        <v>22394.959999999999</v>
      </c>
      <c r="N39" s="278">
        <f>MADEIRAS!P39</f>
        <v>1119.748</v>
      </c>
      <c r="O39" s="278">
        <f>MADEIRAS!Q39</f>
        <v>1119.748</v>
      </c>
      <c r="P39" s="278">
        <f>MADEIRAS!R39</f>
        <v>908</v>
      </c>
      <c r="Q39" s="278">
        <f>MADEIRAS!S39</f>
        <v>15676.471999999998</v>
      </c>
      <c r="R39" s="278">
        <f>MADEIRAS!U39</f>
        <v>783.82359999999994</v>
      </c>
      <c r="S39" s="278">
        <f>MADEIRAS!V39</f>
        <v>1.1000000000000001</v>
      </c>
      <c r="T39" s="278" t="str">
        <f>MADEIRAS!X39</f>
        <v>Dypterix odorata</v>
      </c>
    </row>
    <row r="40" spans="1:20" x14ac:dyDescent="0.25">
      <c r="A40" s="21">
        <f t="shared" si="0"/>
        <v>37</v>
      </c>
      <c r="B40" s="277" t="str">
        <f>MADEIRAS!C40</f>
        <v>E.CITRIODORA</v>
      </c>
      <c r="C40" s="278">
        <f>MADEIRAS!D40</f>
        <v>18405.719999999998</v>
      </c>
      <c r="D40" s="278">
        <f>MADEIRAS!E40</f>
        <v>920.28599999999983</v>
      </c>
      <c r="E40" s="278">
        <f>MADEIRAS!F40*100</f>
        <v>1040</v>
      </c>
      <c r="F40" s="279">
        <f>MADEIRAS!G40</f>
        <v>5.0000000000000004E-6</v>
      </c>
      <c r="G40" s="278">
        <f>MADEIRAS!I40</f>
        <v>135.47900000000001</v>
      </c>
      <c r="H40" s="278">
        <f>MADEIRAS!J40</f>
        <v>85.59480519480519</v>
      </c>
      <c r="I40" s="278">
        <f>MADEIRAS!K40</f>
        <v>85.59480519480519</v>
      </c>
      <c r="J40" s="278">
        <f>MADEIRAS!L40</f>
        <v>65.908000000000001</v>
      </c>
      <c r="K40" s="278">
        <f>MADEIRAS!M40</f>
        <v>16.477</v>
      </c>
      <c r="L40" s="278">
        <f>MADEIRAS!N40</f>
        <v>20.212</v>
      </c>
      <c r="M40" s="278">
        <f>MADEIRAS!O40</f>
        <v>18405.719999999998</v>
      </c>
      <c r="N40" s="278">
        <f>MADEIRAS!P40</f>
        <v>920.28599999999983</v>
      </c>
      <c r="O40" s="278">
        <f>MADEIRAS!Q40</f>
        <v>920.28599999999983</v>
      </c>
      <c r="P40" s="278">
        <f>MADEIRAS!R40</f>
        <v>867</v>
      </c>
      <c r="Q40" s="278">
        <f>MADEIRAS!S40</f>
        <v>12884.003999999997</v>
      </c>
      <c r="R40" s="278">
        <f>MADEIRAS!U40</f>
        <v>644.20019999999988</v>
      </c>
      <c r="S40" s="278">
        <f>MADEIRAS!V40</f>
        <v>1.2</v>
      </c>
      <c r="T40" s="278" t="str">
        <f>MADEIRAS!X40</f>
        <v>Eucalyptus citriodora</v>
      </c>
    </row>
    <row r="41" spans="1:20" x14ac:dyDescent="0.25">
      <c r="A41" s="21">
        <f t="shared" si="0"/>
        <v>38</v>
      </c>
      <c r="B41" s="277" t="str">
        <f>MADEIRAS!C41</f>
        <v>GARAPEIRA</v>
      </c>
      <c r="C41" s="278">
        <f>MADEIRAS!D41</f>
        <v>16773.599999999999</v>
      </c>
      <c r="D41" s="278">
        <f>MADEIRAS!E41</f>
        <v>838.68</v>
      </c>
      <c r="E41" s="278">
        <f>MADEIRAS!F41*100</f>
        <v>830.00000000000011</v>
      </c>
      <c r="F41" s="279">
        <f>MADEIRAS!G41</f>
        <v>5.0000000000000004E-6</v>
      </c>
      <c r="G41" s="278">
        <f>MADEIRAS!I41</f>
        <v>126.44450000000001</v>
      </c>
      <c r="H41" s="278">
        <f>MADEIRAS!J41</f>
        <v>68.46688311688311</v>
      </c>
      <c r="I41" s="278">
        <f>MADEIRAS!K41</f>
        <v>68.46688311688311</v>
      </c>
      <c r="J41" s="278">
        <f>MADEIRAS!L41</f>
        <v>52.719499999999996</v>
      </c>
      <c r="K41" s="278">
        <f>MADEIRAS!M41</f>
        <v>13.179874999999999</v>
      </c>
      <c r="L41" s="278">
        <f>MADEIRAS!N41</f>
        <v>15.747999999999999</v>
      </c>
      <c r="M41" s="278">
        <f>MADEIRAS!O41</f>
        <v>16773.599999999999</v>
      </c>
      <c r="N41" s="278">
        <f>MADEIRAS!P41</f>
        <v>838.68</v>
      </c>
      <c r="O41" s="278">
        <f>MADEIRAS!Q41</f>
        <v>838.68</v>
      </c>
      <c r="P41" s="278">
        <f>MADEIRAS!R41</f>
        <v>670</v>
      </c>
      <c r="Q41" s="278">
        <f>MADEIRAS!S41</f>
        <v>11741.519999999999</v>
      </c>
      <c r="R41" s="278">
        <f>MADEIRAS!U41</f>
        <v>587.07599999999991</v>
      </c>
      <c r="S41" s="278">
        <f>MADEIRAS!V41</f>
        <v>1</v>
      </c>
      <c r="T41" s="278" t="str">
        <f>MADEIRAS!X41</f>
        <v>Apuleia leocarpa</v>
      </c>
    </row>
    <row r="42" spans="1:20" x14ac:dyDescent="0.25">
      <c r="A42" s="21">
        <f t="shared" si="0"/>
        <v>39</v>
      </c>
      <c r="B42" s="277" t="str">
        <f>MADEIRAS!C42</f>
        <v>ITAÚBA</v>
      </c>
      <c r="C42" s="278">
        <f>MADEIRAS!D42</f>
        <v>19008.919999999998</v>
      </c>
      <c r="D42" s="278">
        <f>MADEIRAS!E42</f>
        <v>950.44599999999991</v>
      </c>
      <c r="E42" s="278">
        <f>MADEIRAS!F42*100</f>
        <v>960</v>
      </c>
      <c r="F42" s="279">
        <f>MADEIRAS!G42</f>
        <v>5.0000000000000004E-6</v>
      </c>
      <c r="G42" s="278">
        <f>MADEIRAS!I42</f>
        <v>140.4905</v>
      </c>
      <c r="H42" s="278">
        <f>MADEIRAS!J42</f>
        <v>94.872727272727275</v>
      </c>
      <c r="I42" s="278">
        <f>MADEIRAS!K42</f>
        <v>94.872727272727275</v>
      </c>
      <c r="J42" s="278">
        <f>MADEIRAS!L42</f>
        <v>73.052000000000007</v>
      </c>
      <c r="K42" s="278">
        <f>MADEIRAS!M42</f>
        <v>18.263000000000002</v>
      </c>
      <c r="L42" s="278">
        <f>MADEIRAS!N42</f>
        <v>15.004</v>
      </c>
      <c r="M42" s="278">
        <f>MADEIRAS!O42</f>
        <v>19008.919999999998</v>
      </c>
      <c r="N42" s="278">
        <f>MADEIRAS!P42</f>
        <v>950.44599999999991</v>
      </c>
      <c r="O42" s="278">
        <f>MADEIRAS!Q42</f>
        <v>950.44599999999991</v>
      </c>
      <c r="P42" s="278">
        <f>MADEIRAS!R42</f>
        <v>800</v>
      </c>
      <c r="Q42" s="278">
        <f>MADEIRAS!S42</f>
        <v>13306.243999999999</v>
      </c>
      <c r="R42" s="278">
        <f>MADEIRAS!U42</f>
        <v>665.31219999999985</v>
      </c>
      <c r="S42" s="278">
        <f>MADEIRAS!V42</f>
        <v>1.3</v>
      </c>
      <c r="T42" s="278" t="str">
        <f>MADEIRAS!X42</f>
        <v>Mezilaurus itauba</v>
      </c>
    </row>
    <row r="43" spans="1:20" x14ac:dyDescent="0.25">
      <c r="A43" s="21">
        <f t="shared" si="0"/>
        <v>40</v>
      </c>
      <c r="B43" s="277" t="str">
        <f>MADEIRAS!C43</f>
        <v>JATOBÁ</v>
      </c>
      <c r="C43" s="278">
        <f>MADEIRAS!D43</f>
        <v>20521.559999999998</v>
      </c>
      <c r="D43" s="278">
        <f>MADEIRAS!E43</f>
        <v>1026.078</v>
      </c>
      <c r="E43" s="278">
        <f>MADEIRAS!F43*100</f>
        <v>960</v>
      </c>
      <c r="F43" s="279">
        <f>MADEIRAS!G43</f>
        <v>5.0000000000000004E-6</v>
      </c>
      <c r="G43" s="278">
        <f>MADEIRAS!I43</f>
        <v>164.32300000000001</v>
      </c>
      <c r="H43" s="278">
        <f>MADEIRAS!J43</f>
        <v>112.12857142857142</v>
      </c>
      <c r="I43" s="278">
        <f>MADEIRAS!K43</f>
        <v>112.12857142857142</v>
      </c>
      <c r="J43" s="278">
        <f>MADEIRAS!L43</f>
        <v>86.338999999999999</v>
      </c>
      <c r="K43" s="278">
        <f>MADEIRAS!M43</f>
        <v>21.58475</v>
      </c>
      <c r="L43" s="278">
        <f>MADEIRAS!N43</f>
        <v>21.7</v>
      </c>
      <c r="M43" s="278">
        <f>MADEIRAS!O43</f>
        <v>20521.559999999998</v>
      </c>
      <c r="N43" s="278">
        <f>MADEIRAS!P43</f>
        <v>1026.078</v>
      </c>
      <c r="O43" s="278">
        <f>MADEIRAS!Q43</f>
        <v>1026.078</v>
      </c>
      <c r="P43" s="278">
        <f>MADEIRAS!R43</f>
        <v>800</v>
      </c>
      <c r="Q43" s="278">
        <f>MADEIRAS!S43</f>
        <v>14365.091999999997</v>
      </c>
      <c r="R43" s="278">
        <f>MADEIRAS!U43</f>
        <v>718.25459999999998</v>
      </c>
      <c r="S43" s="278">
        <f>MADEIRAS!V43</f>
        <v>1.5</v>
      </c>
      <c r="T43" s="278" t="str">
        <f>MADEIRAS!X43</f>
        <v>Hymenaea sp.</v>
      </c>
    </row>
    <row r="44" spans="1:20" x14ac:dyDescent="0.25">
      <c r="A44" s="21">
        <f t="shared" si="0"/>
        <v>41</v>
      </c>
      <c r="B44" s="277" t="str">
        <f>MADEIRAS!C44</f>
        <v>MAÇARANDUBA</v>
      </c>
      <c r="C44" s="278">
        <f>MADEIRAS!D44</f>
        <v>19236.28</v>
      </c>
      <c r="D44" s="278">
        <f>MADEIRAS!E44</f>
        <v>961.81399999999996</v>
      </c>
      <c r="E44" s="278">
        <f>MADEIRAS!F44*100</f>
        <v>1000</v>
      </c>
      <c r="F44" s="279">
        <f>MADEIRAS!G44</f>
        <v>5.0000000000000004E-6</v>
      </c>
      <c r="G44" s="278">
        <f>MADEIRAS!I44</f>
        <v>161.15700000000001</v>
      </c>
      <c r="H44" s="278">
        <f>MADEIRAS!J44</f>
        <v>100.45649350649353</v>
      </c>
      <c r="I44" s="278">
        <f>MADEIRAS!K44</f>
        <v>100.45649350649353</v>
      </c>
      <c r="J44" s="278">
        <f>MADEIRAS!L44</f>
        <v>77.351500000000016</v>
      </c>
      <c r="K44" s="278">
        <f>MADEIRAS!M44</f>
        <v>19.337875000000004</v>
      </c>
      <c r="L44" s="278">
        <f>MADEIRAS!N44</f>
        <v>16.367999999999999</v>
      </c>
      <c r="M44" s="278">
        <f>MADEIRAS!O44</f>
        <v>19236.28</v>
      </c>
      <c r="N44" s="278">
        <f>MADEIRAS!P44</f>
        <v>961.81399999999996</v>
      </c>
      <c r="O44" s="278">
        <f>MADEIRAS!Q44</f>
        <v>961.81399999999996</v>
      </c>
      <c r="P44" s="278">
        <f>MADEIRAS!R44</f>
        <v>833</v>
      </c>
      <c r="Q44" s="278">
        <f>MADEIRAS!S44</f>
        <v>13465.395999999999</v>
      </c>
      <c r="R44" s="278">
        <f>MADEIRAS!U44</f>
        <v>673.26979999999992</v>
      </c>
      <c r="S44" s="278">
        <f>MADEIRAS!V44</f>
        <v>0.9</v>
      </c>
      <c r="T44" s="278" t="str">
        <f>MADEIRAS!X44</f>
        <v>Manilkara sp.</v>
      </c>
    </row>
    <row r="45" spans="1:20" x14ac:dyDescent="0.25">
      <c r="A45" s="21">
        <f t="shared" si="0"/>
        <v>42</v>
      </c>
      <c r="B45" s="277" t="str">
        <f>MADEIRAS!C45</f>
        <v>CROSSLAM</v>
      </c>
      <c r="C45" s="278">
        <f>MADEIRAS!D45</f>
        <v>9312.7999999999993</v>
      </c>
      <c r="D45" s="278">
        <f>MADEIRAS!E45</f>
        <v>0</v>
      </c>
      <c r="E45" s="278">
        <f>MADEIRAS!F45*100</f>
        <v>0</v>
      </c>
      <c r="F45" s="279">
        <f>MADEIRAS!G45</f>
        <v>5.0000000000000004E-6</v>
      </c>
      <c r="G45" s="278">
        <f>MADEIRAS!I45</f>
        <v>0</v>
      </c>
      <c r="H45" s="278">
        <f>MADEIRAS!J45</f>
        <v>0</v>
      </c>
      <c r="I45" s="278">
        <f>MADEIRAS!K45</f>
        <v>0</v>
      </c>
      <c r="J45" s="278">
        <f>MADEIRAS!L45</f>
        <v>0</v>
      </c>
      <c r="K45" s="278">
        <f>MADEIRAS!M45</f>
        <v>0</v>
      </c>
      <c r="L45" s="278">
        <f>MADEIRAS!N45</f>
        <v>0</v>
      </c>
      <c r="M45" s="278">
        <f>MADEIRAS!O45</f>
        <v>0</v>
      </c>
      <c r="N45" s="278">
        <f>MADEIRAS!P45</f>
        <v>0</v>
      </c>
      <c r="O45" s="278">
        <f>MADEIRAS!Q45</f>
        <v>0</v>
      </c>
      <c r="P45" s="278">
        <f>MADEIRAS!R45</f>
        <v>0</v>
      </c>
      <c r="Q45" s="278">
        <f>MADEIRAS!S45</f>
        <v>0</v>
      </c>
      <c r="R45" s="278">
        <f>MADEIRAS!U45</f>
        <v>0</v>
      </c>
      <c r="S45" s="278">
        <f>MADEIRAS!V45</f>
        <v>0</v>
      </c>
      <c r="T45" s="278">
        <f>MADEIRAS!X45</f>
        <v>0</v>
      </c>
    </row>
    <row r="46" spans="1:20" x14ac:dyDescent="0.25">
      <c r="A46" s="21">
        <f t="shared" si="0"/>
        <v>43</v>
      </c>
      <c r="B46" s="277" t="str">
        <f>MADEIRAS!C46</f>
        <v>AMARU</v>
      </c>
      <c r="C46" s="278">
        <f>MADEIRAS!D46</f>
        <v>0</v>
      </c>
      <c r="D46" s="278">
        <f>MADEIRAS!E46</f>
        <v>0</v>
      </c>
      <c r="E46" s="278">
        <f>MADEIRAS!F46*100</f>
        <v>0</v>
      </c>
      <c r="F46" s="279">
        <f>MADEIRAS!G46</f>
        <v>5.0000000000000004E-6</v>
      </c>
      <c r="G46" s="278">
        <f>MADEIRAS!I46</f>
        <v>0</v>
      </c>
      <c r="H46" s="278">
        <f>MADEIRAS!J46</f>
        <v>0</v>
      </c>
      <c r="I46" s="278">
        <f>MADEIRAS!K46</f>
        <v>0</v>
      </c>
      <c r="J46" s="278">
        <f>MADEIRAS!L46</f>
        <v>0</v>
      </c>
      <c r="K46" s="278">
        <f>MADEIRAS!M46</f>
        <v>0</v>
      </c>
      <c r="L46" s="278">
        <f>MADEIRAS!N46</f>
        <v>0</v>
      </c>
      <c r="M46" s="278">
        <f>MADEIRAS!O46</f>
        <v>0</v>
      </c>
      <c r="N46" s="278">
        <f>MADEIRAS!P46</f>
        <v>0</v>
      </c>
      <c r="O46" s="278">
        <f>MADEIRAS!Q46</f>
        <v>0</v>
      </c>
      <c r="P46" s="278">
        <f>MADEIRAS!R46</f>
        <v>0</v>
      </c>
      <c r="Q46" s="278">
        <f>MADEIRAS!S46</f>
        <v>0</v>
      </c>
      <c r="R46" s="278">
        <f>MADEIRAS!U46</f>
        <v>0</v>
      </c>
      <c r="S46" s="278">
        <f>MADEIRAS!V46</f>
        <v>0</v>
      </c>
      <c r="T46" s="278">
        <f>MADEIRAS!X46</f>
        <v>0</v>
      </c>
    </row>
    <row r="47" spans="1:20" x14ac:dyDescent="0.25">
      <c r="A47" s="21">
        <f t="shared" si="0"/>
        <v>44</v>
      </c>
      <c r="B47" s="277" t="str">
        <f>MADEIRAS!C47</f>
        <v>EUCALIPTO GRANDIS</v>
      </c>
      <c r="C47" s="278">
        <f>MADEIRAS!D47</f>
        <v>13423.519999999999</v>
      </c>
      <c r="D47" s="278">
        <f>MADEIRAS!E47</f>
        <v>671.17599999999993</v>
      </c>
      <c r="E47" s="278">
        <f>MADEIRAS!F47*100</f>
        <v>500</v>
      </c>
      <c r="F47" s="279">
        <f>MADEIRAS!G47</f>
        <v>5.0000000000000004E-6</v>
      </c>
      <c r="G47" s="278">
        <f>MADEIRAS!I47</f>
        <v>74.557999999999993</v>
      </c>
      <c r="H47" s="278">
        <f>MADEIRAS!J47</f>
        <v>50.974675324675324</v>
      </c>
      <c r="I47" s="278">
        <f>MADEIRAS!K47</f>
        <v>50.974675324675324</v>
      </c>
      <c r="J47" s="278">
        <f>MADEIRAS!L47</f>
        <v>39.250500000000002</v>
      </c>
      <c r="K47" s="278">
        <f>MADEIRAS!M47</f>
        <v>9.8126250000000006</v>
      </c>
      <c r="L47" s="278">
        <f>MADEIRAS!N47</f>
        <v>8.68</v>
      </c>
      <c r="M47" s="278">
        <f>MADEIRAS!O47</f>
        <v>13423.519999999999</v>
      </c>
      <c r="N47" s="278">
        <f>MADEIRAS!P47</f>
        <v>671.17599999999993</v>
      </c>
      <c r="O47" s="278">
        <f>MADEIRAS!Q47</f>
        <v>671.17599999999993</v>
      </c>
      <c r="P47" s="278">
        <f>MADEIRAS!R47</f>
        <v>420</v>
      </c>
      <c r="Q47" s="278">
        <f>MADEIRAS!S47</f>
        <v>9396.4639999999981</v>
      </c>
      <c r="R47" s="278">
        <f>MADEIRAS!U47</f>
        <v>469.82319999999993</v>
      </c>
      <c r="S47" s="278">
        <f>MADEIRAS!V47</f>
        <v>1</v>
      </c>
      <c r="T47" s="278" t="str">
        <f>MADEIRAS!X47</f>
        <v>Eucalyptus grandis</v>
      </c>
    </row>
    <row r="48" spans="1:20" x14ac:dyDescent="0.25">
      <c r="A48" s="21">
        <f t="shared" si="0"/>
        <v>45</v>
      </c>
      <c r="B48" s="277" t="str">
        <f>MADEIRAS!C48</f>
        <v>LYPTUS</v>
      </c>
      <c r="C48" s="278">
        <f>MADEIRAS!D48</f>
        <v>18875.8</v>
      </c>
      <c r="D48" s="278">
        <f>MADEIRAS!E48</f>
        <v>943.79</v>
      </c>
      <c r="E48" s="278">
        <f>MADEIRAS!F48*100</f>
        <v>750</v>
      </c>
      <c r="F48" s="279">
        <f>MADEIRAS!G48</f>
        <v>5.0000000000000004E-6</v>
      </c>
      <c r="G48" s="278">
        <f>MADEIRAS!I48</f>
        <v>94.799999999999983</v>
      </c>
      <c r="H48" s="278">
        <f>MADEIRAS!J48</f>
        <v>0</v>
      </c>
      <c r="I48" s="278">
        <f>MADEIRAS!K48</f>
        <v>0</v>
      </c>
      <c r="J48" s="278">
        <f>MADEIRAS!L48</f>
        <v>0</v>
      </c>
      <c r="K48" s="278">
        <f>MADEIRAS!M48</f>
        <v>0</v>
      </c>
      <c r="L48" s="278">
        <f>MADEIRAS!N48</f>
        <v>0</v>
      </c>
      <c r="M48" s="278">
        <f>MADEIRAS!O48</f>
        <v>18875.8</v>
      </c>
      <c r="N48" s="278">
        <f>MADEIRAS!P48</f>
        <v>943.79</v>
      </c>
      <c r="O48" s="278">
        <f>MADEIRAS!Q48</f>
        <v>943.79</v>
      </c>
      <c r="P48" s="278">
        <f>MADEIRAS!R48</f>
        <v>0</v>
      </c>
      <c r="Q48" s="278">
        <f>MADEIRAS!S48</f>
        <v>13213.06</v>
      </c>
      <c r="R48" s="278">
        <f>MADEIRAS!U48</f>
        <v>660.65299999999991</v>
      </c>
      <c r="S48" s="278">
        <f>MADEIRAS!V48</f>
        <v>0</v>
      </c>
      <c r="T48" s="278" t="str">
        <f>MADEIRAS!X48</f>
        <v>Eucalyptus urograndis</v>
      </c>
    </row>
    <row r="49" spans="1:20" x14ac:dyDescent="0.25">
      <c r="A49" s="21">
        <f t="shared" si="0"/>
        <v>46</v>
      </c>
      <c r="B49" s="277" t="str">
        <f>MADEIRAS!C49</f>
        <v>AMARU</v>
      </c>
      <c r="C49" s="278">
        <f>MADEIRAS!D49</f>
        <v>13415.4</v>
      </c>
      <c r="D49" s="278">
        <f>MADEIRAS!E49</f>
        <v>670.77</v>
      </c>
      <c r="E49" s="278">
        <f>MADEIRAS!F49*100</f>
        <v>770</v>
      </c>
      <c r="F49" s="279">
        <f>MADEIRAS!G49</f>
        <v>5.0000000000000004E-6</v>
      </c>
      <c r="G49" s="278">
        <f>MADEIRAS!I49</f>
        <v>83.361999999999995</v>
      </c>
      <c r="H49" s="278">
        <f>MADEIRAS!J49</f>
        <v>57.174675324675327</v>
      </c>
      <c r="I49" s="278">
        <f>MADEIRAS!K49</f>
        <v>57.174675324675327</v>
      </c>
      <c r="J49" s="278">
        <f>MADEIRAS!L49</f>
        <v>44.024500000000003</v>
      </c>
      <c r="K49" s="278">
        <f>MADEIRAS!M49</f>
        <v>11.006125000000001</v>
      </c>
      <c r="L49" s="278">
        <f>MADEIRAS!N49</f>
        <v>7.4399999999999995</v>
      </c>
      <c r="M49" s="278">
        <f>MADEIRAS!O49</f>
        <v>13415.4</v>
      </c>
      <c r="N49" s="278">
        <f>MADEIRAS!P49</f>
        <v>670.77</v>
      </c>
      <c r="O49" s="278">
        <f>MADEIRAS!Q49</f>
        <v>670.77</v>
      </c>
      <c r="P49" s="278">
        <f>MADEIRAS!R49</f>
        <v>420</v>
      </c>
      <c r="Q49" s="278">
        <f>MADEIRAS!S49</f>
        <v>9390.7799999999988</v>
      </c>
      <c r="R49" s="278">
        <f>MADEIRAS!U49</f>
        <v>469.53899999999993</v>
      </c>
      <c r="S49" s="278">
        <f>MADEIRAS!V49</f>
        <v>1</v>
      </c>
      <c r="T49" s="278" t="str">
        <f>MADEIRAS!X49</f>
        <v>Amaru</v>
      </c>
    </row>
    <row r="50" spans="1:20" x14ac:dyDescent="0.25">
      <c r="A50" s="21">
        <f t="shared" si="0"/>
        <v>47</v>
      </c>
      <c r="B50" s="277" t="str">
        <f>MADEIRAS!C50</f>
        <v>ANGELIM VERMELHO</v>
      </c>
      <c r="C50" s="278">
        <f>MADEIRAS!D50</f>
        <v>16324.679999999998</v>
      </c>
      <c r="D50" s="278">
        <f>MADEIRAS!E50</f>
        <v>816.23399999999992</v>
      </c>
      <c r="E50" s="278">
        <f>MADEIRAS!F50*100</f>
        <v>1090</v>
      </c>
      <c r="F50" s="279">
        <f>MADEIRAS!G50</f>
        <v>5.0000000000000004E-6</v>
      </c>
      <c r="G50" s="278">
        <f>MADEIRAS!I50</f>
        <v>137.07849999999999</v>
      </c>
      <c r="H50" s="278">
        <f>MADEIRAS!J50</f>
        <v>109.7590909090909</v>
      </c>
      <c r="I50" s="278">
        <f>MADEIRAS!K50</f>
        <v>109.7590909090909</v>
      </c>
      <c r="J50" s="278">
        <f>MADEIRAS!L50</f>
        <v>84.514499999999998</v>
      </c>
      <c r="K50" s="278">
        <f>MADEIRAS!M50</f>
        <v>21.128625</v>
      </c>
      <c r="L50" s="278">
        <f>MADEIRAS!N50</f>
        <v>16.244</v>
      </c>
      <c r="M50" s="278">
        <f>MADEIRAS!O50</f>
        <v>16324.679999999998</v>
      </c>
      <c r="N50" s="278">
        <f>MADEIRAS!P50</f>
        <v>816.23399999999992</v>
      </c>
      <c r="O50" s="278">
        <f>MADEIRAS!Q50</f>
        <v>816.23399999999992</v>
      </c>
      <c r="P50" s="278">
        <f>MADEIRAS!R50</f>
        <v>830</v>
      </c>
      <c r="Q50" s="278">
        <f>MADEIRAS!S50</f>
        <v>11427.275999999998</v>
      </c>
      <c r="R50" s="278">
        <f>MADEIRAS!U50</f>
        <v>571.36379999999986</v>
      </c>
      <c r="S50" s="278">
        <f>MADEIRAS!V50</f>
        <v>1.1000000000000001</v>
      </c>
      <c r="T50" s="278" t="str">
        <f>MADEIRAS!X50</f>
        <v>Dinizia excelsa</v>
      </c>
    </row>
    <row r="51" spans="1:20" x14ac:dyDescent="0.25">
      <c r="A51" s="21">
        <f t="shared" si="0"/>
        <v>48</v>
      </c>
      <c r="B51" s="277">
        <f>MADEIRAS!C51</f>
        <v>0</v>
      </c>
      <c r="C51" s="278">
        <f>MADEIRAS!D51</f>
        <v>0</v>
      </c>
      <c r="D51" s="278">
        <f>MADEIRAS!E51</f>
        <v>0</v>
      </c>
      <c r="E51" s="278">
        <f>MADEIRAS!F51*100</f>
        <v>0</v>
      </c>
      <c r="F51" s="279">
        <f>MADEIRAS!G51</f>
        <v>0</v>
      </c>
      <c r="G51" s="278">
        <f>MADEIRAS!I51</f>
        <v>0</v>
      </c>
      <c r="H51" s="278">
        <f>MADEIRAS!J51</f>
        <v>0</v>
      </c>
      <c r="I51" s="278">
        <f>MADEIRAS!K51</f>
        <v>0</v>
      </c>
      <c r="J51" s="278">
        <f>MADEIRAS!L51</f>
        <v>0</v>
      </c>
      <c r="K51" s="278">
        <f>MADEIRAS!M51</f>
        <v>0</v>
      </c>
      <c r="L51" s="278">
        <f>MADEIRAS!N51</f>
        <v>0</v>
      </c>
      <c r="M51" s="278">
        <f>MADEIRAS!O51</f>
        <v>0</v>
      </c>
      <c r="N51" s="278">
        <f>MADEIRAS!P51</f>
        <v>0</v>
      </c>
      <c r="O51" s="278">
        <f>MADEIRAS!Q51</f>
        <v>0</v>
      </c>
      <c r="P51" s="278">
        <f>MADEIRAS!R51</f>
        <v>0</v>
      </c>
      <c r="Q51" s="278">
        <f>MADEIRAS!S51</f>
        <v>0</v>
      </c>
      <c r="R51" s="278">
        <f>MADEIRAS!U51</f>
        <v>0</v>
      </c>
      <c r="S51" s="278">
        <f>MADEIRAS!V51</f>
        <v>0</v>
      </c>
      <c r="T51" s="278">
        <f>MADEIRAS!X51</f>
        <v>0</v>
      </c>
    </row>
    <row r="52" spans="1:20" x14ac:dyDescent="0.25">
      <c r="A52" s="21">
        <f t="shared" si="0"/>
        <v>49</v>
      </c>
      <c r="B52" s="277">
        <f>MADEIRAS!C52</f>
        <v>0</v>
      </c>
      <c r="C52" s="278">
        <f>MADEIRAS!D52</f>
        <v>0</v>
      </c>
      <c r="D52" s="278">
        <f>MADEIRAS!E52</f>
        <v>0</v>
      </c>
      <c r="E52" s="278">
        <f>MADEIRAS!F52*100</f>
        <v>0</v>
      </c>
      <c r="F52" s="279">
        <f>MADEIRAS!G52</f>
        <v>0</v>
      </c>
      <c r="G52" s="278">
        <f>MADEIRAS!I52</f>
        <v>0</v>
      </c>
      <c r="H52" s="278">
        <f>MADEIRAS!J52</f>
        <v>0</v>
      </c>
      <c r="I52" s="278">
        <f>MADEIRAS!K52</f>
        <v>0</v>
      </c>
      <c r="J52" s="278">
        <f>MADEIRAS!L52</f>
        <v>0</v>
      </c>
      <c r="K52" s="278">
        <f>MADEIRAS!M52</f>
        <v>0</v>
      </c>
      <c r="L52" s="278">
        <f>MADEIRAS!N52</f>
        <v>0</v>
      </c>
      <c r="M52" s="278">
        <f>MADEIRAS!O52</f>
        <v>0</v>
      </c>
      <c r="N52" s="278">
        <f>MADEIRAS!P52</f>
        <v>0</v>
      </c>
      <c r="O52" s="278">
        <f>MADEIRAS!Q52</f>
        <v>0</v>
      </c>
      <c r="P52" s="278">
        <f>MADEIRAS!R52</f>
        <v>0</v>
      </c>
      <c r="Q52" s="278">
        <f>MADEIRAS!S52</f>
        <v>0</v>
      </c>
      <c r="R52" s="278">
        <f>MADEIRAS!U52</f>
        <v>0</v>
      </c>
      <c r="S52" s="278">
        <f>MADEIRAS!V52</f>
        <v>0</v>
      </c>
      <c r="T52" s="278">
        <f>MADEIRAS!X52</f>
        <v>0</v>
      </c>
    </row>
    <row r="53" spans="1:20" x14ac:dyDescent="0.25">
      <c r="A53" s="21">
        <f t="shared" si="0"/>
        <v>50</v>
      </c>
      <c r="B53" s="277">
        <f>MADEIRAS!C53</f>
        <v>0</v>
      </c>
      <c r="C53" s="278">
        <f>MADEIRAS!D53</f>
        <v>0</v>
      </c>
      <c r="D53" s="278">
        <f>MADEIRAS!E53</f>
        <v>0</v>
      </c>
      <c r="E53" s="278">
        <f>MADEIRAS!F53*100</f>
        <v>0</v>
      </c>
      <c r="F53" s="279">
        <f>MADEIRAS!G53</f>
        <v>0</v>
      </c>
      <c r="G53" s="278">
        <f>MADEIRAS!I53</f>
        <v>0</v>
      </c>
      <c r="H53" s="278">
        <f>MADEIRAS!J53</f>
        <v>0</v>
      </c>
      <c r="I53" s="278">
        <f>MADEIRAS!K53</f>
        <v>0</v>
      </c>
      <c r="J53" s="278">
        <f>MADEIRAS!L53</f>
        <v>0</v>
      </c>
      <c r="K53" s="278">
        <f>MADEIRAS!M53</f>
        <v>0</v>
      </c>
      <c r="L53" s="278">
        <f>MADEIRAS!N53</f>
        <v>0</v>
      </c>
      <c r="M53" s="278">
        <f>MADEIRAS!O53</f>
        <v>0</v>
      </c>
      <c r="N53" s="278">
        <f>MADEIRAS!P53</f>
        <v>0</v>
      </c>
      <c r="O53" s="278">
        <f>MADEIRAS!Q53</f>
        <v>0</v>
      </c>
      <c r="P53" s="278">
        <f>MADEIRAS!R53</f>
        <v>0</v>
      </c>
      <c r="Q53" s="278">
        <f>MADEIRAS!S53</f>
        <v>0</v>
      </c>
      <c r="R53" s="278">
        <f>MADEIRAS!U53</f>
        <v>0</v>
      </c>
      <c r="S53" s="278">
        <f>MADEIRAS!V53</f>
        <v>0</v>
      </c>
      <c r="T53" s="278">
        <f>MADEIRAS!X53</f>
        <v>0</v>
      </c>
    </row>
    <row r="54" spans="1:20" x14ac:dyDescent="0.25">
      <c r="A54" s="21">
        <f t="shared" si="0"/>
        <v>51</v>
      </c>
      <c r="B54" s="277">
        <f>MADEIRAS!C54</f>
        <v>0</v>
      </c>
      <c r="C54" s="278">
        <f>MADEIRAS!D54</f>
        <v>0</v>
      </c>
      <c r="D54" s="278">
        <f>MADEIRAS!E54</f>
        <v>0</v>
      </c>
      <c r="E54" s="278">
        <f>MADEIRAS!F54*100</f>
        <v>0</v>
      </c>
      <c r="F54" s="279">
        <f>MADEIRAS!G54</f>
        <v>0</v>
      </c>
      <c r="G54" s="278">
        <f>MADEIRAS!I54</f>
        <v>0</v>
      </c>
      <c r="H54" s="278">
        <f>MADEIRAS!J54</f>
        <v>0</v>
      </c>
      <c r="I54" s="278">
        <f>MADEIRAS!K54</f>
        <v>0</v>
      </c>
      <c r="J54" s="278">
        <f>MADEIRAS!L54</f>
        <v>0</v>
      </c>
      <c r="K54" s="278">
        <f>MADEIRAS!M54</f>
        <v>0</v>
      </c>
      <c r="L54" s="278">
        <f>MADEIRAS!N54</f>
        <v>0</v>
      </c>
      <c r="M54" s="278">
        <f>MADEIRAS!O54</f>
        <v>0</v>
      </c>
      <c r="N54" s="278">
        <f>MADEIRAS!P54</f>
        <v>0</v>
      </c>
      <c r="O54" s="278">
        <f>MADEIRAS!Q54</f>
        <v>0</v>
      </c>
      <c r="P54" s="278">
        <f>MADEIRAS!R54</f>
        <v>0</v>
      </c>
      <c r="Q54" s="278">
        <f>MADEIRAS!S54</f>
        <v>0</v>
      </c>
      <c r="R54" s="278">
        <f>MADEIRAS!U54</f>
        <v>0</v>
      </c>
      <c r="S54" s="278">
        <f>MADEIRAS!V54</f>
        <v>0</v>
      </c>
      <c r="T54" s="278">
        <f>MADEIRAS!X54</f>
        <v>0</v>
      </c>
    </row>
    <row r="55" spans="1:20" x14ac:dyDescent="0.25">
      <c r="A55" s="21">
        <f t="shared" si="0"/>
        <v>52</v>
      </c>
      <c r="B55" s="277">
        <f>MADEIRAS!C55</f>
        <v>0</v>
      </c>
      <c r="C55" s="278">
        <f>MADEIRAS!D55</f>
        <v>0</v>
      </c>
      <c r="D55" s="278">
        <f>MADEIRAS!E55</f>
        <v>0</v>
      </c>
      <c r="E55" s="278">
        <f>MADEIRAS!F55*100</f>
        <v>0</v>
      </c>
      <c r="F55" s="279">
        <f>MADEIRAS!G55</f>
        <v>0</v>
      </c>
      <c r="G55" s="278">
        <f>MADEIRAS!I55</f>
        <v>0</v>
      </c>
      <c r="H55" s="278">
        <f>MADEIRAS!J55</f>
        <v>0</v>
      </c>
      <c r="I55" s="278">
        <f>MADEIRAS!K55</f>
        <v>0</v>
      </c>
      <c r="J55" s="278">
        <f>MADEIRAS!L55</f>
        <v>0</v>
      </c>
      <c r="K55" s="278">
        <f>MADEIRAS!M55</f>
        <v>0</v>
      </c>
      <c r="L55" s="278">
        <f>MADEIRAS!N55</f>
        <v>0</v>
      </c>
      <c r="M55" s="278">
        <f>MADEIRAS!O55</f>
        <v>0</v>
      </c>
      <c r="N55" s="278">
        <f>MADEIRAS!P55</f>
        <v>0</v>
      </c>
      <c r="O55" s="278">
        <f>MADEIRAS!Q55</f>
        <v>0</v>
      </c>
      <c r="P55" s="278">
        <f>MADEIRAS!R55</f>
        <v>0</v>
      </c>
      <c r="Q55" s="278">
        <f>MADEIRAS!S55</f>
        <v>0</v>
      </c>
      <c r="R55" s="278">
        <f>MADEIRAS!U55</f>
        <v>0</v>
      </c>
      <c r="S55" s="278">
        <f>MADEIRAS!V55</f>
        <v>0</v>
      </c>
      <c r="T55" s="278">
        <f>MADEIRAS!X55</f>
        <v>0</v>
      </c>
    </row>
    <row r="56" spans="1:20" x14ac:dyDescent="0.25">
      <c r="A56" s="21">
        <f t="shared" si="0"/>
        <v>53</v>
      </c>
      <c r="B56" s="277">
        <f>MADEIRAS!C56</f>
        <v>0</v>
      </c>
      <c r="C56" s="278">
        <f>MADEIRAS!D56</f>
        <v>0</v>
      </c>
      <c r="D56" s="278">
        <f>MADEIRAS!E56</f>
        <v>0</v>
      </c>
      <c r="E56" s="278">
        <f>MADEIRAS!F56*100</f>
        <v>0</v>
      </c>
      <c r="F56" s="279">
        <f>MADEIRAS!G56</f>
        <v>0</v>
      </c>
      <c r="G56" s="278">
        <f>MADEIRAS!I56</f>
        <v>0</v>
      </c>
      <c r="H56" s="278">
        <f>MADEIRAS!J56</f>
        <v>0</v>
      </c>
      <c r="I56" s="278">
        <f>MADEIRAS!K56</f>
        <v>0</v>
      </c>
      <c r="J56" s="278">
        <f>MADEIRAS!L56</f>
        <v>0</v>
      </c>
      <c r="K56" s="278">
        <f>MADEIRAS!M56</f>
        <v>0</v>
      </c>
      <c r="L56" s="278">
        <f>MADEIRAS!N56</f>
        <v>0</v>
      </c>
      <c r="M56" s="278">
        <f>MADEIRAS!O56</f>
        <v>0</v>
      </c>
      <c r="N56" s="278">
        <f>MADEIRAS!P56</f>
        <v>0</v>
      </c>
      <c r="O56" s="278">
        <f>MADEIRAS!Q56</f>
        <v>0</v>
      </c>
      <c r="P56" s="278">
        <f>MADEIRAS!R56</f>
        <v>0</v>
      </c>
      <c r="Q56" s="278">
        <f>MADEIRAS!S56</f>
        <v>0</v>
      </c>
      <c r="R56" s="278">
        <f>MADEIRAS!U56</f>
        <v>0</v>
      </c>
      <c r="S56" s="278">
        <f>MADEIRAS!V56</f>
        <v>0</v>
      </c>
      <c r="T56" s="278">
        <f>MADEIRAS!X56</f>
        <v>0</v>
      </c>
    </row>
    <row r="57" spans="1:20" x14ac:dyDescent="0.25">
      <c r="A57" s="21">
        <f t="shared" si="0"/>
        <v>54</v>
      </c>
      <c r="B57" s="277">
        <f>MADEIRAS!C57</f>
        <v>0</v>
      </c>
      <c r="C57" s="278">
        <f>MADEIRAS!D57</f>
        <v>0</v>
      </c>
      <c r="D57" s="278">
        <f>MADEIRAS!E57</f>
        <v>0</v>
      </c>
      <c r="E57" s="278">
        <f>MADEIRAS!F57*100</f>
        <v>0</v>
      </c>
      <c r="F57" s="279">
        <f>MADEIRAS!G57</f>
        <v>0</v>
      </c>
      <c r="G57" s="278">
        <f>MADEIRAS!I57</f>
        <v>0</v>
      </c>
      <c r="H57" s="278">
        <f>MADEIRAS!J57</f>
        <v>0</v>
      </c>
      <c r="I57" s="278">
        <f>MADEIRAS!K57</f>
        <v>0</v>
      </c>
      <c r="J57" s="278">
        <f>MADEIRAS!L57</f>
        <v>0</v>
      </c>
      <c r="K57" s="278">
        <f>MADEIRAS!M57</f>
        <v>0</v>
      </c>
      <c r="L57" s="278">
        <f>MADEIRAS!N57</f>
        <v>0</v>
      </c>
      <c r="M57" s="278">
        <f>MADEIRAS!O57</f>
        <v>0</v>
      </c>
      <c r="N57" s="278">
        <f>MADEIRAS!P57</f>
        <v>0</v>
      </c>
      <c r="O57" s="278">
        <f>MADEIRAS!Q57</f>
        <v>0</v>
      </c>
      <c r="P57" s="278">
        <f>MADEIRAS!R57</f>
        <v>0</v>
      </c>
      <c r="Q57" s="278">
        <f>MADEIRAS!S57</f>
        <v>0</v>
      </c>
      <c r="R57" s="278">
        <f>MADEIRAS!U57</f>
        <v>0</v>
      </c>
      <c r="S57" s="278">
        <f>MADEIRAS!V57</f>
        <v>0</v>
      </c>
      <c r="T57" s="278">
        <f>MADEIRAS!X57</f>
        <v>0</v>
      </c>
    </row>
    <row r="58" spans="1:20" x14ac:dyDescent="0.25">
      <c r="A58" s="21">
        <f t="shared" si="0"/>
        <v>55</v>
      </c>
      <c r="B58" s="277">
        <f>MADEIRAS!C58</f>
        <v>0</v>
      </c>
      <c r="C58" s="278">
        <f>MADEIRAS!D58</f>
        <v>0</v>
      </c>
      <c r="D58" s="278">
        <f>MADEIRAS!E58</f>
        <v>0</v>
      </c>
      <c r="E58" s="278">
        <f>MADEIRAS!F58*100</f>
        <v>0</v>
      </c>
      <c r="F58" s="279">
        <f>MADEIRAS!G58</f>
        <v>0</v>
      </c>
      <c r="G58" s="278">
        <f>MADEIRAS!I58</f>
        <v>0</v>
      </c>
      <c r="H58" s="278">
        <f>MADEIRAS!J58</f>
        <v>0</v>
      </c>
      <c r="I58" s="278">
        <f>MADEIRAS!K58</f>
        <v>0</v>
      </c>
      <c r="J58" s="278">
        <f>MADEIRAS!L58</f>
        <v>0</v>
      </c>
      <c r="K58" s="278">
        <f>MADEIRAS!M58</f>
        <v>0</v>
      </c>
      <c r="L58" s="278">
        <f>MADEIRAS!N58</f>
        <v>0</v>
      </c>
      <c r="M58" s="278">
        <f>MADEIRAS!O58</f>
        <v>0</v>
      </c>
      <c r="N58" s="278">
        <f>MADEIRAS!P58</f>
        <v>0</v>
      </c>
      <c r="O58" s="278">
        <f>MADEIRAS!Q58</f>
        <v>0</v>
      </c>
      <c r="P58" s="278">
        <f>MADEIRAS!R58</f>
        <v>0</v>
      </c>
      <c r="Q58" s="278">
        <f>MADEIRAS!S58</f>
        <v>0</v>
      </c>
      <c r="R58" s="278">
        <f>MADEIRAS!U58</f>
        <v>0</v>
      </c>
      <c r="S58" s="278">
        <f>MADEIRAS!V58</f>
        <v>0</v>
      </c>
      <c r="T58" s="278">
        <f>MADEIRAS!X58</f>
        <v>0</v>
      </c>
    </row>
    <row r="59" spans="1:20" x14ac:dyDescent="0.25">
      <c r="A59" s="21">
        <f t="shared" si="0"/>
        <v>56</v>
      </c>
      <c r="B59" s="277">
        <f>MADEIRAS!C59</f>
        <v>0</v>
      </c>
      <c r="C59" s="278">
        <f>MADEIRAS!D59</f>
        <v>0</v>
      </c>
      <c r="D59" s="278">
        <f>MADEIRAS!E59</f>
        <v>0</v>
      </c>
      <c r="E59" s="278">
        <f>MADEIRAS!F59*100</f>
        <v>0</v>
      </c>
      <c r="F59" s="279">
        <f>MADEIRAS!G59</f>
        <v>0</v>
      </c>
      <c r="G59" s="278">
        <f>MADEIRAS!I59</f>
        <v>0</v>
      </c>
      <c r="H59" s="278">
        <f>MADEIRAS!J59</f>
        <v>0</v>
      </c>
      <c r="I59" s="278">
        <f>MADEIRAS!K59</f>
        <v>0</v>
      </c>
      <c r="J59" s="278">
        <f>MADEIRAS!L59</f>
        <v>0</v>
      </c>
      <c r="K59" s="278">
        <f>MADEIRAS!M59</f>
        <v>0</v>
      </c>
      <c r="L59" s="278">
        <f>MADEIRAS!N59</f>
        <v>0</v>
      </c>
      <c r="M59" s="278">
        <f>MADEIRAS!O59</f>
        <v>0</v>
      </c>
      <c r="N59" s="278">
        <f>MADEIRAS!P59</f>
        <v>0</v>
      </c>
      <c r="O59" s="278">
        <f>MADEIRAS!Q59</f>
        <v>0</v>
      </c>
      <c r="P59" s="278">
        <f>MADEIRAS!R59</f>
        <v>0</v>
      </c>
      <c r="Q59" s="278">
        <f>MADEIRAS!S59</f>
        <v>0</v>
      </c>
      <c r="R59" s="278">
        <f>MADEIRAS!U59</f>
        <v>0</v>
      </c>
      <c r="S59" s="278">
        <f>MADEIRAS!V59</f>
        <v>0</v>
      </c>
      <c r="T59" s="278">
        <f>MADEIRAS!X59</f>
        <v>0</v>
      </c>
    </row>
    <row r="60" spans="1:20" x14ac:dyDescent="0.25">
      <c r="A60" s="21">
        <f t="shared" si="0"/>
        <v>57</v>
      </c>
      <c r="B60" s="277">
        <f>MADEIRAS!C60</f>
        <v>0</v>
      </c>
      <c r="C60" s="278">
        <f>MADEIRAS!D60</f>
        <v>0</v>
      </c>
      <c r="D60" s="278">
        <f>MADEIRAS!E60</f>
        <v>0</v>
      </c>
      <c r="E60" s="278">
        <f>MADEIRAS!F60*100</f>
        <v>0</v>
      </c>
      <c r="F60" s="279">
        <f>MADEIRAS!G60</f>
        <v>0</v>
      </c>
      <c r="G60" s="278">
        <f>MADEIRAS!I60</f>
        <v>0</v>
      </c>
      <c r="H60" s="278">
        <f>MADEIRAS!J60</f>
        <v>0</v>
      </c>
      <c r="I60" s="278">
        <f>MADEIRAS!K60</f>
        <v>0</v>
      </c>
      <c r="J60" s="278">
        <f>MADEIRAS!L60</f>
        <v>0</v>
      </c>
      <c r="K60" s="278">
        <f>MADEIRAS!M60</f>
        <v>0</v>
      </c>
      <c r="L60" s="278">
        <f>MADEIRAS!N60</f>
        <v>0</v>
      </c>
      <c r="M60" s="278">
        <f>MADEIRAS!O60</f>
        <v>0</v>
      </c>
      <c r="N60" s="278">
        <f>MADEIRAS!P60</f>
        <v>0</v>
      </c>
      <c r="O60" s="278">
        <f>MADEIRAS!Q60</f>
        <v>0</v>
      </c>
      <c r="P60" s="278">
        <f>MADEIRAS!R60</f>
        <v>0</v>
      </c>
      <c r="Q60" s="278">
        <f>MADEIRAS!S60</f>
        <v>0</v>
      </c>
      <c r="R60" s="278">
        <f>MADEIRAS!U60</f>
        <v>0</v>
      </c>
      <c r="S60" s="278">
        <f>MADEIRAS!V60</f>
        <v>0</v>
      </c>
      <c r="T60" s="278">
        <f>MADEIRAS!X60</f>
        <v>0</v>
      </c>
    </row>
    <row r="61" spans="1:20" x14ac:dyDescent="0.25">
      <c r="A61" s="21">
        <f t="shared" si="0"/>
        <v>58</v>
      </c>
      <c r="B61" s="277">
        <f>MADEIRAS!C61</f>
        <v>0</v>
      </c>
      <c r="C61" s="278">
        <f>MADEIRAS!D61</f>
        <v>0</v>
      </c>
      <c r="D61" s="278">
        <f>MADEIRAS!E61</f>
        <v>0</v>
      </c>
      <c r="E61" s="278">
        <f>MADEIRAS!F61*100</f>
        <v>0</v>
      </c>
      <c r="F61" s="279">
        <f>MADEIRAS!G61</f>
        <v>0</v>
      </c>
      <c r="G61" s="278">
        <f>MADEIRAS!I61</f>
        <v>0</v>
      </c>
      <c r="H61" s="278">
        <f>MADEIRAS!J61</f>
        <v>0</v>
      </c>
      <c r="I61" s="278">
        <f>MADEIRAS!K61</f>
        <v>0</v>
      </c>
      <c r="J61" s="278">
        <f>MADEIRAS!L61</f>
        <v>0</v>
      </c>
      <c r="K61" s="278">
        <f>MADEIRAS!M61</f>
        <v>0</v>
      </c>
      <c r="L61" s="278">
        <f>MADEIRAS!N61</f>
        <v>0</v>
      </c>
      <c r="M61" s="278">
        <f>MADEIRAS!O61</f>
        <v>0</v>
      </c>
      <c r="N61" s="278">
        <f>MADEIRAS!P61</f>
        <v>0</v>
      </c>
      <c r="O61" s="278">
        <f>MADEIRAS!Q61</f>
        <v>0</v>
      </c>
      <c r="P61" s="278">
        <f>MADEIRAS!R61</f>
        <v>0</v>
      </c>
      <c r="Q61" s="278">
        <f>MADEIRAS!S61</f>
        <v>0</v>
      </c>
      <c r="R61" s="278">
        <f>MADEIRAS!U61</f>
        <v>0</v>
      </c>
      <c r="S61" s="278">
        <f>MADEIRAS!V61</f>
        <v>0</v>
      </c>
      <c r="T61" s="278">
        <f>MADEIRAS!X61</f>
        <v>0</v>
      </c>
    </row>
    <row r="62" spans="1:20" x14ac:dyDescent="0.25">
      <c r="A62" s="21">
        <f t="shared" si="0"/>
        <v>59</v>
      </c>
      <c r="B62" s="277">
        <f>MADEIRAS!C62</f>
        <v>0</v>
      </c>
      <c r="C62" s="278">
        <f>MADEIRAS!D62</f>
        <v>0</v>
      </c>
      <c r="D62" s="278">
        <f>MADEIRAS!E62</f>
        <v>0</v>
      </c>
      <c r="E62" s="278">
        <f>MADEIRAS!F62*100</f>
        <v>0</v>
      </c>
      <c r="F62" s="279">
        <f>MADEIRAS!G62</f>
        <v>0</v>
      </c>
      <c r="G62" s="278">
        <f>MADEIRAS!I62</f>
        <v>0</v>
      </c>
      <c r="H62" s="278">
        <f>MADEIRAS!J62</f>
        <v>0</v>
      </c>
      <c r="I62" s="278">
        <f>MADEIRAS!K62</f>
        <v>0</v>
      </c>
      <c r="J62" s="278">
        <f>MADEIRAS!L62</f>
        <v>0</v>
      </c>
      <c r="K62" s="278">
        <f>MADEIRAS!M62</f>
        <v>0</v>
      </c>
      <c r="L62" s="278">
        <f>MADEIRAS!N62</f>
        <v>0</v>
      </c>
      <c r="M62" s="278">
        <f>MADEIRAS!O62</f>
        <v>0</v>
      </c>
      <c r="N62" s="278">
        <f>MADEIRAS!P62</f>
        <v>0</v>
      </c>
      <c r="O62" s="278">
        <f>MADEIRAS!Q62</f>
        <v>0</v>
      </c>
      <c r="P62" s="278">
        <f>MADEIRAS!R62</f>
        <v>0</v>
      </c>
      <c r="Q62" s="278">
        <f>MADEIRAS!S62</f>
        <v>0</v>
      </c>
      <c r="R62" s="278">
        <f>MADEIRAS!U62</f>
        <v>0</v>
      </c>
      <c r="S62" s="278">
        <f>MADEIRAS!V62</f>
        <v>0</v>
      </c>
      <c r="T62" s="278">
        <f>MADEIRAS!X62</f>
        <v>0</v>
      </c>
    </row>
    <row r="63" spans="1:20" x14ac:dyDescent="0.25">
      <c r="A63" s="21">
        <f t="shared" si="0"/>
        <v>60</v>
      </c>
      <c r="B63" s="277">
        <f>MADEIRAS!C63</f>
        <v>0</v>
      </c>
      <c r="C63" s="278">
        <f>MADEIRAS!D63</f>
        <v>0</v>
      </c>
      <c r="D63" s="278">
        <f>MADEIRAS!E63</f>
        <v>0</v>
      </c>
      <c r="E63" s="278">
        <f>MADEIRAS!F63*100</f>
        <v>0</v>
      </c>
      <c r="F63" s="279">
        <f>MADEIRAS!G63</f>
        <v>0</v>
      </c>
      <c r="G63" s="278">
        <f>MADEIRAS!I63</f>
        <v>0</v>
      </c>
      <c r="H63" s="278">
        <f>MADEIRAS!J63</f>
        <v>0</v>
      </c>
      <c r="I63" s="278">
        <f>MADEIRAS!K63</f>
        <v>0</v>
      </c>
      <c r="J63" s="278">
        <f>MADEIRAS!L63</f>
        <v>0</v>
      </c>
      <c r="K63" s="278">
        <f>MADEIRAS!M63</f>
        <v>0</v>
      </c>
      <c r="L63" s="278">
        <f>MADEIRAS!N63</f>
        <v>0</v>
      </c>
      <c r="M63" s="278">
        <f>MADEIRAS!O63</f>
        <v>0</v>
      </c>
      <c r="N63" s="278">
        <f>MADEIRAS!P63</f>
        <v>0</v>
      </c>
      <c r="O63" s="278">
        <f>MADEIRAS!Q63</f>
        <v>0</v>
      </c>
      <c r="P63" s="278">
        <f>MADEIRAS!R63</f>
        <v>0</v>
      </c>
      <c r="Q63" s="278">
        <f>MADEIRAS!S63</f>
        <v>0</v>
      </c>
      <c r="R63" s="278">
        <f>MADEIRAS!U63</f>
        <v>0</v>
      </c>
      <c r="S63" s="278">
        <f>MADEIRAS!V63</f>
        <v>0</v>
      </c>
      <c r="T63" s="278">
        <f>MADEIRAS!X63</f>
        <v>0</v>
      </c>
    </row>
    <row r="64" spans="1:20" x14ac:dyDescent="0.25">
      <c r="A64" s="21">
        <f t="shared" si="0"/>
        <v>61</v>
      </c>
      <c r="B64" s="277">
        <f>MADEIRAS!C64</f>
        <v>0</v>
      </c>
      <c r="C64" s="278">
        <f>MADEIRAS!D64</f>
        <v>0</v>
      </c>
      <c r="D64" s="278">
        <f>MADEIRAS!E64</f>
        <v>0</v>
      </c>
      <c r="E64" s="278">
        <f>MADEIRAS!F64*100</f>
        <v>0</v>
      </c>
      <c r="F64" s="279">
        <f>MADEIRAS!G64</f>
        <v>0</v>
      </c>
      <c r="G64" s="278">
        <f>MADEIRAS!I64</f>
        <v>0</v>
      </c>
      <c r="H64" s="278">
        <f>MADEIRAS!J64</f>
        <v>0</v>
      </c>
      <c r="I64" s="278">
        <f>MADEIRAS!K64</f>
        <v>0</v>
      </c>
      <c r="J64" s="278">
        <f>MADEIRAS!L64</f>
        <v>0</v>
      </c>
      <c r="K64" s="278">
        <f>MADEIRAS!M64</f>
        <v>0</v>
      </c>
      <c r="L64" s="278">
        <f>MADEIRAS!N64</f>
        <v>0</v>
      </c>
      <c r="M64" s="278">
        <f>MADEIRAS!O64</f>
        <v>0</v>
      </c>
      <c r="N64" s="278">
        <f>MADEIRAS!P64</f>
        <v>0</v>
      </c>
      <c r="O64" s="278">
        <f>MADEIRAS!Q64</f>
        <v>0</v>
      </c>
      <c r="P64" s="278">
        <f>MADEIRAS!R64</f>
        <v>0</v>
      </c>
      <c r="Q64" s="278">
        <f>MADEIRAS!S64</f>
        <v>0</v>
      </c>
      <c r="R64" s="278">
        <f>MADEIRAS!U64</f>
        <v>0</v>
      </c>
      <c r="S64" s="278">
        <f>MADEIRAS!V64</f>
        <v>0</v>
      </c>
      <c r="T64" s="278">
        <f>MADEIRAS!X64</f>
        <v>0</v>
      </c>
    </row>
    <row r="65" spans="1:20" x14ac:dyDescent="0.25">
      <c r="A65" s="21">
        <f t="shared" si="0"/>
        <v>62</v>
      </c>
      <c r="B65" s="277">
        <f>MADEIRAS!C65</f>
        <v>0</v>
      </c>
      <c r="C65" s="278">
        <f>MADEIRAS!D65</f>
        <v>0</v>
      </c>
      <c r="D65" s="278">
        <f>MADEIRAS!E65</f>
        <v>0</v>
      </c>
      <c r="E65" s="278">
        <f>MADEIRAS!F65*100</f>
        <v>0</v>
      </c>
      <c r="F65" s="279">
        <f>MADEIRAS!G65</f>
        <v>0</v>
      </c>
      <c r="G65" s="278">
        <f>MADEIRAS!I65</f>
        <v>0</v>
      </c>
      <c r="H65" s="278">
        <f>MADEIRAS!J65</f>
        <v>0</v>
      </c>
      <c r="I65" s="278">
        <f>MADEIRAS!K65</f>
        <v>0</v>
      </c>
      <c r="J65" s="278">
        <f>MADEIRAS!L65</f>
        <v>0</v>
      </c>
      <c r="K65" s="278">
        <f>MADEIRAS!M65</f>
        <v>0</v>
      </c>
      <c r="L65" s="278">
        <f>MADEIRAS!N65</f>
        <v>0</v>
      </c>
      <c r="M65" s="278">
        <f>MADEIRAS!O65</f>
        <v>0</v>
      </c>
      <c r="N65" s="278">
        <f>MADEIRAS!P65</f>
        <v>0</v>
      </c>
      <c r="O65" s="278">
        <f>MADEIRAS!Q65</f>
        <v>0</v>
      </c>
      <c r="P65" s="278">
        <f>MADEIRAS!R65</f>
        <v>0</v>
      </c>
      <c r="Q65" s="278">
        <f>MADEIRAS!S65</f>
        <v>0</v>
      </c>
      <c r="R65" s="278">
        <f>MADEIRAS!U65</f>
        <v>0</v>
      </c>
      <c r="S65" s="278">
        <f>MADEIRAS!V65</f>
        <v>0</v>
      </c>
      <c r="T65" s="278">
        <f>MADEIRAS!X65</f>
        <v>0</v>
      </c>
    </row>
    <row r="66" spans="1:20" x14ac:dyDescent="0.25">
      <c r="A66" s="21">
        <f t="shared" si="0"/>
        <v>63</v>
      </c>
      <c r="B66" s="277">
        <f>MADEIRAS!C66</f>
        <v>0</v>
      </c>
      <c r="C66" s="278">
        <f>MADEIRAS!D66</f>
        <v>0</v>
      </c>
      <c r="D66" s="278">
        <f>MADEIRAS!E66</f>
        <v>0</v>
      </c>
      <c r="E66" s="278">
        <f>MADEIRAS!F66*100</f>
        <v>0</v>
      </c>
      <c r="F66" s="279">
        <f>MADEIRAS!G66</f>
        <v>0</v>
      </c>
      <c r="G66" s="278">
        <f>MADEIRAS!I66</f>
        <v>0</v>
      </c>
      <c r="H66" s="278">
        <f>MADEIRAS!J66</f>
        <v>0</v>
      </c>
      <c r="I66" s="278">
        <f>MADEIRAS!K66</f>
        <v>0</v>
      </c>
      <c r="J66" s="278">
        <f>MADEIRAS!L66</f>
        <v>0</v>
      </c>
      <c r="K66" s="278">
        <f>MADEIRAS!M66</f>
        <v>0</v>
      </c>
      <c r="L66" s="278">
        <f>MADEIRAS!N66</f>
        <v>0</v>
      </c>
      <c r="M66" s="278">
        <f>MADEIRAS!O66</f>
        <v>0</v>
      </c>
      <c r="N66" s="278">
        <f>MADEIRAS!P66</f>
        <v>0</v>
      </c>
      <c r="O66" s="278">
        <f>MADEIRAS!Q66</f>
        <v>0</v>
      </c>
      <c r="P66" s="278">
        <f>MADEIRAS!R66</f>
        <v>0</v>
      </c>
      <c r="Q66" s="278">
        <f>MADEIRAS!S66</f>
        <v>0</v>
      </c>
      <c r="R66" s="278">
        <f>MADEIRAS!U66</f>
        <v>0</v>
      </c>
      <c r="S66" s="278">
        <f>MADEIRAS!V66</f>
        <v>0</v>
      </c>
      <c r="T66" s="278">
        <f>MADEIRAS!X66</f>
        <v>0</v>
      </c>
    </row>
    <row r="67" spans="1:20" x14ac:dyDescent="0.25">
      <c r="A67" s="21">
        <f t="shared" si="0"/>
        <v>64</v>
      </c>
      <c r="B67" s="277">
        <f>MADEIRAS!C67</f>
        <v>0</v>
      </c>
      <c r="C67" s="278">
        <f>MADEIRAS!D67</f>
        <v>0</v>
      </c>
      <c r="D67" s="278">
        <f>MADEIRAS!E67</f>
        <v>0</v>
      </c>
      <c r="E67" s="278">
        <f>MADEIRAS!F67*100</f>
        <v>0</v>
      </c>
      <c r="F67" s="279">
        <f>MADEIRAS!G67</f>
        <v>0</v>
      </c>
      <c r="G67" s="278">
        <f>MADEIRAS!I67</f>
        <v>0</v>
      </c>
      <c r="H67" s="278">
        <f>MADEIRAS!J67</f>
        <v>0</v>
      </c>
      <c r="I67" s="278">
        <f>MADEIRAS!K67</f>
        <v>0</v>
      </c>
      <c r="J67" s="278">
        <f>MADEIRAS!L67</f>
        <v>0</v>
      </c>
      <c r="K67" s="278">
        <f>MADEIRAS!M67</f>
        <v>0</v>
      </c>
      <c r="L67" s="278">
        <f>MADEIRAS!N67</f>
        <v>0</v>
      </c>
      <c r="M67" s="278">
        <f>MADEIRAS!O67</f>
        <v>0</v>
      </c>
      <c r="N67" s="278">
        <f>MADEIRAS!P67</f>
        <v>0</v>
      </c>
      <c r="O67" s="278">
        <f>MADEIRAS!Q67</f>
        <v>0</v>
      </c>
      <c r="P67" s="278">
        <f>MADEIRAS!R67</f>
        <v>0</v>
      </c>
      <c r="Q67" s="278">
        <f>MADEIRAS!S67</f>
        <v>0</v>
      </c>
      <c r="R67" s="278">
        <f>MADEIRAS!U67</f>
        <v>0</v>
      </c>
      <c r="S67" s="278">
        <f>MADEIRAS!V67</f>
        <v>0</v>
      </c>
      <c r="T67" s="278">
        <f>MADEIRAS!X67</f>
        <v>0</v>
      </c>
    </row>
    <row r="68" spans="1:20" x14ac:dyDescent="0.25">
      <c r="A68" s="21">
        <f t="shared" si="0"/>
        <v>65</v>
      </c>
      <c r="B68" s="277">
        <f>MADEIRAS!C68</f>
        <v>0</v>
      </c>
      <c r="C68" s="278">
        <f>MADEIRAS!D68</f>
        <v>0</v>
      </c>
      <c r="D68" s="278">
        <f>MADEIRAS!E68</f>
        <v>0</v>
      </c>
      <c r="E68" s="278">
        <f>MADEIRAS!F68*100</f>
        <v>0</v>
      </c>
      <c r="F68" s="279">
        <f>MADEIRAS!G68</f>
        <v>0</v>
      </c>
      <c r="G68" s="278">
        <f>MADEIRAS!I68</f>
        <v>0</v>
      </c>
      <c r="H68" s="278">
        <f>MADEIRAS!J68</f>
        <v>0</v>
      </c>
      <c r="I68" s="278">
        <f>MADEIRAS!K68</f>
        <v>0</v>
      </c>
      <c r="J68" s="278">
        <f>MADEIRAS!L68</f>
        <v>0</v>
      </c>
      <c r="K68" s="278">
        <f>MADEIRAS!M68</f>
        <v>0</v>
      </c>
      <c r="L68" s="278">
        <f>MADEIRAS!N68</f>
        <v>0</v>
      </c>
      <c r="M68" s="278">
        <f>MADEIRAS!O68</f>
        <v>0</v>
      </c>
      <c r="N68" s="278">
        <f>MADEIRAS!P68</f>
        <v>0</v>
      </c>
      <c r="O68" s="278">
        <f>MADEIRAS!Q68</f>
        <v>0</v>
      </c>
      <c r="P68" s="278">
        <f>MADEIRAS!R68</f>
        <v>0</v>
      </c>
      <c r="Q68" s="278">
        <f>MADEIRAS!S68</f>
        <v>0</v>
      </c>
      <c r="R68" s="278">
        <f>MADEIRAS!U68</f>
        <v>0</v>
      </c>
      <c r="S68" s="278">
        <f>MADEIRAS!V68</f>
        <v>0</v>
      </c>
      <c r="T68" s="278">
        <f>MADEIRAS!X68</f>
        <v>0</v>
      </c>
    </row>
    <row r="69" spans="1:20" x14ac:dyDescent="0.25">
      <c r="A69" s="21">
        <f t="shared" si="0"/>
        <v>66</v>
      </c>
      <c r="B69" s="277">
        <f>MADEIRAS!C69</f>
        <v>0</v>
      </c>
      <c r="C69" s="278">
        <f>MADEIRAS!D69</f>
        <v>0</v>
      </c>
      <c r="D69" s="278">
        <f>MADEIRAS!E69</f>
        <v>0</v>
      </c>
      <c r="E69" s="278">
        <f>MADEIRAS!F69*100</f>
        <v>0</v>
      </c>
      <c r="F69" s="279">
        <f>MADEIRAS!G69</f>
        <v>0</v>
      </c>
      <c r="G69" s="278">
        <f>MADEIRAS!I69</f>
        <v>0</v>
      </c>
      <c r="H69" s="278">
        <f>MADEIRAS!J69</f>
        <v>0</v>
      </c>
      <c r="I69" s="278">
        <f>MADEIRAS!K69</f>
        <v>0</v>
      </c>
      <c r="J69" s="278">
        <f>MADEIRAS!L69</f>
        <v>0</v>
      </c>
      <c r="K69" s="278">
        <f>MADEIRAS!M69</f>
        <v>0</v>
      </c>
      <c r="L69" s="278">
        <f>MADEIRAS!N69</f>
        <v>0</v>
      </c>
      <c r="M69" s="278">
        <f>MADEIRAS!O69</f>
        <v>0</v>
      </c>
      <c r="N69" s="278">
        <f>MADEIRAS!P69</f>
        <v>0</v>
      </c>
      <c r="O69" s="278">
        <f>MADEIRAS!Q69</f>
        <v>0</v>
      </c>
      <c r="P69" s="278">
        <f>MADEIRAS!R69</f>
        <v>0</v>
      </c>
      <c r="Q69" s="278">
        <f>MADEIRAS!S69</f>
        <v>0</v>
      </c>
      <c r="R69" s="278">
        <f>MADEIRAS!U69</f>
        <v>0</v>
      </c>
      <c r="S69" s="278">
        <f>MADEIRAS!V69</f>
        <v>0</v>
      </c>
      <c r="T69" s="278">
        <f>MADEIRAS!X69</f>
        <v>0</v>
      </c>
    </row>
    <row r="70" spans="1:20" x14ac:dyDescent="0.25">
      <c r="A70" s="21">
        <f t="shared" ref="A70:A100" si="1">A69+1</f>
        <v>67</v>
      </c>
      <c r="B70" s="277">
        <f>MADEIRAS!C70</f>
        <v>0</v>
      </c>
      <c r="C70" s="278">
        <f>MADEIRAS!D70</f>
        <v>0</v>
      </c>
      <c r="D70" s="278">
        <f>MADEIRAS!E70</f>
        <v>0</v>
      </c>
      <c r="E70" s="278">
        <f>MADEIRAS!F70*100</f>
        <v>0</v>
      </c>
      <c r="F70" s="279">
        <f>MADEIRAS!G70</f>
        <v>0</v>
      </c>
      <c r="G70" s="278">
        <f>MADEIRAS!I70</f>
        <v>0</v>
      </c>
      <c r="H70" s="278">
        <f>MADEIRAS!J70</f>
        <v>0</v>
      </c>
      <c r="I70" s="278">
        <f>MADEIRAS!K70</f>
        <v>0</v>
      </c>
      <c r="J70" s="278">
        <f>MADEIRAS!L70</f>
        <v>0</v>
      </c>
      <c r="K70" s="278">
        <f>MADEIRAS!M70</f>
        <v>0</v>
      </c>
      <c r="L70" s="278">
        <f>MADEIRAS!N70</f>
        <v>0</v>
      </c>
      <c r="M70" s="278">
        <f>MADEIRAS!O70</f>
        <v>0</v>
      </c>
      <c r="N70" s="278">
        <f>MADEIRAS!P70</f>
        <v>0</v>
      </c>
      <c r="O70" s="278">
        <f>MADEIRAS!Q70</f>
        <v>0</v>
      </c>
      <c r="P70" s="278">
        <f>MADEIRAS!R70</f>
        <v>0</v>
      </c>
      <c r="Q70" s="278">
        <f>MADEIRAS!S70</f>
        <v>0</v>
      </c>
      <c r="R70" s="278">
        <f>MADEIRAS!U70</f>
        <v>0</v>
      </c>
      <c r="S70" s="278">
        <f>MADEIRAS!V70</f>
        <v>0</v>
      </c>
      <c r="T70" s="278">
        <f>MADEIRAS!X70</f>
        <v>0</v>
      </c>
    </row>
    <row r="71" spans="1:20" x14ac:dyDescent="0.25">
      <c r="A71" s="21">
        <f t="shared" si="1"/>
        <v>68</v>
      </c>
      <c r="B71" s="277">
        <f>MADEIRAS!C71</f>
        <v>0</v>
      </c>
      <c r="C71" s="278">
        <f>MADEIRAS!D71</f>
        <v>0</v>
      </c>
      <c r="D71" s="278">
        <f>MADEIRAS!E71</f>
        <v>0</v>
      </c>
      <c r="E71" s="278">
        <f>MADEIRAS!F71*100</f>
        <v>0</v>
      </c>
      <c r="F71" s="279">
        <f>MADEIRAS!G71</f>
        <v>0</v>
      </c>
      <c r="G71" s="278">
        <f>MADEIRAS!I71</f>
        <v>0</v>
      </c>
      <c r="H71" s="278">
        <f>MADEIRAS!J71</f>
        <v>0</v>
      </c>
      <c r="I71" s="278">
        <f>MADEIRAS!K71</f>
        <v>0</v>
      </c>
      <c r="J71" s="278">
        <f>MADEIRAS!L71</f>
        <v>0</v>
      </c>
      <c r="K71" s="278">
        <f>MADEIRAS!M71</f>
        <v>0</v>
      </c>
      <c r="L71" s="278">
        <f>MADEIRAS!N71</f>
        <v>0</v>
      </c>
      <c r="M71" s="278">
        <f>MADEIRAS!O71</f>
        <v>0</v>
      </c>
      <c r="N71" s="278">
        <f>MADEIRAS!P71</f>
        <v>0</v>
      </c>
      <c r="O71" s="278">
        <f>MADEIRAS!Q71</f>
        <v>0</v>
      </c>
      <c r="P71" s="278">
        <f>MADEIRAS!R71</f>
        <v>0</v>
      </c>
      <c r="Q71" s="278">
        <f>MADEIRAS!S71</f>
        <v>0</v>
      </c>
      <c r="R71" s="278">
        <f>MADEIRAS!U71</f>
        <v>0</v>
      </c>
      <c r="S71" s="278">
        <f>MADEIRAS!V71</f>
        <v>0</v>
      </c>
      <c r="T71" s="278">
        <f>MADEIRAS!X71</f>
        <v>0</v>
      </c>
    </row>
    <row r="72" spans="1:20" x14ac:dyDescent="0.25">
      <c r="A72" s="21">
        <f t="shared" si="1"/>
        <v>69</v>
      </c>
      <c r="B72" s="277">
        <f>MADEIRAS!C72</f>
        <v>0</v>
      </c>
      <c r="C72" s="278">
        <f>MADEIRAS!D72</f>
        <v>0</v>
      </c>
      <c r="D72" s="278">
        <f>MADEIRAS!E72</f>
        <v>0</v>
      </c>
      <c r="E72" s="278">
        <f>MADEIRAS!F72*100</f>
        <v>0</v>
      </c>
      <c r="F72" s="279">
        <f>MADEIRAS!G72</f>
        <v>0</v>
      </c>
      <c r="G72" s="278">
        <f>MADEIRAS!I72</f>
        <v>0</v>
      </c>
      <c r="H72" s="278">
        <f>MADEIRAS!J72</f>
        <v>0</v>
      </c>
      <c r="I72" s="278">
        <f>MADEIRAS!K72</f>
        <v>0</v>
      </c>
      <c r="J72" s="278">
        <f>MADEIRAS!L72</f>
        <v>0</v>
      </c>
      <c r="K72" s="278">
        <f>MADEIRAS!M72</f>
        <v>0</v>
      </c>
      <c r="L72" s="278">
        <f>MADEIRAS!N72</f>
        <v>0</v>
      </c>
      <c r="M72" s="278">
        <f>MADEIRAS!O72</f>
        <v>0</v>
      </c>
      <c r="N72" s="278">
        <f>MADEIRAS!P72</f>
        <v>0</v>
      </c>
      <c r="O72" s="278">
        <f>MADEIRAS!Q72</f>
        <v>0</v>
      </c>
      <c r="P72" s="278">
        <f>MADEIRAS!R72</f>
        <v>0</v>
      </c>
      <c r="Q72" s="278">
        <f>MADEIRAS!S72</f>
        <v>0</v>
      </c>
      <c r="R72" s="278">
        <f>MADEIRAS!U72</f>
        <v>0</v>
      </c>
      <c r="S72" s="278">
        <f>MADEIRAS!V72</f>
        <v>0</v>
      </c>
      <c r="T72" s="278">
        <f>MADEIRAS!X72</f>
        <v>0</v>
      </c>
    </row>
    <row r="73" spans="1:20" x14ac:dyDescent="0.25">
      <c r="A73" s="21">
        <f t="shared" si="1"/>
        <v>70</v>
      </c>
      <c r="B73" s="277">
        <f>MADEIRAS!C73</f>
        <v>0</v>
      </c>
      <c r="C73" s="278">
        <f>MADEIRAS!D73</f>
        <v>0</v>
      </c>
      <c r="D73" s="278">
        <f>MADEIRAS!E73</f>
        <v>0</v>
      </c>
      <c r="E73" s="278">
        <f>MADEIRAS!F73*100</f>
        <v>0</v>
      </c>
      <c r="F73" s="279">
        <f>MADEIRAS!G73</f>
        <v>0</v>
      </c>
      <c r="G73" s="278">
        <f>MADEIRAS!I73</f>
        <v>0</v>
      </c>
      <c r="H73" s="278">
        <f>MADEIRAS!J73</f>
        <v>0</v>
      </c>
      <c r="I73" s="278">
        <f>MADEIRAS!K73</f>
        <v>0</v>
      </c>
      <c r="J73" s="278">
        <f>MADEIRAS!L73</f>
        <v>0</v>
      </c>
      <c r="K73" s="278">
        <f>MADEIRAS!M73</f>
        <v>0</v>
      </c>
      <c r="L73" s="278">
        <f>MADEIRAS!N73</f>
        <v>0</v>
      </c>
      <c r="M73" s="278">
        <f>MADEIRAS!O73</f>
        <v>0</v>
      </c>
      <c r="N73" s="278">
        <f>MADEIRAS!P73</f>
        <v>0</v>
      </c>
      <c r="O73" s="278">
        <f>MADEIRAS!Q73</f>
        <v>0</v>
      </c>
      <c r="P73" s="278">
        <f>MADEIRAS!R73</f>
        <v>0</v>
      </c>
      <c r="Q73" s="278">
        <f>MADEIRAS!S73</f>
        <v>0</v>
      </c>
      <c r="R73" s="278">
        <f>MADEIRAS!U73</f>
        <v>0</v>
      </c>
      <c r="S73" s="278">
        <f>MADEIRAS!V73</f>
        <v>0</v>
      </c>
      <c r="T73" s="278">
        <f>MADEIRAS!X73</f>
        <v>0</v>
      </c>
    </row>
    <row r="74" spans="1:20" x14ac:dyDescent="0.25">
      <c r="A74" s="21">
        <f t="shared" si="1"/>
        <v>71</v>
      </c>
      <c r="B74" s="277">
        <f>MADEIRAS!C74</f>
        <v>0</v>
      </c>
      <c r="C74" s="278">
        <f>MADEIRAS!D74</f>
        <v>0</v>
      </c>
      <c r="D74" s="278">
        <f>MADEIRAS!E74</f>
        <v>0</v>
      </c>
      <c r="E74" s="278">
        <f>MADEIRAS!F74*100</f>
        <v>0</v>
      </c>
      <c r="F74" s="279">
        <f>MADEIRAS!G74</f>
        <v>0</v>
      </c>
      <c r="G74" s="278">
        <f>MADEIRAS!I74</f>
        <v>0</v>
      </c>
      <c r="H74" s="278">
        <f>MADEIRAS!J74</f>
        <v>0</v>
      </c>
      <c r="I74" s="278">
        <f>MADEIRAS!K74</f>
        <v>0</v>
      </c>
      <c r="J74" s="278">
        <f>MADEIRAS!L74</f>
        <v>0</v>
      </c>
      <c r="K74" s="278">
        <f>MADEIRAS!M74</f>
        <v>0</v>
      </c>
      <c r="L74" s="278">
        <f>MADEIRAS!N74</f>
        <v>0</v>
      </c>
      <c r="M74" s="278">
        <f>MADEIRAS!O74</f>
        <v>0</v>
      </c>
      <c r="N74" s="278">
        <f>MADEIRAS!P74</f>
        <v>0</v>
      </c>
      <c r="O74" s="278">
        <f>MADEIRAS!Q74</f>
        <v>0</v>
      </c>
      <c r="P74" s="278">
        <f>MADEIRAS!R74</f>
        <v>0</v>
      </c>
      <c r="Q74" s="278">
        <f>MADEIRAS!S74</f>
        <v>0</v>
      </c>
      <c r="R74" s="278">
        <f>MADEIRAS!U74</f>
        <v>0</v>
      </c>
      <c r="S74" s="278">
        <f>MADEIRAS!V74</f>
        <v>0</v>
      </c>
      <c r="T74" s="278">
        <f>MADEIRAS!X74</f>
        <v>0</v>
      </c>
    </row>
    <row r="75" spans="1:20" x14ac:dyDescent="0.25">
      <c r="A75" s="21">
        <f t="shared" si="1"/>
        <v>72</v>
      </c>
      <c r="B75" s="277">
        <f>MADEIRAS!C75</f>
        <v>0</v>
      </c>
      <c r="C75" s="278">
        <f>MADEIRAS!D75</f>
        <v>0</v>
      </c>
      <c r="D75" s="278">
        <f>MADEIRAS!E75</f>
        <v>0</v>
      </c>
      <c r="E75" s="278">
        <f>MADEIRAS!F75*100</f>
        <v>0</v>
      </c>
      <c r="F75" s="279">
        <f>MADEIRAS!G75</f>
        <v>0</v>
      </c>
      <c r="G75" s="278">
        <f>MADEIRAS!I75</f>
        <v>0</v>
      </c>
      <c r="H75" s="278">
        <f>MADEIRAS!J75</f>
        <v>0</v>
      </c>
      <c r="I75" s="278">
        <f>MADEIRAS!K75</f>
        <v>0</v>
      </c>
      <c r="J75" s="278">
        <f>MADEIRAS!L75</f>
        <v>0</v>
      </c>
      <c r="K75" s="278">
        <f>MADEIRAS!M75</f>
        <v>0</v>
      </c>
      <c r="L75" s="278">
        <f>MADEIRAS!N75</f>
        <v>0</v>
      </c>
      <c r="M75" s="278">
        <f>MADEIRAS!O75</f>
        <v>0</v>
      </c>
      <c r="N75" s="278">
        <f>MADEIRAS!P75</f>
        <v>0</v>
      </c>
      <c r="O75" s="278">
        <f>MADEIRAS!Q75</f>
        <v>0</v>
      </c>
      <c r="P75" s="278">
        <f>MADEIRAS!R75</f>
        <v>0</v>
      </c>
      <c r="Q75" s="278">
        <f>MADEIRAS!S75</f>
        <v>0</v>
      </c>
      <c r="R75" s="278">
        <f>MADEIRAS!U75</f>
        <v>0</v>
      </c>
      <c r="S75" s="278">
        <f>MADEIRAS!V75</f>
        <v>0</v>
      </c>
      <c r="T75" s="278">
        <f>MADEIRAS!X75</f>
        <v>0</v>
      </c>
    </row>
    <row r="76" spans="1:20" x14ac:dyDescent="0.25">
      <c r="A76" s="21">
        <f t="shared" si="1"/>
        <v>73</v>
      </c>
      <c r="B76" s="277">
        <f>MADEIRAS!C76</f>
        <v>0</v>
      </c>
      <c r="C76" s="278">
        <f>MADEIRAS!D76</f>
        <v>0</v>
      </c>
      <c r="D76" s="278">
        <f>MADEIRAS!E76</f>
        <v>0</v>
      </c>
      <c r="E76" s="278">
        <f>MADEIRAS!F76*100</f>
        <v>0</v>
      </c>
      <c r="F76" s="279">
        <f>MADEIRAS!G76</f>
        <v>0</v>
      </c>
      <c r="G76" s="278">
        <f>MADEIRAS!I76</f>
        <v>0</v>
      </c>
      <c r="H76" s="278">
        <f>MADEIRAS!J76</f>
        <v>0</v>
      </c>
      <c r="I76" s="278">
        <f>MADEIRAS!K76</f>
        <v>0</v>
      </c>
      <c r="J76" s="278">
        <f>MADEIRAS!L76</f>
        <v>0</v>
      </c>
      <c r="K76" s="278">
        <f>MADEIRAS!M76</f>
        <v>0</v>
      </c>
      <c r="L76" s="278">
        <f>MADEIRAS!N76</f>
        <v>0</v>
      </c>
      <c r="M76" s="278">
        <f>MADEIRAS!O76</f>
        <v>0</v>
      </c>
      <c r="N76" s="278">
        <f>MADEIRAS!P76</f>
        <v>0</v>
      </c>
      <c r="O76" s="278">
        <f>MADEIRAS!Q76</f>
        <v>0</v>
      </c>
      <c r="P76" s="278">
        <f>MADEIRAS!R76</f>
        <v>0</v>
      </c>
      <c r="Q76" s="278">
        <f>MADEIRAS!S76</f>
        <v>0</v>
      </c>
      <c r="R76" s="278">
        <f>MADEIRAS!U76</f>
        <v>0</v>
      </c>
      <c r="S76" s="278">
        <f>MADEIRAS!V76</f>
        <v>0</v>
      </c>
      <c r="T76" s="278">
        <f>MADEIRAS!X76</f>
        <v>0</v>
      </c>
    </row>
    <row r="77" spans="1:20" x14ac:dyDescent="0.25">
      <c r="A77" s="21">
        <f t="shared" si="1"/>
        <v>74</v>
      </c>
      <c r="B77" s="277">
        <f>MADEIRAS!C77</f>
        <v>0</v>
      </c>
      <c r="C77" s="278">
        <f>MADEIRAS!D77</f>
        <v>0</v>
      </c>
      <c r="D77" s="278">
        <f>MADEIRAS!E77</f>
        <v>0</v>
      </c>
      <c r="E77" s="278">
        <f>MADEIRAS!F77*100</f>
        <v>0</v>
      </c>
      <c r="F77" s="279">
        <f>MADEIRAS!G77</f>
        <v>0</v>
      </c>
      <c r="G77" s="278">
        <f>MADEIRAS!I77</f>
        <v>0</v>
      </c>
      <c r="H77" s="278">
        <f>MADEIRAS!J77</f>
        <v>0</v>
      </c>
      <c r="I77" s="278">
        <f>MADEIRAS!K77</f>
        <v>0</v>
      </c>
      <c r="J77" s="278">
        <f>MADEIRAS!L77</f>
        <v>0</v>
      </c>
      <c r="K77" s="278">
        <f>MADEIRAS!M77</f>
        <v>0</v>
      </c>
      <c r="L77" s="278">
        <f>MADEIRAS!N77</f>
        <v>0</v>
      </c>
      <c r="M77" s="278">
        <f>MADEIRAS!O77</f>
        <v>0</v>
      </c>
      <c r="N77" s="278">
        <f>MADEIRAS!P77</f>
        <v>0</v>
      </c>
      <c r="O77" s="278">
        <f>MADEIRAS!Q77</f>
        <v>0</v>
      </c>
      <c r="P77" s="278">
        <f>MADEIRAS!R77</f>
        <v>0</v>
      </c>
      <c r="Q77" s="278">
        <f>MADEIRAS!S77</f>
        <v>0</v>
      </c>
      <c r="R77" s="278">
        <f>MADEIRAS!U77</f>
        <v>0</v>
      </c>
      <c r="S77" s="278">
        <f>MADEIRAS!V77</f>
        <v>0</v>
      </c>
      <c r="T77" s="278">
        <f>MADEIRAS!X77</f>
        <v>0</v>
      </c>
    </row>
    <row r="78" spans="1:20" x14ac:dyDescent="0.25">
      <c r="A78" s="21">
        <f t="shared" si="1"/>
        <v>75</v>
      </c>
      <c r="B78" s="277">
        <f>MADEIRAS!C78</f>
        <v>0</v>
      </c>
      <c r="C78" s="278">
        <f>MADEIRAS!D78</f>
        <v>0</v>
      </c>
      <c r="D78" s="278">
        <f>MADEIRAS!E78</f>
        <v>0</v>
      </c>
      <c r="E78" s="278">
        <f>MADEIRAS!F78*100</f>
        <v>0</v>
      </c>
      <c r="F78" s="279">
        <f>MADEIRAS!G78</f>
        <v>0</v>
      </c>
      <c r="G78" s="278">
        <f>MADEIRAS!I78</f>
        <v>0</v>
      </c>
      <c r="H78" s="278">
        <f>MADEIRAS!J78</f>
        <v>0</v>
      </c>
      <c r="I78" s="278">
        <f>MADEIRAS!K78</f>
        <v>0</v>
      </c>
      <c r="J78" s="278">
        <f>MADEIRAS!L78</f>
        <v>0</v>
      </c>
      <c r="K78" s="278">
        <f>MADEIRAS!M78</f>
        <v>0</v>
      </c>
      <c r="L78" s="278">
        <f>MADEIRAS!N78</f>
        <v>0</v>
      </c>
      <c r="M78" s="278">
        <f>MADEIRAS!O78</f>
        <v>0</v>
      </c>
      <c r="N78" s="278">
        <f>MADEIRAS!P78</f>
        <v>0</v>
      </c>
      <c r="O78" s="278">
        <f>MADEIRAS!Q78</f>
        <v>0</v>
      </c>
      <c r="P78" s="278">
        <f>MADEIRAS!R78</f>
        <v>0</v>
      </c>
      <c r="Q78" s="278">
        <f>MADEIRAS!S78</f>
        <v>0</v>
      </c>
      <c r="R78" s="278">
        <f>MADEIRAS!U78</f>
        <v>0</v>
      </c>
      <c r="S78" s="278">
        <f>MADEIRAS!V78</f>
        <v>0</v>
      </c>
      <c r="T78" s="278">
        <f>MADEIRAS!X78</f>
        <v>0</v>
      </c>
    </row>
    <row r="79" spans="1:20" x14ac:dyDescent="0.25">
      <c r="A79" s="21">
        <f t="shared" si="1"/>
        <v>76</v>
      </c>
      <c r="B79" s="277">
        <f>MADEIRAS!C79</f>
        <v>0</v>
      </c>
      <c r="C79" s="278">
        <f>MADEIRAS!D79</f>
        <v>0</v>
      </c>
      <c r="D79" s="278">
        <f>MADEIRAS!E79</f>
        <v>0</v>
      </c>
      <c r="E79" s="278">
        <f>MADEIRAS!F79*100</f>
        <v>0</v>
      </c>
      <c r="F79" s="279">
        <f>MADEIRAS!G79</f>
        <v>0</v>
      </c>
      <c r="G79" s="278">
        <f>MADEIRAS!I79</f>
        <v>0</v>
      </c>
      <c r="H79" s="278">
        <f>MADEIRAS!J79</f>
        <v>0</v>
      </c>
      <c r="I79" s="278">
        <f>MADEIRAS!K79</f>
        <v>0</v>
      </c>
      <c r="J79" s="278">
        <f>MADEIRAS!L79</f>
        <v>0</v>
      </c>
      <c r="K79" s="278">
        <f>MADEIRAS!M79</f>
        <v>0</v>
      </c>
      <c r="L79" s="278">
        <f>MADEIRAS!N79</f>
        <v>0</v>
      </c>
      <c r="M79" s="278">
        <f>MADEIRAS!O79</f>
        <v>0</v>
      </c>
      <c r="N79" s="278">
        <f>MADEIRAS!P79</f>
        <v>0</v>
      </c>
      <c r="O79" s="278">
        <f>MADEIRAS!Q79</f>
        <v>0</v>
      </c>
      <c r="P79" s="278">
        <f>MADEIRAS!R79</f>
        <v>0</v>
      </c>
      <c r="Q79" s="278">
        <f>MADEIRAS!S79</f>
        <v>0</v>
      </c>
      <c r="R79" s="278">
        <f>MADEIRAS!U79</f>
        <v>0</v>
      </c>
      <c r="S79" s="278">
        <f>MADEIRAS!V79</f>
        <v>0</v>
      </c>
      <c r="T79" s="278">
        <f>MADEIRAS!X79</f>
        <v>0</v>
      </c>
    </row>
    <row r="80" spans="1:20" x14ac:dyDescent="0.25">
      <c r="A80" s="21">
        <f t="shared" si="1"/>
        <v>77</v>
      </c>
      <c r="B80" s="277">
        <f>MADEIRAS!C80</f>
        <v>0</v>
      </c>
      <c r="C80" s="278">
        <f>MADEIRAS!D80</f>
        <v>0</v>
      </c>
      <c r="D80" s="278">
        <f>MADEIRAS!E80</f>
        <v>0</v>
      </c>
      <c r="E80" s="278">
        <f>MADEIRAS!F80*100</f>
        <v>0</v>
      </c>
      <c r="F80" s="279">
        <f>MADEIRAS!G80</f>
        <v>0</v>
      </c>
      <c r="G80" s="278">
        <f>MADEIRAS!I80</f>
        <v>0</v>
      </c>
      <c r="H80" s="278">
        <f>MADEIRAS!J80</f>
        <v>0</v>
      </c>
      <c r="I80" s="278">
        <f>MADEIRAS!K80</f>
        <v>0</v>
      </c>
      <c r="J80" s="278">
        <f>MADEIRAS!L80</f>
        <v>0</v>
      </c>
      <c r="K80" s="278">
        <f>MADEIRAS!M80</f>
        <v>0</v>
      </c>
      <c r="L80" s="278">
        <f>MADEIRAS!N80</f>
        <v>0</v>
      </c>
      <c r="M80" s="278">
        <f>MADEIRAS!O80</f>
        <v>0</v>
      </c>
      <c r="N80" s="278">
        <f>MADEIRAS!P80</f>
        <v>0</v>
      </c>
      <c r="O80" s="278">
        <f>MADEIRAS!Q80</f>
        <v>0</v>
      </c>
      <c r="P80" s="278">
        <f>MADEIRAS!R80</f>
        <v>0</v>
      </c>
      <c r="Q80" s="278">
        <f>MADEIRAS!S80</f>
        <v>0</v>
      </c>
      <c r="R80" s="278">
        <f>MADEIRAS!U80</f>
        <v>0</v>
      </c>
      <c r="S80" s="278">
        <f>MADEIRAS!V80</f>
        <v>0</v>
      </c>
      <c r="T80" s="278">
        <f>MADEIRAS!X80</f>
        <v>0</v>
      </c>
    </row>
    <row r="81" spans="1:20" x14ac:dyDescent="0.25">
      <c r="A81" s="21">
        <f t="shared" si="1"/>
        <v>78</v>
      </c>
      <c r="B81" s="277">
        <f>MADEIRAS!C81</f>
        <v>0</v>
      </c>
      <c r="C81" s="278">
        <f>MADEIRAS!D81</f>
        <v>0</v>
      </c>
      <c r="D81" s="278">
        <f>MADEIRAS!E81</f>
        <v>0</v>
      </c>
      <c r="E81" s="278">
        <f>MADEIRAS!F81*100</f>
        <v>0</v>
      </c>
      <c r="F81" s="279">
        <f>MADEIRAS!G81</f>
        <v>0</v>
      </c>
      <c r="G81" s="278">
        <f>MADEIRAS!I81</f>
        <v>0</v>
      </c>
      <c r="H81" s="278">
        <f>MADEIRAS!J81</f>
        <v>0</v>
      </c>
      <c r="I81" s="278">
        <f>MADEIRAS!K81</f>
        <v>0</v>
      </c>
      <c r="J81" s="278">
        <f>MADEIRAS!L81</f>
        <v>0</v>
      </c>
      <c r="K81" s="278">
        <f>MADEIRAS!M81</f>
        <v>0</v>
      </c>
      <c r="L81" s="278">
        <f>MADEIRAS!N81</f>
        <v>0</v>
      </c>
      <c r="M81" s="278">
        <f>MADEIRAS!O81</f>
        <v>0</v>
      </c>
      <c r="N81" s="278">
        <f>MADEIRAS!P81</f>
        <v>0</v>
      </c>
      <c r="O81" s="278">
        <f>MADEIRAS!Q81</f>
        <v>0</v>
      </c>
      <c r="P81" s="278">
        <f>MADEIRAS!R81</f>
        <v>0</v>
      </c>
      <c r="Q81" s="278">
        <f>MADEIRAS!S81</f>
        <v>0</v>
      </c>
      <c r="R81" s="278">
        <f>MADEIRAS!U81</f>
        <v>0</v>
      </c>
      <c r="S81" s="278">
        <f>MADEIRAS!V81</f>
        <v>0</v>
      </c>
      <c r="T81" s="278">
        <f>MADEIRAS!X81</f>
        <v>0</v>
      </c>
    </row>
    <row r="82" spans="1:20" x14ac:dyDescent="0.25">
      <c r="A82" s="21">
        <f t="shared" si="1"/>
        <v>79</v>
      </c>
      <c r="B82" s="277">
        <f>MADEIRAS!C82</f>
        <v>0</v>
      </c>
      <c r="C82" s="278">
        <f>MADEIRAS!D82</f>
        <v>0</v>
      </c>
      <c r="D82" s="278">
        <f>MADEIRAS!E82</f>
        <v>0</v>
      </c>
      <c r="E82" s="278">
        <f>MADEIRAS!F82*100</f>
        <v>0</v>
      </c>
      <c r="F82" s="279">
        <f>MADEIRAS!G82</f>
        <v>0</v>
      </c>
      <c r="G82" s="278">
        <f>MADEIRAS!I82</f>
        <v>0</v>
      </c>
      <c r="H82" s="278">
        <f>MADEIRAS!J82</f>
        <v>0</v>
      </c>
      <c r="I82" s="278">
        <f>MADEIRAS!K82</f>
        <v>0</v>
      </c>
      <c r="J82" s="278">
        <f>MADEIRAS!L82</f>
        <v>0</v>
      </c>
      <c r="K82" s="278">
        <f>MADEIRAS!M82</f>
        <v>0</v>
      </c>
      <c r="L82" s="278">
        <f>MADEIRAS!N82</f>
        <v>0</v>
      </c>
      <c r="M82" s="278">
        <f>MADEIRAS!O82</f>
        <v>0</v>
      </c>
      <c r="N82" s="278">
        <f>MADEIRAS!P82</f>
        <v>0</v>
      </c>
      <c r="O82" s="278">
        <f>MADEIRAS!Q82</f>
        <v>0</v>
      </c>
      <c r="P82" s="278">
        <f>MADEIRAS!R82</f>
        <v>0</v>
      </c>
      <c r="Q82" s="278">
        <f>MADEIRAS!S82</f>
        <v>0</v>
      </c>
      <c r="R82" s="278">
        <f>MADEIRAS!U82</f>
        <v>0</v>
      </c>
      <c r="S82" s="278">
        <f>MADEIRAS!V82</f>
        <v>0</v>
      </c>
      <c r="T82" s="278">
        <f>MADEIRAS!X82</f>
        <v>0</v>
      </c>
    </row>
    <row r="83" spans="1:20" x14ac:dyDescent="0.25">
      <c r="A83" s="21">
        <f t="shared" si="1"/>
        <v>80</v>
      </c>
      <c r="B83" s="277">
        <f>MADEIRAS!C83</f>
        <v>0</v>
      </c>
      <c r="C83" s="278">
        <f>MADEIRAS!D83</f>
        <v>0</v>
      </c>
      <c r="D83" s="278">
        <f>MADEIRAS!E83</f>
        <v>0</v>
      </c>
      <c r="E83" s="278">
        <f>MADEIRAS!F83*100</f>
        <v>0</v>
      </c>
      <c r="F83" s="279">
        <f>MADEIRAS!G83</f>
        <v>0</v>
      </c>
      <c r="G83" s="278">
        <f>MADEIRAS!I83</f>
        <v>0</v>
      </c>
      <c r="H83" s="278">
        <f>MADEIRAS!J83</f>
        <v>0</v>
      </c>
      <c r="I83" s="278">
        <f>MADEIRAS!K83</f>
        <v>0</v>
      </c>
      <c r="J83" s="278">
        <f>MADEIRAS!L83</f>
        <v>0</v>
      </c>
      <c r="K83" s="278">
        <f>MADEIRAS!M83</f>
        <v>0</v>
      </c>
      <c r="L83" s="278">
        <f>MADEIRAS!N83</f>
        <v>0</v>
      </c>
      <c r="M83" s="278">
        <f>MADEIRAS!O83</f>
        <v>0</v>
      </c>
      <c r="N83" s="278">
        <f>MADEIRAS!P83</f>
        <v>0</v>
      </c>
      <c r="O83" s="278">
        <f>MADEIRAS!Q83</f>
        <v>0</v>
      </c>
      <c r="P83" s="278">
        <f>MADEIRAS!R83</f>
        <v>0</v>
      </c>
      <c r="Q83" s="278">
        <f>MADEIRAS!S83</f>
        <v>0</v>
      </c>
      <c r="R83" s="278">
        <f>MADEIRAS!U83</f>
        <v>0</v>
      </c>
      <c r="S83" s="278">
        <f>MADEIRAS!V83</f>
        <v>0</v>
      </c>
      <c r="T83" s="278">
        <f>MADEIRAS!X83</f>
        <v>0</v>
      </c>
    </row>
    <row r="84" spans="1:20" x14ac:dyDescent="0.25">
      <c r="A84" s="21">
        <f t="shared" si="1"/>
        <v>81</v>
      </c>
      <c r="B84" s="277">
        <f>MADEIRAS!C84</f>
        <v>0</v>
      </c>
      <c r="C84" s="278">
        <f>MADEIRAS!D84</f>
        <v>0</v>
      </c>
      <c r="D84" s="278">
        <f>MADEIRAS!E84</f>
        <v>0</v>
      </c>
      <c r="E84" s="278">
        <f>MADEIRAS!F84*100</f>
        <v>0</v>
      </c>
      <c r="F84" s="279">
        <f>MADEIRAS!G84</f>
        <v>0</v>
      </c>
      <c r="G84" s="278">
        <f>MADEIRAS!I84</f>
        <v>0</v>
      </c>
      <c r="H84" s="278">
        <f>MADEIRAS!J84</f>
        <v>0</v>
      </c>
      <c r="I84" s="278">
        <f>MADEIRAS!K84</f>
        <v>0</v>
      </c>
      <c r="J84" s="278">
        <f>MADEIRAS!L84</f>
        <v>0</v>
      </c>
      <c r="K84" s="278">
        <f>MADEIRAS!M84</f>
        <v>0</v>
      </c>
      <c r="L84" s="278">
        <f>MADEIRAS!N84</f>
        <v>0</v>
      </c>
      <c r="M84" s="278">
        <f>MADEIRAS!O84</f>
        <v>0</v>
      </c>
      <c r="N84" s="278">
        <f>MADEIRAS!P84</f>
        <v>0</v>
      </c>
      <c r="O84" s="278">
        <f>MADEIRAS!Q84</f>
        <v>0</v>
      </c>
      <c r="P84" s="278">
        <f>MADEIRAS!R84</f>
        <v>0</v>
      </c>
      <c r="Q84" s="278">
        <f>MADEIRAS!S84</f>
        <v>0</v>
      </c>
      <c r="R84" s="278">
        <f>MADEIRAS!U84</f>
        <v>0</v>
      </c>
      <c r="S84" s="278">
        <f>MADEIRAS!V84</f>
        <v>0</v>
      </c>
      <c r="T84" s="278">
        <f>MADEIRAS!X84</f>
        <v>0</v>
      </c>
    </row>
    <row r="85" spans="1:20" x14ac:dyDescent="0.25">
      <c r="A85" s="21">
        <f t="shared" si="1"/>
        <v>82</v>
      </c>
      <c r="B85" s="277">
        <f>MADEIRAS!C85</f>
        <v>0</v>
      </c>
      <c r="C85" s="278">
        <f>MADEIRAS!D85</f>
        <v>0</v>
      </c>
      <c r="D85" s="278">
        <f>MADEIRAS!E85</f>
        <v>0</v>
      </c>
      <c r="E85" s="278">
        <f>MADEIRAS!F85*100</f>
        <v>0</v>
      </c>
      <c r="F85" s="279">
        <f>MADEIRAS!G85</f>
        <v>0</v>
      </c>
      <c r="G85" s="278">
        <f>MADEIRAS!I85</f>
        <v>0</v>
      </c>
      <c r="H85" s="278">
        <f>MADEIRAS!J85</f>
        <v>0</v>
      </c>
      <c r="I85" s="278">
        <f>MADEIRAS!K85</f>
        <v>0</v>
      </c>
      <c r="J85" s="278">
        <f>MADEIRAS!L85</f>
        <v>0</v>
      </c>
      <c r="K85" s="278">
        <f>MADEIRAS!M85</f>
        <v>0</v>
      </c>
      <c r="L85" s="278">
        <f>MADEIRAS!N85</f>
        <v>0</v>
      </c>
      <c r="M85" s="278">
        <f>MADEIRAS!O85</f>
        <v>0</v>
      </c>
      <c r="N85" s="278">
        <f>MADEIRAS!P85</f>
        <v>0</v>
      </c>
      <c r="O85" s="278">
        <f>MADEIRAS!Q85</f>
        <v>0</v>
      </c>
      <c r="P85" s="278">
        <f>MADEIRAS!R85</f>
        <v>0</v>
      </c>
      <c r="Q85" s="278">
        <f>MADEIRAS!S85</f>
        <v>0</v>
      </c>
      <c r="R85" s="278">
        <f>MADEIRAS!U85</f>
        <v>0</v>
      </c>
      <c r="S85" s="278">
        <f>MADEIRAS!V85</f>
        <v>0</v>
      </c>
      <c r="T85" s="278">
        <f>MADEIRAS!X85</f>
        <v>0</v>
      </c>
    </row>
    <row r="86" spans="1:20" x14ac:dyDescent="0.25">
      <c r="A86" s="21">
        <f t="shared" si="1"/>
        <v>83</v>
      </c>
      <c r="B86" s="277">
        <f>MADEIRAS!C86</f>
        <v>0</v>
      </c>
      <c r="C86" s="278">
        <f>MADEIRAS!D86</f>
        <v>0</v>
      </c>
      <c r="D86" s="278">
        <f>MADEIRAS!E86</f>
        <v>0</v>
      </c>
      <c r="E86" s="278">
        <f>MADEIRAS!F86*100</f>
        <v>0</v>
      </c>
      <c r="F86" s="279">
        <f>MADEIRAS!G86</f>
        <v>0</v>
      </c>
      <c r="G86" s="278">
        <f>MADEIRAS!I86</f>
        <v>0</v>
      </c>
      <c r="H86" s="278">
        <f>MADEIRAS!J86</f>
        <v>0</v>
      </c>
      <c r="I86" s="278">
        <f>MADEIRAS!K86</f>
        <v>0</v>
      </c>
      <c r="J86" s="278">
        <f>MADEIRAS!L86</f>
        <v>0</v>
      </c>
      <c r="K86" s="278">
        <f>MADEIRAS!M86</f>
        <v>0</v>
      </c>
      <c r="L86" s="278">
        <f>MADEIRAS!N86</f>
        <v>0</v>
      </c>
      <c r="M86" s="278">
        <f>MADEIRAS!O86</f>
        <v>0</v>
      </c>
      <c r="N86" s="278">
        <f>MADEIRAS!P86</f>
        <v>0</v>
      </c>
      <c r="O86" s="278">
        <f>MADEIRAS!Q86</f>
        <v>0</v>
      </c>
      <c r="P86" s="278">
        <f>MADEIRAS!R86</f>
        <v>0</v>
      </c>
      <c r="Q86" s="278">
        <f>MADEIRAS!S86</f>
        <v>0</v>
      </c>
      <c r="R86" s="278">
        <f>MADEIRAS!U86</f>
        <v>0</v>
      </c>
      <c r="S86" s="278">
        <f>MADEIRAS!V86</f>
        <v>0</v>
      </c>
      <c r="T86" s="278">
        <f>MADEIRAS!X86</f>
        <v>0</v>
      </c>
    </row>
    <row r="87" spans="1:20" x14ac:dyDescent="0.25">
      <c r="A87" s="21">
        <f t="shared" si="1"/>
        <v>84</v>
      </c>
      <c r="B87" s="277">
        <f>MADEIRAS!C87</f>
        <v>0</v>
      </c>
      <c r="C87" s="278">
        <f>MADEIRAS!D87</f>
        <v>0</v>
      </c>
      <c r="D87" s="278">
        <f>MADEIRAS!E87</f>
        <v>0</v>
      </c>
      <c r="E87" s="278">
        <f>MADEIRAS!F87*100</f>
        <v>0</v>
      </c>
      <c r="F87" s="279">
        <f>MADEIRAS!G87</f>
        <v>0</v>
      </c>
      <c r="G87" s="278">
        <f>MADEIRAS!I87</f>
        <v>0</v>
      </c>
      <c r="H87" s="278">
        <f>MADEIRAS!J87</f>
        <v>0</v>
      </c>
      <c r="I87" s="278">
        <f>MADEIRAS!K87</f>
        <v>0</v>
      </c>
      <c r="J87" s="278">
        <f>MADEIRAS!L87</f>
        <v>0</v>
      </c>
      <c r="K87" s="278">
        <f>MADEIRAS!M87</f>
        <v>0</v>
      </c>
      <c r="L87" s="278">
        <f>MADEIRAS!N87</f>
        <v>0</v>
      </c>
      <c r="M87" s="278">
        <f>MADEIRAS!O87</f>
        <v>0</v>
      </c>
      <c r="N87" s="278">
        <f>MADEIRAS!P87</f>
        <v>0</v>
      </c>
      <c r="O87" s="278">
        <f>MADEIRAS!Q87</f>
        <v>0</v>
      </c>
      <c r="P87" s="278">
        <f>MADEIRAS!R87</f>
        <v>0</v>
      </c>
      <c r="Q87" s="278">
        <f>MADEIRAS!S87</f>
        <v>0</v>
      </c>
      <c r="R87" s="278">
        <f>MADEIRAS!U87</f>
        <v>0</v>
      </c>
      <c r="S87" s="278">
        <f>MADEIRAS!V87</f>
        <v>0</v>
      </c>
      <c r="T87" s="278">
        <f>MADEIRAS!X87</f>
        <v>0</v>
      </c>
    </row>
    <row r="88" spans="1:20" x14ac:dyDescent="0.25">
      <c r="A88" s="21">
        <f t="shared" si="1"/>
        <v>85</v>
      </c>
      <c r="B88" s="277">
        <f>MADEIRAS!C88</f>
        <v>0</v>
      </c>
      <c r="C88" s="278">
        <f>MADEIRAS!D88</f>
        <v>0</v>
      </c>
      <c r="D88" s="278">
        <f>MADEIRAS!E88</f>
        <v>0</v>
      </c>
      <c r="E88" s="278">
        <f>MADEIRAS!F88*100</f>
        <v>0</v>
      </c>
      <c r="F88" s="279">
        <f>MADEIRAS!G88</f>
        <v>0</v>
      </c>
      <c r="G88" s="278">
        <f>MADEIRAS!I88</f>
        <v>0</v>
      </c>
      <c r="H88" s="278">
        <f>MADEIRAS!J88</f>
        <v>0</v>
      </c>
      <c r="I88" s="278">
        <f>MADEIRAS!K88</f>
        <v>0</v>
      </c>
      <c r="J88" s="278">
        <f>MADEIRAS!L88</f>
        <v>0</v>
      </c>
      <c r="K88" s="278">
        <f>MADEIRAS!M88</f>
        <v>0</v>
      </c>
      <c r="L88" s="278">
        <f>MADEIRAS!N88</f>
        <v>0</v>
      </c>
      <c r="M88" s="278">
        <f>MADEIRAS!O88</f>
        <v>0</v>
      </c>
      <c r="N88" s="278">
        <f>MADEIRAS!P88</f>
        <v>0</v>
      </c>
      <c r="O88" s="278">
        <f>MADEIRAS!Q88</f>
        <v>0</v>
      </c>
      <c r="P88" s="278">
        <f>MADEIRAS!R88</f>
        <v>0</v>
      </c>
      <c r="Q88" s="278">
        <f>MADEIRAS!S88</f>
        <v>0</v>
      </c>
      <c r="R88" s="278">
        <f>MADEIRAS!U88</f>
        <v>0</v>
      </c>
      <c r="S88" s="278">
        <f>MADEIRAS!V88</f>
        <v>0</v>
      </c>
      <c r="T88" s="278">
        <f>MADEIRAS!X88</f>
        <v>0</v>
      </c>
    </row>
    <row r="89" spans="1:20" x14ac:dyDescent="0.25">
      <c r="A89" s="21">
        <f t="shared" si="1"/>
        <v>86</v>
      </c>
      <c r="B89" s="277">
        <f>MADEIRAS!C89</f>
        <v>0</v>
      </c>
      <c r="C89" s="278">
        <f>MADEIRAS!D89</f>
        <v>0</v>
      </c>
      <c r="D89" s="278">
        <f>MADEIRAS!E89</f>
        <v>0</v>
      </c>
      <c r="E89" s="278">
        <f>MADEIRAS!F89*100</f>
        <v>0</v>
      </c>
      <c r="F89" s="279">
        <f>MADEIRAS!G89</f>
        <v>0</v>
      </c>
      <c r="G89" s="278">
        <f>MADEIRAS!I89</f>
        <v>0</v>
      </c>
      <c r="H89" s="278">
        <f>MADEIRAS!J89</f>
        <v>0</v>
      </c>
      <c r="I89" s="278">
        <f>MADEIRAS!K89</f>
        <v>0</v>
      </c>
      <c r="J89" s="278">
        <f>MADEIRAS!L89</f>
        <v>0</v>
      </c>
      <c r="K89" s="278">
        <f>MADEIRAS!M89</f>
        <v>0</v>
      </c>
      <c r="L89" s="278">
        <f>MADEIRAS!N89</f>
        <v>0</v>
      </c>
      <c r="M89" s="278">
        <f>MADEIRAS!O89</f>
        <v>0</v>
      </c>
      <c r="N89" s="278">
        <f>MADEIRAS!P89</f>
        <v>0</v>
      </c>
      <c r="O89" s="278">
        <f>MADEIRAS!Q89</f>
        <v>0</v>
      </c>
      <c r="P89" s="278">
        <f>MADEIRAS!R89</f>
        <v>0</v>
      </c>
      <c r="Q89" s="278">
        <f>MADEIRAS!S89</f>
        <v>0</v>
      </c>
      <c r="R89" s="278">
        <f>MADEIRAS!U89</f>
        <v>0</v>
      </c>
      <c r="S89" s="278">
        <f>MADEIRAS!V89</f>
        <v>0</v>
      </c>
      <c r="T89" s="278">
        <f>MADEIRAS!X89</f>
        <v>0</v>
      </c>
    </row>
    <row r="90" spans="1:20" x14ac:dyDescent="0.25">
      <c r="A90" s="21">
        <f t="shared" si="1"/>
        <v>87</v>
      </c>
      <c r="B90" s="277">
        <f>MADEIRAS!C90</f>
        <v>0</v>
      </c>
      <c r="C90" s="278">
        <f>MADEIRAS!D90</f>
        <v>0</v>
      </c>
      <c r="D90" s="278">
        <f>MADEIRAS!E90</f>
        <v>0</v>
      </c>
      <c r="E90" s="278">
        <f>MADEIRAS!F90*100</f>
        <v>0</v>
      </c>
      <c r="F90" s="279">
        <f>MADEIRAS!G90</f>
        <v>0</v>
      </c>
      <c r="G90" s="278">
        <f>MADEIRAS!I90</f>
        <v>0</v>
      </c>
      <c r="H90" s="278">
        <f>MADEIRAS!J90</f>
        <v>0</v>
      </c>
      <c r="I90" s="278">
        <f>MADEIRAS!K90</f>
        <v>0</v>
      </c>
      <c r="J90" s="278">
        <f>MADEIRAS!L90</f>
        <v>0</v>
      </c>
      <c r="K90" s="278">
        <f>MADEIRAS!M90</f>
        <v>0</v>
      </c>
      <c r="L90" s="278">
        <f>MADEIRAS!N90</f>
        <v>0</v>
      </c>
      <c r="M90" s="278">
        <f>MADEIRAS!O90</f>
        <v>0</v>
      </c>
      <c r="N90" s="278">
        <f>MADEIRAS!P90</f>
        <v>0</v>
      </c>
      <c r="O90" s="278">
        <f>MADEIRAS!Q90</f>
        <v>0</v>
      </c>
      <c r="P90" s="278">
        <f>MADEIRAS!R90</f>
        <v>0</v>
      </c>
      <c r="Q90" s="278">
        <f>MADEIRAS!S90</f>
        <v>0</v>
      </c>
      <c r="R90" s="278">
        <f>MADEIRAS!U90</f>
        <v>0</v>
      </c>
      <c r="S90" s="278">
        <f>MADEIRAS!V90</f>
        <v>0</v>
      </c>
      <c r="T90" s="278">
        <f>MADEIRAS!X90</f>
        <v>0</v>
      </c>
    </row>
    <row r="91" spans="1:20" x14ac:dyDescent="0.25">
      <c r="A91" s="21">
        <f t="shared" si="1"/>
        <v>88</v>
      </c>
      <c r="B91" s="277">
        <f>MADEIRAS!C91</f>
        <v>0</v>
      </c>
      <c r="C91" s="278">
        <f>MADEIRAS!D91</f>
        <v>0</v>
      </c>
      <c r="D91" s="278">
        <f>MADEIRAS!E91</f>
        <v>0</v>
      </c>
      <c r="E91" s="278">
        <f>MADEIRAS!F91*100</f>
        <v>0</v>
      </c>
      <c r="F91" s="279">
        <f>MADEIRAS!G91</f>
        <v>0</v>
      </c>
      <c r="G91" s="278">
        <f>MADEIRAS!I91</f>
        <v>0</v>
      </c>
      <c r="H91" s="278">
        <f>MADEIRAS!J91</f>
        <v>0</v>
      </c>
      <c r="I91" s="278">
        <f>MADEIRAS!K91</f>
        <v>0</v>
      </c>
      <c r="J91" s="278">
        <f>MADEIRAS!L91</f>
        <v>0</v>
      </c>
      <c r="K91" s="278">
        <f>MADEIRAS!M91</f>
        <v>0</v>
      </c>
      <c r="L91" s="278">
        <f>MADEIRAS!N91</f>
        <v>0</v>
      </c>
      <c r="M91" s="278">
        <f>MADEIRAS!O91</f>
        <v>0</v>
      </c>
      <c r="N91" s="278">
        <f>MADEIRAS!P91</f>
        <v>0</v>
      </c>
      <c r="O91" s="278">
        <f>MADEIRAS!Q91</f>
        <v>0</v>
      </c>
      <c r="P91" s="278">
        <f>MADEIRAS!R91</f>
        <v>0</v>
      </c>
      <c r="Q91" s="278">
        <f>MADEIRAS!S91</f>
        <v>0</v>
      </c>
      <c r="R91" s="278">
        <f>MADEIRAS!U91</f>
        <v>0</v>
      </c>
      <c r="S91" s="278">
        <f>MADEIRAS!V91</f>
        <v>0</v>
      </c>
      <c r="T91" s="278">
        <f>MADEIRAS!X91</f>
        <v>0</v>
      </c>
    </row>
    <row r="92" spans="1:20" x14ac:dyDescent="0.25">
      <c r="A92" s="21">
        <f t="shared" si="1"/>
        <v>89</v>
      </c>
      <c r="B92" s="277">
        <f>MADEIRAS!C92</f>
        <v>0</v>
      </c>
      <c r="C92" s="278">
        <f>MADEIRAS!D92</f>
        <v>0</v>
      </c>
      <c r="D92" s="278">
        <f>MADEIRAS!E92</f>
        <v>0</v>
      </c>
      <c r="E92" s="278">
        <f>MADEIRAS!F92*100</f>
        <v>0</v>
      </c>
      <c r="F92" s="279">
        <f>MADEIRAS!G92</f>
        <v>0</v>
      </c>
      <c r="G92" s="278">
        <f>MADEIRAS!I92</f>
        <v>0</v>
      </c>
      <c r="H92" s="278">
        <f>MADEIRAS!J92</f>
        <v>0</v>
      </c>
      <c r="I92" s="278">
        <f>MADEIRAS!K92</f>
        <v>0</v>
      </c>
      <c r="J92" s="278">
        <f>MADEIRAS!L92</f>
        <v>0</v>
      </c>
      <c r="K92" s="278">
        <f>MADEIRAS!M92</f>
        <v>0</v>
      </c>
      <c r="L92" s="278">
        <f>MADEIRAS!N92</f>
        <v>0</v>
      </c>
      <c r="M92" s="278">
        <f>MADEIRAS!O92</f>
        <v>0</v>
      </c>
      <c r="N92" s="278">
        <f>MADEIRAS!P92</f>
        <v>0</v>
      </c>
      <c r="O92" s="278">
        <f>MADEIRAS!Q92</f>
        <v>0</v>
      </c>
      <c r="P92" s="278">
        <f>MADEIRAS!R92</f>
        <v>0</v>
      </c>
      <c r="Q92" s="278">
        <f>MADEIRAS!S92</f>
        <v>0</v>
      </c>
      <c r="R92" s="278">
        <f>MADEIRAS!U92</f>
        <v>0</v>
      </c>
      <c r="S92" s="278">
        <f>MADEIRAS!V92</f>
        <v>0</v>
      </c>
      <c r="T92" s="278">
        <f>MADEIRAS!X92</f>
        <v>0</v>
      </c>
    </row>
    <row r="93" spans="1:20" x14ac:dyDescent="0.25">
      <c r="A93" s="21">
        <f t="shared" si="1"/>
        <v>90</v>
      </c>
      <c r="B93" s="277">
        <f>MADEIRAS!C93</f>
        <v>0</v>
      </c>
      <c r="C93" s="278">
        <f>MADEIRAS!D93</f>
        <v>0</v>
      </c>
      <c r="D93" s="278">
        <f>MADEIRAS!E93</f>
        <v>0</v>
      </c>
      <c r="E93" s="278">
        <f>MADEIRAS!F93*100</f>
        <v>0</v>
      </c>
      <c r="F93" s="279">
        <f>MADEIRAS!G93</f>
        <v>0</v>
      </c>
      <c r="G93" s="278">
        <f>MADEIRAS!I93</f>
        <v>0</v>
      </c>
      <c r="H93" s="278">
        <f>MADEIRAS!J93</f>
        <v>0</v>
      </c>
      <c r="I93" s="278">
        <f>MADEIRAS!K93</f>
        <v>0</v>
      </c>
      <c r="J93" s="278">
        <f>MADEIRAS!L93</f>
        <v>0</v>
      </c>
      <c r="K93" s="278">
        <f>MADEIRAS!M93</f>
        <v>0</v>
      </c>
      <c r="L93" s="278">
        <f>MADEIRAS!N93</f>
        <v>0</v>
      </c>
      <c r="M93" s="278">
        <f>MADEIRAS!O93</f>
        <v>0</v>
      </c>
      <c r="N93" s="278">
        <f>MADEIRAS!P93</f>
        <v>0</v>
      </c>
      <c r="O93" s="278">
        <f>MADEIRAS!Q93</f>
        <v>0</v>
      </c>
      <c r="P93" s="278">
        <f>MADEIRAS!R93</f>
        <v>0</v>
      </c>
      <c r="Q93" s="278">
        <f>MADEIRAS!S93</f>
        <v>0</v>
      </c>
      <c r="R93" s="278">
        <f>MADEIRAS!U93</f>
        <v>0</v>
      </c>
      <c r="S93" s="278">
        <f>MADEIRAS!V93</f>
        <v>0</v>
      </c>
      <c r="T93" s="278">
        <f>MADEIRAS!X93</f>
        <v>0</v>
      </c>
    </row>
    <row r="94" spans="1:20" x14ac:dyDescent="0.25">
      <c r="A94" s="21">
        <f t="shared" si="1"/>
        <v>91</v>
      </c>
      <c r="B94" s="277">
        <f>MADEIRAS!C94</f>
        <v>0</v>
      </c>
      <c r="C94" s="278">
        <f>MADEIRAS!D94</f>
        <v>0</v>
      </c>
      <c r="D94" s="278">
        <f>MADEIRAS!E94</f>
        <v>0</v>
      </c>
      <c r="E94" s="278">
        <f>MADEIRAS!F94*100</f>
        <v>0</v>
      </c>
      <c r="F94" s="279">
        <f>MADEIRAS!G94</f>
        <v>0</v>
      </c>
      <c r="G94" s="278">
        <f>MADEIRAS!I94</f>
        <v>0</v>
      </c>
      <c r="H94" s="278">
        <f>MADEIRAS!J94</f>
        <v>0</v>
      </c>
      <c r="I94" s="278">
        <f>MADEIRAS!K94</f>
        <v>0</v>
      </c>
      <c r="J94" s="278">
        <f>MADEIRAS!L94</f>
        <v>0</v>
      </c>
      <c r="K94" s="278">
        <f>MADEIRAS!M94</f>
        <v>0</v>
      </c>
      <c r="L94" s="278">
        <f>MADEIRAS!N94</f>
        <v>0</v>
      </c>
      <c r="M94" s="278">
        <f>MADEIRAS!O94</f>
        <v>0</v>
      </c>
      <c r="N94" s="278">
        <f>MADEIRAS!P94</f>
        <v>0</v>
      </c>
      <c r="O94" s="278">
        <f>MADEIRAS!Q94</f>
        <v>0</v>
      </c>
      <c r="P94" s="278">
        <f>MADEIRAS!R94</f>
        <v>0</v>
      </c>
      <c r="Q94" s="278">
        <f>MADEIRAS!S94</f>
        <v>0</v>
      </c>
      <c r="R94" s="278">
        <f>MADEIRAS!U94</f>
        <v>0</v>
      </c>
      <c r="S94" s="278">
        <f>MADEIRAS!V94</f>
        <v>0</v>
      </c>
      <c r="T94" s="278">
        <f>MADEIRAS!X94</f>
        <v>0</v>
      </c>
    </row>
    <row r="95" spans="1:20" x14ac:dyDescent="0.25">
      <c r="A95" s="21">
        <f t="shared" si="1"/>
        <v>92</v>
      </c>
      <c r="B95" s="277">
        <f>MADEIRAS!C95</f>
        <v>0</v>
      </c>
      <c r="C95" s="278">
        <f>MADEIRAS!D95</f>
        <v>0</v>
      </c>
      <c r="D95" s="278">
        <f>MADEIRAS!E95</f>
        <v>0</v>
      </c>
      <c r="E95" s="278">
        <f>MADEIRAS!F95*100</f>
        <v>0</v>
      </c>
      <c r="F95" s="279">
        <f>MADEIRAS!G95</f>
        <v>0</v>
      </c>
      <c r="G95" s="278">
        <f>MADEIRAS!I95</f>
        <v>0</v>
      </c>
      <c r="H95" s="278">
        <f>MADEIRAS!J95</f>
        <v>0</v>
      </c>
      <c r="I95" s="278">
        <f>MADEIRAS!K95</f>
        <v>0</v>
      </c>
      <c r="J95" s="278">
        <f>MADEIRAS!L95</f>
        <v>0</v>
      </c>
      <c r="K95" s="278">
        <f>MADEIRAS!M95</f>
        <v>0</v>
      </c>
      <c r="L95" s="278">
        <f>MADEIRAS!N95</f>
        <v>0</v>
      </c>
      <c r="M95" s="278">
        <f>MADEIRAS!O95</f>
        <v>0</v>
      </c>
      <c r="N95" s="278">
        <f>MADEIRAS!P95</f>
        <v>0</v>
      </c>
      <c r="O95" s="278">
        <f>MADEIRAS!Q95</f>
        <v>0</v>
      </c>
      <c r="P95" s="278">
        <f>MADEIRAS!R95</f>
        <v>0</v>
      </c>
      <c r="Q95" s="278">
        <f>MADEIRAS!S95</f>
        <v>0</v>
      </c>
      <c r="R95" s="278">
        <f>MADEIRAS!U95</f>
        <v>0</v>
      </c>
      <c r="S95" s="278">
        <f>MADEIRAS!V95</f>
        <v>0</v>
      </c>
      <c r="T95" s="278">
        <f>MADEIRAS!X95</f>
        <v>0</v>
      </c>
    </row>
    <row r="96" spans="1:20" x14ac:dyDescent="0.25">
      <c r="A96" s="21">
        <f t="shared" si="1"/>
        <v>93</v>
      </c>
      <c r="B96" s="277">
        <f>MADEIRAS!C96</f>
        <v>0</v>
      </c>
      <c r="C96" s="278">
        <f>MADEIRAS!D96</f>
        <v>0</v>
      </c>
      <c r="D96" s="278">
        <f>MADEIRAS!E96</f>
        <v>0</v>
      </c>
      <c r="E96" s="278">
        <f>MADEIRAS!F96*100</f>
        <v>0</v>
      </c>
      <c r="F96" s="279">
        <f>MADEIRAS!G96</f>
        <v>0</v>
      </c>
      <c r="G96" s="278">
        <f>MADEIRAS!I96</f>
        <v>0</v>
      </c>
      <c r="H96" s="278">
        <f>MADEIRAS!J96</f>
        <v>0</v>
      </c>
      <c r="I96" s="278">
        <f>MADEIRAS!K96</f>
        <v>0</v>
      </c>
      <c r="J96" s="278">
        <f>MADEIRAS!L96</f>
        <v>0</v>
      </c>
      <c r="K96" s="278">
        <f>MADEIRAS!M96</f>
        <v>0</v>
      </c>
      <c r="L96" s="278">
        <f>MADEIRAS!N96</f>
        <v>0</v>
      </c>
      <c r="M96" s="278">
        <f>MADEIRAS!O96</f>
        <v>0</v>
      </c>
      <c r="N96" s="278">
        <f>MADEIRAS!P96</f>
        <v>0</v>
      </c>
      <c r="O96" s="278">
        <f>MADEIRAS!Q96</f>
        <v>0</v>
      </c>
      <c r="P96" s="278">
        <f>MADEIRAS!R96</f>
        <v>0</v>
      </c>
      <c r="Q96" s="278">
        <f>MADEIRAS!S96</f>
        <v>0</v>
      </c>
      <c r="R96" s="278">
        <f>MADEIRAS!U96</f>
        <v>0</v>
      </c>
      <c r="S96" s="278">
        <f>MADEIRAS!V96</f>
        <v>0</v>
      </c>
      <c r="T96" s="278">
        <f>MADEIRAS!X96</f>
        <v>0</v>
      </c>
    </row>
    <row r="97" spans="1:20" x14ac:dyDescent="0.25">
      <c r="A97" s="21">
        <f t="shared" si="1"/>
        <v>94</v>
      </c>
      <c r="B97" s="277">
        <f>MADEIRAS!C97</f>
        <v>0</v>
      </c>
      <c r="C97" s="278">
        <f>MADEIRAS!D97</f>
        <v>0</v>
      </c>
      <c r="D97" s="278">
        <f>MADEIRAS!E97</f>
        <v>0</v>
      </c>
      <c r="E97" s="278">
        <f>MADEIRAS!F97*100</f>
        <v>0</v>
      </c>
      <c r="F97" s="279">
        <f>MADEIRAS!G97</f>
        <v>0</v>
      </c>
      <c r="G97" s="278">
        <f>MADEIRAS!I97</f>
        <v>0</v>
      </c>
      <c r="H97" s="278">
        <f>MADEIRAS!J97</f>
        <v>0</v>
      </c>
      <c r="I97" s="278">
        <f>MADEIRAS!K97</f>
        <v>0</v>
      </c>
      <c r="J97" s="278">
        <f>MADEIRAS!L97</f>
        <v>0</v>
      </c>
      <c r="K97" s="278">
        <f>MADEIRAS!M97</f>
        <v>0</v>
      </c>
      <c r="L97" s="278">
        <f>MADEIRAS!N97</f>
        <v>0</v>
      </c>
      <c r="M97" s="278">
        <f>MADEIRAS!O97</f>
        <v>0</v>
      </c>
      <c r="N97" s="278">
        <f>MADEIRAS!P97</f>
        <v>0</v>
      </c>
      <c r="O97" s="278">
        <f>MADEIRAS!Q97</f>
        <v>0</v>
      </c>
      <c r="P97" s="278">
        <f>MADEIRAS!R97</f>
        <v>0</v>
      </c>
      <c r="Q97" s="278">
        <f>MADEIRAS!S97</f>
        <v>0</v>
      </c>
      <c r="R97" s="278">
        <f>MADEIRAS!U97</f>
        <v>0</v>
      </c>
      <c r="S97" s="278">
        <f>MADEIRAS!V97</f>
        <v>0</v>
      </c>
      <c r="T97" s="278">
        <f>MADEIRAS!X97</f>
        <v>0</v>
      </c>
    </row>
    <row r="98" spans="1:20" x14ac:dyDescent="0.25">
      <c r="A98" s="21">
        <f t="shared" si="1"/>
        <v>95</v>
      </c>
      <c r="B98" s="277">
        <f>MADEIRAS!C98</f>
        <v>0</v>
      </c>
      <c r="C98" s="278">
        <f>MADEIRAS!D98</f>
        <v>0</v>
      </c>
      <c r="D98" s="278">
        <f>MADEIRAS!E98</f>
        <v>0</v>
      </c>
      <c r="E98" s="278">
        <f>MADEIRAS!F98*100</f>
        <v>0</v>
      </c>
      <c r="F98" s="279">
        <f>MADEIRAS!G98</f>
        <v>0</v>
      </c>
      <c r="G98" s="278">
        <f>MADEIRAS!I98</f>
        <v>0</v>
      </c>
      <c r="H98" s="278">
        <f>MADEIRAS!J98</f>
        <v>0</v>
      </c>
      <c r="I98" s="278">
        <f>MADEIRAS!K98</f>
        <v>0</v>
      </c>
      <c r="J98" s="278">
        <f>MADEIRAS!L98</f>
        <v>0</v>
      </c>
      <c r="K98" s="278">
        <f>MADEIRAS!M98</f>
        <v>0</v>
      </c>
      <c r="L98" s="278">
        <f>MADEIRAS!N98</f>
        <v>0</v>
      </c>
      <c r="M98" s="278">
        <f>MADEIRAS!O98</f>
        <v>0</v>
      </c>
      <c r="N98" s="278">
        <f>MADEIRAS!P98</f>
        <v>0</v>
      </c>
      <c r="O98" s="278">
        <f>MADEIRAS!Q98</f>
        <v>0</v>
      </c>
      <c r="P98" s="278">
        <f>MADEIRAS!R98</f>
        <v>0</v>
      </c>
      <c r="Q98" s="278">
        <f>MADEIRAS!S98</f>
        <v>0</v>
      </c>
      <c r="R98" s="278">
        <f>MADEIRAS!U98</f>
        <v>0</v>
      </c>
      <c r="S98" s="278">
        <f>MADEIRAS!V98</f>
        <v>0</v>
      </c>
      <c r="T98" s="278">
        <f>MADEIRAS!X98</f>
        <v>0</v>
      </c>
    </row>
    <row r="99" spans="1:20" x14ac:dyDescent="0.25">
      <c r="A99" s="21">
        <f t="shared" si="1"/>
        <v>96</v>
      </c>
      <c r="B99" s="277">
        <f>MADEIRAS!C99</f>
        <v>0</v>
      </c>
      <c r="C99" s="278">
        <f>MADEIRAS!D99</f>
        <v>0</v>
      </c>
      <c r="D99" s="278">
        <f>MADEIRAS!E99</f>
        <v>0</v>
      </c>
      <c r="E99" s="278">
        <f>MADEIRAS!F99*100</f>
        <v>0</v>
      </c>
      <c r="F99" s="279">
        <f>MADEIRAS!G99</f>
        <v>0</v>
      </c>
      <c r="G99" s="278">
        <f>MADEIRAS!I99</f>
        <v>0</v>
      </c>
      <c r="H99" s="278">
        <f>MADEIRAS!J99</f>
        <v>0</v>
      </c>
      <c r="I99" s="278">
        <f>MADEIRAS!K99</f>
        <v>0</v>
      </c>
      <c r="J99" s="278">
        <f>MADEIRAS!L99</f>
        <v>0</v>
      </c>
      <c r="K99" s="278">
        <f>MADEIRAS!M99</f>
        <v>0</v>
      </c>
      <c r="L99" s="278">
        <f>MADEIRAS!N99</f>
        <v>0</v>
      </c>
      <c r="M99" s="278">
        <f>MADEIRAS!O99</f>
        <v>0</v>
      </c>
      <c r="N99" s="278">
        <f>MADEIRAS!P99</f>
        <v>0</v>
      </c>
      <c r="O99" s="278">
        <f>MADEIRAS!Q99</f>
        <v>0</v>
      </c>
      <c r="P99" s="278">
        <f>MADEIRAS!R99</f>
        <v>0</v>
      </c>
      <c r="Q99" s="278">
        <f>MADEIRAS!S99</f>
        <v>0</v>
      </c>
      <c r="R99" s="278">
        <f>MADEIRAS!U99</f>
        <v>0</v>
      </c>
      <c r="S99" s="278">
        <f>MADEIRAS!V99</f>
        <v>0</v>
      </c>
      <c r="T99" s="278">
        <f>MADEIRAS!X99</f>
        <v>0</v>
      </c>
    </row>
    <row r="100" spans="1:20" x14ac:dyDescent="0.25">
      <c r="A100" s="21">
        <f t="shared" si="1"/>
        <v>97</v>
      </c>
      <c r="B100" s="277">
        <f>MADEIRAS!C100</f>
        <v>0</v>
      </c>
      <c r="C100" s="278">
        <f>MADEIRAS!D100</f>
        <v>0</v>
      </c>
      <c r="D100" s="278">
        <f>MADEIRAS!E100</f>
        <v>0</v>
      </c>
      <c r="E100" s="278">
        <f>MADEIRAS!F100*100</f>
        <v>0</v>
      </c>
      <c r="F100" s="279">
        <f>MADEIRAS!G100</f>
        <v>0</v>
      </c>
      <c r="G100" s="278">
        <f>MADEIRAS!I100</f>
        <v>0</v>
      </c>
      <c r="H100" s="278">
        <f>MADEIRAS!J100</f>
        <v>0</v>
      </c>
      <c r="I100" s="278">
        <f>MADEIRAS!K100</f>
        <v>0</v>
      </c>
      <c r="J100" s="278">
        <f>MADEIRAS!L100</f>
        <v>0</v>
      </c>
      <c r="K100" s="278">
        <f>MADEIRAS!M100</f>
        <v>0</v>
      </c>
      <c r="L100" s="278">
        <f>MADEIRAS!N100</f>
        <v>0</v>
      </c>
      <c r="M100" s="278">
        <f>MADEIRAS!O100</f>
        <v>0</v>
      </c>
      <c r="N100" s="278">
        <f>MADEIRAS!P100</f>
        <v>0</v>
      </c>
      <c r="O100" s="278">
        <f>MADEIRAS!Q100</f>
        <v>0</v>
      </c>
      <c r="P100" s="278">
        <f>MADEIRAS!R100</f>
        <v>0</v>
      </c>
      <c r="Q100" s="278">
        <f>MADEIRAS!S100</f>
        <v>0</v>
      </c>
      <c r="R100" s="278">
        <f>MADEIRAS!U100</f>
        <v>0</v>
      </c>
      <c r="S100" s="278">
        <f>MADEIRAS!V100</f>
        <v>0</v>
      </c>
      <c r="T100" s="278">
        <f>MADEIRAS!X100</f>
        <v>0</v>
      </c>
    </row>
    <row r="101" spans="1:20" x14ac:dyDescent="0.25">
      <c r="A101" s="21">
        <f>A100+1</f>
        <v>98</v>
      </c>
      <c r="B101" s="277">
        <f>MADEIRAS!C101</f>
        <v>0</v>
      </c>
      <c r="C101" s="278">
        <f>MADEIRAS!D101</f>
        <v>0</v>
      </c>
      <c r="D101" s="278">
        <f>MADEIRAS!E101</f>
        <v>0</v>
      </c>
      <c r="E101" s="278">
        <f>MADEIRAS!F101*100</f>
        <v>0</v>
      </c>
      <c r="F101" s="279">
        <f>MADEIRAS!G101</f>
        <v>0</v>
      </c>
      <c r="G101" s="278">
        <f>MADEIRAS!I101</f>
        <v>0</v>
      </c>
      <c r="H101" s="278">
        <f>MADEIRAS!J101</f>
        <v>0</v>
      </c>
      <c r="I101" s="278">
        <f>MADEIRAS!K101</f>
        <v>0</v>
      </c>
      <c r="J101" s="278">
        <f>MADEIRAS!L101</f>
        <v>0</v>
      </c>
      <c r="K101" s="278">
        <f>MADEIRAS!M101</f>
        <v>0</v>
      </c>
      <c r="L101" s="278">
        <f>MADEIRAS!N101</f>
        <v>0</v>
      </c>
      <c r="M101" s="278">
        <f>MADEIRAS!O101</f>
        <v>0</v>
      </c>
      <c r="N101" s="278">
        <f>MADEIRAS!P101</f>
        <v>0</v>
      </c>
      <c r="O101" s="278">
        <f>MADEIRAS!Q101</f>
        <v>0</v>
      </c>
      <c r="P101" s="278">
        <f>MADEIRAS!R101</f>
        <v>0</v>
      </c>
      <c r="Q101" s="278">
        <f>MADEIRAS!S101</f>
        <v>0</v>
      </c>
      <c r="R101" s="278">
        <f>MADEIRAS!U101</f>
        <v>0</v>
      </c>
      <c r="S101" s="278">
        <f>MADEIRAS!V101</f>
        <v>0</v>
      </c>
      <c r="T101" s="278">
        <f>MADEIRAS!X101</f>
        <v>0</v>
      </c>
    </row>
    <row r="102" spans="1:20" x14ac:dyDescent="0.25">
      <c r="A102" s="21">
        <f t="shared" ref="A102:A103" si="2">A101+1</f>
        <v>99</v>
      </c>
      <c r="B102" s="277">
        <f>MADEIRAS!C102</f>
        <v>0</v>
      </c>
      <c r="C102" s="278">
        <f>MADEIRAS!D102</f>
        <v>0</v>
      </c>
      <c r="D102" s="278">
        <f>MADEIRAS!E102</f>
        <v>0</v>
      </c>
      <c r="E102" s="278">
        <f>MADEIRAS!F102*100</f>
        <v>0</v>
      </c>
      <c r="F102" s="279">
        <f>MADEIRAS!G102</f>
        <v>0</v>
      </c>
      <c r="G102" s="278">
        <f>MADEIRAS!I102</f>
        <v>0</v>
      </c>
      <c r="H102" s="278">
        <f>MADEIRAS!J102</f>
        <v>0</v>
      </c>
      <c r="I102" s="278">
        <f>MADEIRAS!K102</f>
        <v>0</v>
      </c>
      <c r="J102" s="278">
        <f>MADEIRAS!L102</f>
        <v>0</v>
      </c>
      <c r="K102" s="278">
        <f>MADEIRAS!M102</f>
        <v>0</v>
      </c>
      <c r="L102" s="278">
        <f>MADEIRAS!N102</f>
        <v>0</v>
      </c>
      <c r="M102" s="278">
        <f>MADEIRAS!O102</f>
        <v>0</v>
      </c>
      <c r="N102" s="278">
        <f>MADEIRAS!P102</f>
        <v>0</v>
      </c>
      <c r="O102" s="278">
        <f>MADEIRAS!Q102</f>
        <v>0</v>
      </c>
      <c r="P102" s="278">
        <f>MADEIRAS!R102</f>
        <v>0</v>
      </c>
      <c r="Q102" s="278">
        <f>MADEIRAS!S102</f>
        <v>0</v>
      </c>
      <c r="R102" s="278">
        <f>MADEIRAS!U102</f>
        <v>0</v>
      </c>
      <c r="S102" s="278">
        <f>MADEIRAS!V102</f>
        <v>0</v>
      </c>
      <c r="T102" s="278">
        <f>MADEIRAS!X102</f>
        <v>0</v>
      </c>
    </row>
    <row r="103" spans="1:20" x14ac:dyDescent="0.25">
      <c r="A103" s="21">
        <f t="shared" si="2"/>
        <v>100</v>
      </c>
      <c r="B103" s="277">
        <f>MADEIRAS!C103</f>
        <v>0</v>
      </c>
      <c r="C103" s="278">
        <f>MADEIRAS!D103</f>
        <v>0</v>
      </c>
      <c r="D103" s="278">
        <f>MADEIRAS!E103</f>
        <v>0</v>
      </c>
      <c r="E103" s="278">
        <f>MADEIRAS!F103*100</f>
        <v>0</v>
      </c>
      <c r="F103" s="279">
        <f>MADEIRAS!G103</f>
        <v>0</v>
      </c>
      <c r="G103" s="278">
        <f>MADEIRAS!I103</f>
        <v>0</v>
      </c>
      <c r="H103" s="278">
        <f>MADEIRAS!J103</f>
        <v>0</v>
      </c>
      <c r="I103" s="278">
        <f>MADEIRAS!K103</f>
        <v>0</v>
      </c>
      <c r="J103" s="278">
        <f>MADEIRAS!L103</f>
        <v>0</v>
      </c>
      <c r="K103" s="278">
        <f>MADEIRAS!M103</f>
        <v>0</v>
      </c>
      <c r="L103" s="278">
        <f>MADEIRAS!N103</f>
        <v>0</v>
      </c>
      <c r="M103" s="278">
        <f>MADEIRAS!O103</f>
        <v>0</v>
      </c>
      <c r="N103" s="278">
        <f>MADEIRAS!P103</f>
        <v>0</v>
      </c>
      <c r="O103" s="278">
        <f>MADEIRAS!Q103</f>
        <v>0</v>
      </c>
      <c r="P103" s="278">
        <f>MADEIRAS!R103</f>
        <v>0</v>
      </c>
      <c r="Q103" s="278">
        <f>MADEIRAS!S103</f>
        <v>0</v>
      </c>
      <c r="R103" s="278">
        <f>MADEIRAS!U103</f>
        <v>0</v>
      </c>
      <c r="S103" s="278">
        <f>MADEIRAS!V103</f>
        <v>0</v>
      </c>
      <c r="T103" s="278">
        <f>MADEIRAS!X103</f>
        <v>0</v>
      </c>
    </row>
  </sheetData>
  <sortState ref="B5:T17">
    <sortCondition ref="B4"/>
  </sortState>
  <mergeCells count="1">
    <mergeCell ref="C1:F1"/>
  </mergeCells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3"/>
  <dimension ref="A1:Z1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15" sqref="G15"/>
    </sheetView>
  </sheetViews>
  <sheetFormatPr defaultRowHeight="12.75" x14ac:dyDescent="0.25"/>
  <cols>
    <col min="1" max="1" width="17.28515625" style="23" bestFit="1" customWidth="1"/>
    <col min="2" max="2" width="26.28515625" style="15" bestFit="1" customWidth="1"/>
    <col min="3" max="3" width="20" style="15" bestFit="1" customWidth="1"/>
    <col min="4" max="4" width="14.42578125" style="15" bestFit="1" customWidth="1"/>
    <col min="5" max="5" width="14.85546875" style="15" bestFit="1" customWidth="1"/>
    <col min="6" max="6" width="22.7109375" style="22" bestFit="1" customWidth="1"/>
    <col min="7" max="7" width="17.85546875" style="15" bestFit="1" customWidth="1"/>
    <col min="8" max="9" width="17.42578125" style="15" bestFit="1" customWidth="1"/>
    <col min="10" max="10" width="20" style="15" bestFit="1" customWidth="1"/>
    <col min="11" max="11" width="33.42578125" style="15" bestFit="1" customWidth="1"/>
    <col min="12" max="12" width="27.28515625" style="15" bestFit="1" customWidth="1"/>
    <col min="13" max="13" width="33.28515625" style="15" bestFit="1" customWidth="1"/>
    <col min="14" max="15" width="27.140625" style="15" bestFit="1" customWidth="1"/>
    <col min="16" max="16" width="28.140625" style="15" bestFit="1" customWidth="1"/>
    <col min="17" max="17" width="22" style="15" bestFit="1" customWidth="1"/>
    <col min="18" max="18" width="15.7109375" style="15" bestFit="1" customWidth="1"/>
    <col min="19" max="19" width="30.140625" style="15" bestFit="1" customWidth="1"/>
    <col min="20" max="20" width="34.28515625" style="15" bestFit="1" customWidth="1"/>
    <col min="21" max="21" width="16" style="15" bestFit="1" customWidth="1"/>
    <col min="22" max="22" width="13.5703125" style="15" bestFit="1" customWidth="1"/>
    <col min="23" max="23" width="30.42578125" style="15" bestFit="1" customWidth="1"/>
    <col min="24" max="24" width="15.85546875" style="15" bestFit="1" customWidth="1"/>
    <col min="25" max="26" width="22.7109375" style="15" bestFit="1" customWidth="1"/>
    <col min="27" max="16384" width="9.140625" style="15"/>
  </cols>
  <sheetData>
    <row r="1" spans="1:26" x14ac:dyDescent="0.25">
      <c r="B1" s="491" t="s">
        <v>8</v>
      </c>
      <c r="C1" s="492"/>
      <c r="D1" s="492"/>
      <c r="E1" s="492"/>
      <c r="F1" s="493"/>
    </row>
    <row r="2" spans="1:26" x14ac:dyDescent="0.25">
      <c r="A2" s="15" t="s">
        <v>0</v>
      </c>
      <c r="B2" s="16" t="s">
        <v>26</v>
      </c>
      <c r="C2" s="308" t="s">
        <v>27</v>
      </c>
      <c r="D2" s="308" t="s">
        <v>4</v>
      </c>
      <c r="E2" s="308" t="s">
        <v>69</v>
      </c>
      <c r="F2" s="310" t="s">
        <v>70</v>
      </c>
      <c r="G2" s="16" t="s">
        <v>28</v>
      </c>
      <c r="H2" s="16" t="s">
        <v>29</v>
      </c>
      <c r="I2" s="308" t="s">
        <v>30</v>
      </c>
      <c r="J2" s="308" t="s">
        <v>12</v>
      </c>
      <c r="K2" s="16" t="s">
        <v>34</v>
      </c>
      <c r="L2" s="308" t="s">
        <v>35</v>
      </c>
      <c r="M2" s="16" t="s">
        <v>31</v>
      </c>
      <c r="N2" s="16" t="s">
        <v>32</v>
      </c>
      <c r="O2" s="308" t="s">
        <v>33</v>
      </c>
      <c r="P2" s="308" t="s">
        <v>17</v>
      </c>
      <c r="Q2" s="16" t="s">
        <v>36</v>
      </c>
      <c r="R2" s="308" t="s">
        <v>37</v>
      </c>
      <c r="S2" s="16" t="s">
        <v>19</v>
      </c>
      <c r="T2" s="16" t="s">
        <v>20</v>
      </c>
      <c r="U2" s="16" t="s">
        <v>22</v>
      </c>
      <c r="V2" s="16" t="s">
        <v>71</v>
      </c>
      <c r="W2" s="16" t="s">
        <v>23</v>
      </c>
      <c r="X2" s="16" t="s">
        <v>24</v>
      </c>
      <c r="Y2" s="16" t="s">
        <v>38</v>
      </c>
      <c r="Z2" s="16" t="s">
        <v>38</v>
      </c>
    </row>
    <row r="3" spans="1:26" x14ac:dyDescent="0.25">
      <c r="B3" s="18" t="s">
        <v>5</v>
      </c>
      <c r="C3" s="309" t="s">
        <v>5</v>
      </c>
      <c r="D3" s="309" t="s">
        <v>5</v>
      </c>
      <c r="E3" s="309" t="s">
        <v>7</v>
      </c>
      <c r="F3" s="311" t="s">
        <v>6</v>
      </c>
      <c r="G3" s="18" t="s">
        <v>5</v>
      </c>
      <c r="H3" s="18" t="s">
        <v>5</v>
      </c>
      <c r="I3" s="309" t="s">
        <v>5</v>
      </c>
      <c r="J3" s="309" t="s">
        <v>5</v>
      </c>
      <c r="K3" s="18" t="s">
        <v>5</v>
      </c>
      <c r="L3" s="309" t="s">
        <v>5</v>
      </c>
      <c r="M3" s="18" t="s">
        <v>5</v>
      </c>
      <c r="N3" s="18" t="s">
        <v>5</v>
      </c>
      <c r="O3" s="309" t="s">
        <v>5</v>
      </c>
      <c r="P3" s="309" t="s">
        <v>5</v>
      </c>
      <c r="Q3" s="18" t="s">
        <v>5</v>
      </c>
      <c r="R3" s="309" t="s">
        <v>5</v>
      </c>
      <c r="S3" s="18" t="s">
        <v>5</v>
      </c>
      <c r="T3" s="18" t="s">
        <v>5</v>
      </c>
      <c r="U3" s="18" t="s">
        <v>5</v>
      </c>
      <c r="V3" s="18" t="s">
        <v>7</v>
      </c>
      <c r="W3" s="18" t="s">
        <v>5</v>
      </c>
      <c r="X3" s="18" t="s">
        <v>5</v>
      </c>
      <c r="Y3" s="18" t="s">
        <v>5</v>
      </c>
      <c r="Z3" s="18" t="s">
        <v>5</v>
      </c>
    </row>
    <row r="4" spans="1:26" x14ac:dyDescent="0.25">
      <c r="A4" s="23" t="s">
        <v>532</v>
      </c>
      <c r="B4" s="15">
        <v>12912</v>
      </c>
      <c r="C4" s="24">
        <f t="shared" ref="C4:C12" si="0">B4*(1+(2*(20-12)/100))</f>
        <v>14977.919999999998</v>
      </c>
      <c r="D4" s="24">
        <f t="shared" ref="D4:D12" si="1">C4/20</f>
        <v>748.89599999999996</v>
      </c>
      <c r="E4" s="15">
        <v>1190</v>
      </c>
      <c r="F4" s="22">
        <v>5.0000000000000001E-3</v>
      </c>
      <c r="G4" s="15">
        <v>70.599999999999994</v>
      </c>
      <c r="H4" s="15">
        <v>109.3</v>
      </c>
      <c r="I4" s="24">
        <f t="shared" ref="I4:I12" si="2">((G4*(1+(3*(20-12)/100)))+(H4*(1+(3*(15-12)/100))))/2</f>
        <v>103.34049999999999</v>
      </c>
      <c r="J4" s="24">
        <f t="shared" ref="J4:J11" si="3">O4/0.77</f>
        <v>67.922077922077918</v>
      </c>
      <c r="K4" s="15">
        <v>4.2</v>
      </c>
      <c r="L4" s="191">
        <v>3.8</v>
      </c>
      <c r="M4" s="15">
        <v>38</v>
      </c>
      <c r="O4" s="15">
        <v>52.3</v>
      </c>
      <c r="P4" s="15">
        <v>11.3</v>
      </c>
      <c r="Q4" s="15">
        <v>10</v>
      </c>
      <c r="R4" s="15">
        <v>12.3</v>
      </c>
      <c r="S4" s="15">
        <f t="shared" ref="S4:S12" si="4">C4</f>
        <v>14977.919999999998</v>
      </c>
      <c r="T4" s="15">
        <f t="shared" ref="T4:T12" si="5">S4/20</f>
        <v>748.89599999999996</v>
      </c>
      <c r="U4" s="15">
        <f t="shared" ref="U4:U12" si="6">D4</f>
        <v>748.89599999999996</v>
      </c>
      <c r="V4" s="15">
        <v>590</v>
      </c>
      <c r="W4" s="15">
        <f t="shared" ref="W4:W12" si="7">0.7*S4</f>
        <v>10484.543999999998</v>
      </c>
      <c r="X4" s="15">
        <f t="shared" ref="X4:X12" si="8">0.7*U4</f>
        <v>524.22719999999993</v>
      </c>
      <c r="Y4" s="15">
        <v>1.1000000000000001</v>
      </c>
      <c r="Z4" s="24">
        <f t="shared" ref="Z4:Z12" si="9">(Y4*(1+(3*(20-12)/100)))</f>
        <v>1.3640000000000001</v>
      </c>
    </row>
    <row r="5" spans="1:26" x14ac:dyDescent="0.25">
      <c r="A5" s="23" t="s">
        <v>40</v>
      </c>
      <c r="B5" s="15">
        <v>19306</v>
      </c>
      <c r="C5" s="24">
        <f t="shared" si="0"/>
        <v>22394.959999999999</v>
      </c>
      <c r="D5" s="24">
        <f t="shared" si="1"/>
        <v>1119.748</v>
      </c>
      <c r="E5" s="15">
        <v>1090</v>
      </c>
      <c r="F5" s="22">
        <v>5.0000000000000001E-3</v>
      </c>
      <c r="G5" s="15">
        <v>123.8</v>
      </c>
      <c r="H5" s="15">
        <v>178.3</v>
      </c>
      <c r="I5" s="24">
        <f t="shared" si="2"/>
        <v>173.92950000000002</v>
      </c>
      <c r="J5" s="24">
        <f t="shared" si="3"/>
        <v>114.42207792207792</v>
      </c>
      <c r="K5" s="15">
        <v>7.5</v>
      </c>
      <c r="L5" s="24">
        <f t="shared" ref="L5:L12" si="10">(K5*(1+(3*(20-12)/100)))</f>
        <v>9.3000000000000007</v>
      </c>
      <c r="M5" s="15">
        <v>59.3</v>
      </c>
      <c r="N5" s="15">
        <v>94.2</v>
      </c>
      <c r="O5" s="24">
        <f t="shared" ref="O5:O12" si="11">((M5*(1+(3*(20-12)/100)))+(N5*(1+(3*(15-12)/100))))/2</f>
        <v>88.105000000000004</v>
      </c>
      <c r="P5" s="24">
        <f t="shared" ref="P5:P12" si="12">0.25*O5</f>
        <v>22.026250000000001</v>
      </c>
      <c r="Q5" s="15">
        <v>14.2</v>
      </c>
      <c r="R5" s="24">
        <f t="shared" ref="R5:R12" si="13">(Q5*(1+(3*(20-12)/100)))</f>
        <v>17.608000000000001</v>
      </c>
      <c r="S5" s="24">
        <f t="shared" si="4"/>
        <v>22394.959999999999</v>
      </c>
      <c r="T5" s="24">
        <f t="shared" si="5"/>
        <v>1119.748</v>
      </c>
      <c r="U5" s="24">
        <f t="shared" si="6"/>
        <v>1119.748</v>
      </c>
      <c r="V5" s="191">
        <v>908</v>
      </c>
      <c r="W5" s="24">
        <f t="shared" si="7"/>
        <v>15676.471999999998</v>
      </c>
      <c r="X5" s="24">
        <f t="shared" si="8"/>
        <v>783.82359999999994</v>
      </c>
      <c r="Y5" s="15">
        <v>1.1000000000000001</v>
      </c>
      <c r="Z5" s="24">
        <f t="shared" si="9"/>
        <v>1.3640000000000001</v>
      </c>
    </row>
    <row r="6" spans="1:26" s="313" customFormat="1" x14ac:dyDescent="0.25">
      <c r="A6" s="312" t="s">
        <v>442</v>
      </c>
      <c r="B6" s="313">
        <v>15867</v>
      </c>
      <c r="C6" s="314">
        <f t="shared" si="0"/>
        <v>18405.719999999998</v>
      </c>
      <c r="D6" s="314">
        <f t="shared" si="1"/>
        <v>920.28599999999983</v>
      </c>
      <c r="E6" s="313">
        <v>1040</v>
      </c>
      <c r="F6" s="315">
        <v>5.0000000000000001E-3</v>
      </c>
      <c r="G6" s="313">
        <v>111.8</v>
      </c>
      <c r="H6" s="313">
        <v>121.4</v>
      </c>
      <c r="I6" s="314">
        <f t="shared" si="2"/>
        <v>135.47900000000001</v>
      </c>
      <c r="J6" s="314">
        <f t="shared" si="3"/>
        <v>85.59480519480519</v>
      </c>
      <c r="K6" s="313">
        <v>10.1</v>
      </c>
      <c r="L6" s="314">
        <f t="shared" si="10"/>
        <v>12.523999999999999</v>
      </c>
      <c r="M6" s="313">
        <v>51.1</v>
      </c>
      <c r="N6" s="313">
        <v>62.8</v>
      </c>
      <c r="O6" s="314">
        <f t="shared" si="11"/>
        <v>65.908000000000001</v>
      </c>
      <c r="P6" s="314">
        <f t="shared" si="12"/>
        <v>16.477</v>
      </c>
      <c r="Q6" s="313">
        <v>16.3</v>
      </c>
      <c r="R6" s="314">
        <f t="shared" si="13"/>
        <v>20.212</v>
      </c>
      <c r="S6" s="314">
        <f t="shared" si="4"/>
        <v>18405.719999999998</v>
      </c>
      <c r="T6" s="314">
        <f t="shared" si="5"/>
        <v>920.28599999999983</v>
      </c>
      <c r="U6" s="314">
        <f t="shared" si="6"/>
        <v>920.28599999999983</v>
      </c>
      <c r="V6" s="313">
        <v>867</v>
      </c>
      <c r="W6" s="314">
        <f t="shared" si="7"/>
        <v>12884.003999999997</v>
      </c>
      <c r="X6" s="314">
        <f t="shared" si="8"/>
        <v>644.20019999999988</v>
      </c>
      <c r="Y6" s="313">
        <v>1.2</v>
      </c>
      <c r="Z6" s="314">
        <f t="shared" si="9"/>
        <v>1.488</v>
      </c>
    </row>
    <row r="7" spans="1:26" x14ac:dyDescent="0.25">
      <c r="A7" s="23" t="s">
        <v>39</v>
      </c>
      <c r="B7" s="15">
        <v>14460</v>
      </c>
      <c r="C7" s="24">
        <f t="shared" si="0"/>
        <v>16773.599999999999</v>
      </c>
      <c r="D7" s="24">
        <f t="shared" si="1"/>
        <v>838.68</v>
      </c>
      <c r="E7" s="15">
        <v>830</v>
      </c>
      <c r="F7" s="22">
        <v>5.0000000000000001E-3</v>
      </c>
      <c r="G7" s="15">
        <v>93.8</v>
      </c>
      <c r="H7" s="15">
        <v>125.3</v>
      </c>
      <c r="I7" s="24">
        <f t="shared" si="2"/>
        <v>126.44450000000001</v>
      </c>
      <c r="J7" s="24">
        <f t="shared" si="3"/>
        <v>68.46688311688311</v>
      </c>
      <c r="K7" s="15">
        <v>9.6</v>
      </c>
      <c r="L7" s="24">
        <f t="shared" si="10"/>
        <v>11.904</v>
      </c>
      <c r="M7" s="15">
        <v>37.299999999999997</v>
      </c>
      <c r="N7" s="15">
        <v>54.3</v>
      </c>
      <c r="O7" s="24">
        <f t="shared" si="11"/>
        <v>52.719499999999996</v>
      </c>
      <c r="P7" s="24">
        <f t="shared" si="12"/>
        <v>13.179874999999999</v>
      </c>
      <c r="Q7" s="15">
        <v>12.7</v>
      </c>
      <c r="R7" s="24">
        <f t="shared" si="13"/>
        <v>15.747999999999999</v>
      </c>
      <c r="S7" s="24">
        <f t="shared" si="4"/>
        <v>16773.599999999999</v>
      </c>
      <c r="T7" s="24">
        <f t="shared" si="5"/>
        <v>838.68</v>
      </c>
      <c r="U7" s="24">
        <f t="shared" si="6"/>
        <v>838.68</v>
      </c>
      <c r="V7" s="191">
        <v>670</v>
      </c>
      <c r="W7" s="24">
        <f t="shared" si="7"/>
        <v>11741.519999999999</v>
      </c>
      <c r="X7" s="24">
        <f t="shared" si="8"/>
        <v>587.07599999999991</v>
      </c>
      <c r="Y7" s="15">
        <v>1</v>
      </c>
      <c r="Z7" s="24">
        <f t="shared" si="9"/>
        <v>1.24</v>
      </c>
    </row>
    <row r="8" spans="1:26" x14ac:dyDescent="0.25">
      <c r="A8" s="23" t="s">
        <v>21</v>
      </c>
      <c r="B8" s="15">
        <v>16387</v>
      </c>
      <c r="C8" s="24">
        <f t="shared" si="0"/>
        <v>19008.919999999998</v>
      </c>
      <c r="D8" s="24">
        <f t="shared" si="1"/>
        <v>950.44599999999991</v>
      </c>
      <c r="E8" s="15">
        <v>960</v>
      </c>
      <c r="F8" s="22">
        <v>5.0000000000000001E-3</v>
      </c>
      <c r="G8" s="15">
        <v>115.4</v>
      </c>
      <c r="H8" s="15">
        <v>126.5</v>
      </c>
      <c r="I8" s="24">
        <f t="shared" si="2"/>
        <v>140.4905</v>
      </c>
      <c r="J8" s="24">
        <f t="shared" si="3"/>
        <v>94.872727272727275</v>
      </c>
      <c r="K8" s="15">
        <v>10.8</v>
      </c>
      <c r="L8" s="24">
        <f t="shared" si="10"/>
        <v>13.392000000000001</v>
      </c>
      <c r="M8" s="15">
        <v>57.7</v>
      </c>
      <c r="N8" s="15">
        <v>68.400000000000006</v>
      </c>
      <c r="O8" s="24">
        <f t="shared" si="11"/>
        <v>73.052000000000007</v>
      </c>
      <c r="P8" s="24">
        <f t="shared" si="12"/>
        <v>18.263000000000002</v>
      </c>
      <c r="Q8" s="15">
        <v>12.1</v>
      </c>
      <c r="R8" s="24">
        <f t="shared" si="13"/>
        <v>15.004</v>
      </c>
      <c r="S8" s="24">
        <f t="shared" si="4"/>
        <v>19008.919999999998</v>
      </c>
      <c r="T8" s="24">
        <f t="shared" si="5"/>
        <v>950.44599999999991</v>
      </c>
      <c r="U8" s="24">
        <f t="shared" si="6"/>
        <v>950.44599999999991</v>
      </c>
      <c r="V8" s="191">
        <v>800</v>
      </c>
      <c r="W8" s="24">
        <f t="shared" si="7"/>
        <v>13306.243999999999</v>
      </c>
      <c r="X8" s="24">
        <f t="shared" si="8"/>
        <v>665.31219999999985</v>
      </c>
      <c r="Y8" s="15">
        <v>1.3</v>
      </c>
      <c r="Z8" s="24">
        <f t="shared" si="9"/>
        <v>1.6120000000000001</v>
      </c>
    </row>
    <row r="9" spans="1:26" x14ac:dyDescent="0.25">
      <c r="A9" s="23" t="s">
        <v>131</v>
      </c>
      <c r="B9" s="15">
        <v>17691</v>
      </c>
      <c r="C9" s="24">
        <f t="shared" si="0"/>
        <v>20521.559999999998</v>
      </c>
      <c r="D9" s="24">
        <f t="shared" si="1"/>
        <v>1026.078</v>
      </c>
      <c r="E9" s="15">
        <v>960</v>
      </c>
      <c r="F9" s="22">
        <v>5.0000000000000001E-3</v>
      </c>
      <c r="G9" s="15">
        <v>131.6</v>
      </c>
      <c r="H9" s="15">
        <v>151.80000000000001</v>
      </c>
      <c r="I9" s="24">
        <f t="shared" si="2"/>
        <v>164.32300000000001</v>
      </c>
      <c r="J9" s="24">
        <f t="shared" si="3"/>
        <v>112.12857142857142</v>
      </c>
      <c r="K9" s="15">
        <v>13.1</v>
      </c>
      <c r="L9" s="24">
        <f t="shared" si="10"/>
        <v>16.244</v>
      </c>
      <c r="M9" s="15">
        <v>67</v>
      </c>
      <c r="N9" s="15">
        <v>82.2</v>
      </c>
      <c r="O9" s="24">
        <f t="shared" si="11"/>
        <v>86.338999999999999</v>
      </c>
      <c r="P9" s="24">
        <f t="shared" si="12"/>
        <v>21.58475</v>
      </c>
      <c r="Q9" s="15">
        <v>17.5</v>
      </c>
      <c r="R9" s="24">
        <f t="shared" si="13"/>
        <v>21.7</v>
      </c>
      <c r="S9" s="24">
        <f t="shared" si="4"/>
        <v>20521.559999999998</v>
      </c>
      <c r="T9" s="24">
        <f t="shared" si="5"/>
        <v>1026.078</v>
      </c>
      <c r="U9" s="24">
        <f t="shared" si="6"/>
        <v>1026.078</v>
      </c>
      <c r="V9" s="191">
        <v>800</v>
      </c>
      <c r="W9" s="24">
        <f t="shared" si="7"/>
        <v>14365.091999999997</v>
      </c>
      <c r="X9" s="24">
        <f t="shared" si="8"/>
        <v>718.25459999999998</v>
      </c>
      <c r="Y9" s="15">
        <v>1.5</v>
      </c>
      <c r="Z9" s="24">
        <f t="shared" si="9"/>
        <v>1.8599999999999999</v>
      </c>
    </row>
    <row r="10" spans="1:26" x14ac:dyDescent="0.25">
      <c r="A10" s="23" t="s">
        <v>402</v>
      </c>
      <c r="B10" s="15">
        <v>16583</v>
      </c>
      <c r="C10" s="24">
        <f t="shared" si="0"/>
        <v>19236.28</v>
      </c>
      <c r="D10" s="24">
        <f t="shared" si="1"/>
        <v>961.81399999999996</v>
      </c>
      <c r="E10" s="15">
        <v>1000</v>
      </c>
      <c r="F10" s="22">
        <v>5.0000000000000001E-3</v>
      </c>
      <c r="G10" s="15">
        <v>117</v>
      </c>
      <c r="H10" s="15">
        <v>162.6</v>
      </c>
      <c r="I10" s="24">
        <f t="shared" si="2"/>
        <v>161.15700000000001</v>
      </c>
      <c r="J10" s="24">
        <f t="shared" si="3"/>
        <v>100.45649350649353</v>
      </c>
      <c r="K10" s="15">
        <v>8.1999999999999993</v>
      </c>
      <c r="L10" s="24">
        <f t="shared" si="10"/>
        <v>10.167999999999999</v>
      </c>
      <c r="M10" s="15">
        <v>59.8</v>
      </c>
      <c r="N10" s="15">
        <v>73.900000000000006</v>
      </c>
      <c r="O10" s="24">
        <f t="shared" si="11"/>
        <v>77.351500000000016</v>
      </c>
      <c r="P10" s="24">
        <f t="shared" si="12"/>
        <v>19.337875000000004</v>
      </c>
      <c r="Q10" s="15">
        <v>13.2</v>
      </c>
      <c r="R10" s="24">
        <f t="shared" si="13"/>
        <v>16.367999999999999</v>
      </c>
      <c r="S10" s="24">
        <f t="shared" si="4"/>
        <v>19236.28</v>
      </c>
      <c r="T10" s="24">
        <f t="shared" si="5"/>
        <v>961.81399999999996</v>
      </c>
      <c r="U10" s="24">
        <f t="shared" si="6"/>
        <v>961.81399999999996</v>
      </c>
      <c r="V10" s="191">
        <v>833</v>
      </c>
      <c r="W10" s="24">
        <f t="shared" si="7"/>
        <v>13465.395999999999</v>
      </c>
      <c r="X10" s="24">
        <f t="shared" si="8"/>
        <v>673.26979999999992</v>
      </c>
      <c r="Y10" s="15">
        <v>0.9</v>
      </c>
      <c r="Z10" s="24">
        <f t="shared" si="9"/>
        <v>1.1160000000000001</v>
      </c>
    </row>
    <row r="11" spans="1:26" x14ac:dyDescent="0.25">
      <c r="A11" s="23" t="s">
        <v>544</v>
      </c>
      <c r="B11" s="15">
        <v>11572</v>
      </c>
      <c r="C11" s="24">
        <f t="shared" si="0"/>
        <v>13423.519999999999</v>
      </c>
      <c r="D11" s="24">
        <f t="shared" si="1"/>
        <v>671.17599999999993</v>
      </c>
      <c r="E11" s="15">
        <v>500</v>
      </c>
      <c r="F11" s="22">
        <v>5.0000000000000001E-3</v>
      </c>
      <c r="G11" s="15">
        <v>53.8</v>
      </c>
      <c r="H11" s="15">
        <v>75.599999999999994</v>
      </c>
      <c r="I11" s="24">
        <f t="shared" si="2"/>
        <v>74.557999999999993</v>
      </c>
      <c r="J11" s="24">
        <f t="shared" si="3"/>
        <v>50.974675324675324</v>
      </c>
      <c r="L11" s="24">
        <f t="shared" si="10"/>
        <v>0</v>
      </c>
      <c r="M11" s="15">
        <v>26.3</v>
      </c>
      <c r="N11" s="15">
        <v>42.1</v>
      </c>
      <c r="O11" s="24">
        <f t="shared" si="11"/>
        <v>39.250500000000002</v>
      </c>
      <c r="P11" s="24">
        <f t="shared" si="12"/>
        <v>9.8126250000000006</v>
      </c>
      <c r="Q11" s="15">
        <v>7</v>
      </c>
      <c r="R11" s="24">
        <f t="shared" si="13"/>
        <v>8.68</v>
      </c>
      <c r="S11" s="24">
        <f t="shared" si="4"/>
        <v>13423.519999999999</v>
      </c>
      <c r="T11" s="24">
        <f t="shared" si="5"/>
        <v>671.17599999999993</v>
      </c>
      <c r="U11" s="24">
        <f t="shared" si="6"/>
        <v>671.17599999999993</v>
      </c>
      <c r="V11" s="15">
        <v>420</v>
      </c>
      <c r="W11" s="24">
        <f t="shared" si="7"/>
        <v>9396.4639999999981</v>
      </c>
      <c r="X11" s="24">
        <f t="shared" si="8"/>
        <v>469.82319999999993</v>
      </c>
      <c r="Y11" s="15">
        <v>1</v>
      </c>
      <c r="Z11" s="24">
        <f t="shared" si="9"/>
        <v>1.24</v>
      </c>
    </row>
    <row r="12" spans="1:26" s="306" customFormat="1" x14ac:dyDescent="0.25">
      <c r="A12" s="305" t="s">
        <v>546</v>
      </c>
      <c r="B12" s="306">
        <v>16272.241379310346</v>
      </c>
      <c r="C12" s="306">
        <f t="shared" si="0"/>
        <v>18875.8</v>
      </c>
      <c r="D12" s="306">
        <f t="shared" si="1"/>
        <v>943.79</v>
      </c>
      <c r="E12" s="306">
        <v>750</v>
      </c>
      <c r="F12" s="316">
        <v>5.0000000000000001E-3</v>
      </c>
      <c r="G12" s="306">
        <v>69.570967741935448</v>
      </c>
      <c r="H12" s="306">
        <v>94.8</v>
      </c>
      <c r="I12" s="306">
        <f t="shared" si="2"/>
        <v>94.799999999999983</v>
      </c>
      <c r="L12" s="307">
        <f t="shared" si="10"/>
        <v>0</v>
      </c>
      <c r="O12" s="307">
        <f t="shared" si="11"/>
        <v>0</v>
      </c>
      <c r="P12" s="307">
        <f t="shared" si="12"/>
        <v>0</v>
      </c>
      <c r="R12" s="307">
        <f t="shared" si="13"/>
        <v>0</v>
      </c>
      <c r="S12" s="306">
        <f t="shared" si="4"/>
        <v>18875.8</v>
      </c>
      <c r="T12" s="306">
        <f t="shared" si="5"/>
        <v>943.79</v>
      </c>
      <c r="U12" s="306">
        <f t="shared" si="6"/>
        <v>943.79</v>
      </c>
      <c r="W12" s="306">
        <f t="shared" si="7"/>
        <v>13213.06</v>
      </c>
      <c r="X12" s="306">
        <f t="shared" si="8"/>
        <v>660.65299999999991</v>
      </c>
      <c r="Z12" s="307">
        <f t="shared" si="9"/>
        <v>0</v>
      </c>
    </row>
    <row r="13" spans="1:26" x14ac:dyDescent="0.25">
      <c r="A13" s="23" t="s">
        <v>541</v>
      </c>
      <c r="B13" s="15">
        <v>11565</v>
      </c>
      <c r="C13" s="24">
        <f t="shared" ref="C13:C15" si="14">B13*(1+(2*(20-12)/100))</f>
        <v>13415.4</v>
      </c>
      <c r="D13" s="24">
        <f t="shared" ref="D13:D15" si="15">C13/20</f>
        <v>670.77</v>
      </c>
      <c r="E13" s="15">
        <v>770</v>
      </c>
      <c r="F13" s="22">
        <v>5.0000000000000001E-3</v>
      </c>
      <c r="G13" s="15">
        <v>68</v>
      </c>
      <c r="H13" s="317">
        <v>75.599999999999994</v>
      </c>
      <c r="I13" s="24">
        <f t="shared" ref="I13:I14" si="16">((G13*(1+(3*(20-12)/100)))+(H13*(1+(3*(15-12)/100))))/2</f>
        <v>83.361999999999995</v>
      </c>
      <c r="J13" s="24">
        <f t="shared" ref="J13:J14" si="17">O13/0.77</f>
        <v>57.174675324675327</v>
      </c>
      <c r="K13" s="15">
        <v>0</v>
      </c>
      <c r="L13" s="24">
        <f t="shared" ref="L13:L14" si="18">(K13*(1+(3*(20-12)/100)))</f>
        <v>0</v>
      </c>
      <c r="M13" s="15">
        <v>34</v>
      </c>
      <c r="N13" s="317">
        <v>42.1</v>
      </c>
      <c r="O13" s="24">
        <f t="shared" ref="O13:O14" si="19">((M13*(1+(3*(20-12)/100)))+(N13*(1+(3*(15-12)/100))))/2</f>
        <v>44.024500000000003</v>
      </c>
      <c r="P13" s="24">
        <f t="shared" ref="P13:P14" si="20">0.25*O13</f>
        <v>11.006125000000001</v>
      </c>
      <c r="Q13" s="15">
        <v>6</v>
      </c>
      <c r="R13" s="24">
        <f t="shared" ref="R13:R14" si="21">(Q13*(1+(3*(20-12)/100)))</f>
        <v>7.4399999999999995</v>
      </c>
      <c r="S13" s="24">
        <f t="shared" ref="S13:S15" si="22">C13</f>
        <v>13415.4</v>
      </c>
      <c r="T13" s="24">
        <f t="shared" ref="T13:T15" si="23">S13/20</f>
        <v>670.77</v>
      </c>
      <c r="U13" s="24">
        <f t="shared" ref="U13:U15" si="24">D13</f>
        <v>670.77</v>
      </c>
      <c r="V13" s="15">
        <v>420</v>
      </c>
      <c r="W13" s="24">
        <f t="shared" ref="W13:W15" si="25">0.7*S13</f>
        <v>9390.7799999999988</v>
      </c>
      <c r="X13" s="24">
        <f t="shared" ref="X13:X15" si="26">0.7*U13</f>
        <v>469.53899999999993</v>
      </c>
      <c r="Y13" s="15">
        <v>1</v>
      </c>
      <c r="Z13" s="24">
        <f t="shared" ref="Z13:Z14" si="27">(Y13*(1+(3*(20-12)/100)))</f>
        <v>1.24</v>
      </c>
    </row>
    <row r="14" spans="1:26" x14ac:dyDescent="0.25">
      <c r="A14" s="23" t="s">
        <v>549</v>
      </c>
      <c r="B14" s="15">
        <v>14073</v>
      </c>
      <c r="C14" s="24">
        <f t="shared" si="14"/>
        <v>16324.679999999998</v>
      </c>
      <c r="D14" s="24">
        <f t="shared" si="15"/>
        <v>816.23399999999992</v>
      </c>
      <c r="E14" s="15">
        <v>1090</v>
      </c>
      <c r="F14" s="22">
        <v>5.0000000000000001E-3</v>
      </c>
      <c r="G14" s="15">
        <v>99.7</v>
      </c>
      <c r="H14" s="15">
        <v>138.1</v>
      </c>
      <c r="I14" s="24">
        <f t="shared" si="16"/>
        <v>137.07849999999999</v>
      </c>
      <c r="J14" s="24">
        <f t="shared" si="17"/>
        <v>109.7590909090909</v>
      </c>
      <c r="K14" s="15">
        <v>8.5</v>
      </c>
      <c r="L14" s="24">
        <f t="shared" si="18"/>
        <v>10.54</v>
      </c>
      <c r="M14" s="15">
        <v>65.2</v>
      </c>
      <c r="N14" s="15">
        <v>80.900000000000006</v>
      </c>
      <c r="O14" s="24">
        <f t="shared" si="19"/>
        <v>84.514499999999998</v>
      </c>
      <c r="P14" s="24">
        <f t="shared" si="20"/>
        <v>21.128625</v>
      </c>
      <c r="Q14" s="15">
        <v>13.1</v>
      </c>
      <c r="R14" s="24">
        <f t="shared" si="21"/>
        <v>16.244</v>
      </c>
      <c r="S14" s="24">
        <f t="shared" si="22"/>
        <v>16324.679999999998</v>
      </c>
      <c r="T14" s="24">
        <f t="shared" si="23"/>
        <v>816.23399999999992</v>
      </c>
      <c r="U14" s="24">
        <f t="shared" si="24"/>
        <v>816.23399999999992</v>
      </c>
      <c r="V14" s="15">
        <v>830</v>
      </c>
      <c r="W14" s="24">
        <f t="shared" si="25"/>
        <v>11427.275999999998</v>
      </c>
      <c r="X14" s="24">
        <f t="shared" si="26"/>
        <v>571.36379999999986</v>
      </c>
      <c r="Y14" s="15">
        <v>1.1000000000000001</v>
      </c>
      <c r="Z14" s="24">
        <f t="shared" si="27"/>
        <v>1.3640000000000001</v>
      </c>
    </row>
    <row r="15" spans="1:26" x14ac:dyDescent="0.25">
      <c r="A15" s="23" t="s">
        <v>554</v>
      </c>
      <c r="B15" s="15">
        <v>9312.7999999999993</v>
      </c>
      <c r="C15" s="15">
        <f t="shared" si="14"/>
        <v>10802.847999999998</v>
      </c>
      <c r="D15" s="15">
        <f t="shared" si="15"/>
        <v>540.14239999999995</v>
      </c>
      <c r="E15" s="15">
        <v>645</v>
      </c>
      <c r="F15" s="22">
        <v>5.0000000000000001E-3</v>
      </c>
      <c r="S15" s="15">
        <f t="shared" si="22"/>
        <v>10802.847999999998</v>
      </c>
      <c r="T15" s="15">
        <f t="shared" si="23"/>
        <v>540.14239999999995</v>
      </c>
      <c r="U15" s="15">
        <f t="shared" si="24"/>
        <v>540.14239999999995</v>
      </c>
      <c r="W15" s="15">
        <f t="shared" si="25"/>
        <v>7561.993599999998</v>
      </c>
      <c r="X15" s="15">
        <f t="shared" si="26"/>
        <v>378.09967999999992</v>
      </c>
    </row>
  </sheetData>
  <sortState ref="A4:Z10">
    <sortCondition ref="A4"/>
  </sortState>
  <mergeCells count="1">
    <mergeCell ref="B1:F1"/>
  </mergeCells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4"/>
  <dimension ref="A1:E15"/>
  <sheetViews>
    <sheetView workbookViewId="0">
      <selection activeCell="F3" sqref="F3"/>
    </sheetView>
  </sheetViews>
  <sheetFormatPr defaultRowHeight="60" customHeight="1" x14ac:dyDescent="0.25"/>
  <cols>
    <col min="1" max="1" width="12.28515625" style="7" bestFit="1" customWidth="1"/>
    <col min="2" max="2" width="50.7109375" style="38" customWidth="1"/>
    <col min="3" max="3" width="2.5703125" customWidth="1"/>
    <col min="4" max="4" width="20.7109375" bestFit="1" customWidth="1"/>
    <col min="5" max="5" width="9.5703125" customWidth="1"/>
  </cols>
  <sheetData>
    <row r="1" spans="1:5" ht="15" x14ac:dyDescent="0.25">
      <c r="A1" s="31" t="s">
        <v>81</v>
      </c>
      <c r="B1" s="37" t="s">
        <v>82</v>
      </c>
      <c r="D1" s="182" t="s">
        <v>439</v>
      </c>
      <c r="E1" s="182" t="s">
        <v>440</v>
      </c>
    </row>
    <row r="2" spans="1:5" ht="60" customHeight="1" x14ac:dyDescent="0.25">
      <c r="A2" s="32" t="s">
        <v>40</v>
      </c>
      <c r="D2" t="s">
        <v>157</v>
      </c>
    </row>
    <row r="3" spans="1:5" ht="60" customHeight="1" x14ac:dyDescent="0.25">
      <c r="A3" s="33" t="s">
        <v>72</v>
      </c>
      <c r="D3" t="s">
        <v>168</v>
      </c>
    </row>
    <row r="4" spans="1:5" ht="60" customHeight="1" x14ac:dyDescent="0.25">
      <c r="A4" s="32" t="s">
        <v>39</v>
      </c>
    </row>
    <row r="5" spans="1:5" ht="60" customHeight="1" x14ac:dyDescent="0.25">
      <c r="A5" s="32" t="s">
        <v>21</v>
      </c>
    </row>
    <row r="6" spans="1:5" ht="60" customHeight="1" x14ac:dyDescent="0.25">
      <c r="A6" s="32" t="s">
        <v>131</v>
      </c>
    </row>
    <row r="7" spans="1:5" ht="60" customHeight="1" x14ac:dyDescent="0.25">
      <c r="A7" s="32" t="s">
        <v>402</v>
      </c>
    </row>
    <row r="8" spans="1:5" ht="60" customHeight="1" x14ac:dyDescent="0.25">
      <c r="A8" s="34" t="s">
        <v>73</v>
      </c>
    </row>
    <row r="9" spans="1:5" ht="60" customHeight="1" x14ac:dyDescent="0.25">
      <c r="A9" s="34" t="s">
        <v>76</v>
      </c>
    </row>
    <row r="10" spans="1:5" ht="60" customHeight="1" x14ac:dyDescent="0.25">
      <c r="A10" s="34" t="s">
        <v>75</v>
      </c>
    </row>
    <row r="11" spans="1:5" ht="60" customHeight="1" x14ac:dyDescent="0.25">
      <c r="A11" s="35" t="s">
        <v>74</v>
      </c>
    </row>
    <row r="12" spans="1:5" ht="60" customHeight="1" x14ac:dyDescent="0.25">
      <c r="A12" s="35" t="s">
        <v>77</v>
      </c>
    </row>
    <row r="13" spans="1:5" ht="60" customHeight="1" x14ac:dyDescent="0.25">
      <c r="A13" s="35" t="s">
        <v>78</v>
      </c>
    </row>
    <row r="14" spans="1:5" ht="60" customHeight="1" x14ac:dyDescent="0.25">
      <c r="A14" s="35" t="s">
        <v>79</v>
      </c>
    </row>
    <row r="15" spans="1:5" ht="60" customHeight="1" x14ac:dyDescent="0.25">
      <c r="A15" s="35" t="s">
        <v>80</v>
      </c>
    </row>
  </sheetData>
  <sortState ref="A2:B14">
    <sortCondition ref="A1"/>
  </sortState>
  <pageMargins left="0.511811024" right="0.511811024" top="0.78740157499999996" bottom="0.78740157499999996" header="0.31496062000000002" footer="0.31496062000000002"/>
  <pageSetup paperSize="9" orientation="portrait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5"/>
  <dimension ref="A1:R209"/>
  <sheetViews>
    <sheetView workbookViewId="0">
      <selection activeCell="K15" sqref="K15"/>
    </sheetView>
  </sheetViews>
  <sheetFormatPr defaultRowHeight="15" x14ac:dyDescent="0.25"/>
  <cols>
    <col min="1" max="1" width="4" bestFit="1" customWidth="1"/>
    <col min="2" max="2" width="56.5703125" customWidth="1"/>
    <col min="3" max="3" width="17.5703125" bestFit="1" customWidth="1"/>
    <col min="4" max="4" width="12.28515625" bestFit="1" customWidth="1"/>
    <col min="5" max="5" width="2.5703125" customWidth="1"/>
    <col min="6" max="6" width="3" bestFit="1" customWidth="1"/>
    <col min="7" max="7" width="22.28515625" bestFit="1" customWidth="1"/>
    <col min="8" max="8" width="2.7109375" customWidth="1"/>
    <col min="9" max="9" width="3" bestFit="1" customWidth="1"/>
    <col min="10" max="10" width="37.5703125" bestFit="1" customWidth="1"/>
    <col min="11" max="11" width="8.28515625" style="2" bestFit="1" customWidth="1"/>
    <col min="12" max="12" width="4.5703125" bestFit="1" customWidth="1"/>
    <col min="13" max="13" width="2.5703125" customWidth="1"/>
  </cols>
  <sheetData>
    <row r="1" spans="2:18" ht="15.75" thickBot="1" x14ac:dyDescent="0.3">
      <c r="B1" s="498" t="s">
        <v>83</v>
      </c>
      <c r="C1" s="499"/>
      <c r="D1" s="500"/>
      <c r="F1" s="484" t="s">
        <v>139</v>
      </c>
      <c r="G1" s="484"/>
      <c r="H1" s="87"/>
      <c r="I1" s="485" t="s">
        <v>157</v>
      </c>
      <c r="J1" s="485"/>
      <c r="O1" s="494" t="s">
        <v>304</v>
      </c>
      <c r="P1" s="495"/>
      <c r="Q1" s="496"/>
    </row>
    <row r="2" spans="2:18" ht="15.75" thickBot="1" x14ac:dyDescent="0.3">
      <c r="B2" s="46">
        <v>1</v>
      </c>
      <c r="C2" s="29" t="s">
        <v>84</v>
      </c>
      <c r="D2" s="39">
        <v>0.6</v>
      </c>
      <c r="F2" s="29">
        <v>1</v>
      </c>
      <c r="G2" s="29" t="s">
        <v>140</v>
      </c>
      <c r="H2" s="7"/>
      <c r="I2" s="29">
        <v>1</v>
      </c>
      <c r="J2" s="84" t="s">
        <v>170</v>
      </c>
      <c r="K2" s="89">
        <f>'VIGAS BIAPOIADAS'!B63</f>
        <v>5</v>
      </c>
      <c r="L2" t="s">
        <v>169</v>
      </c>
      <c r="O2" s="121" t="s">
        <v>305</v>
      </c>
      <c r="P2" s="122" t="s">
        <v>306</v>
      </c>
      <c r="Q2" s="123" t="s">
        <v>307</v>
      </c>
    </row>
    <row r="3" spans="2:18" x14ac:dyDescent="0.25">
      <c r="B3" s="46">
        <v>2</v>
      </c>
      <c r="C3" s="29" t="s">
        <v>85</v>
      </c>
      <c r="D3" s="39">
        <v>0.7</v>
      </c>
      <c r="F3" s="29">
        <v>2</v>
      </c>
      <c r="G3" s="29" t="s">
        <v>141</v>
      </c>
      <c r="H3" s="7"/>
      <c r="I3" s="29">
        <v>2</v>
      </c>
      <c r="J3" s="84" t="s">
        <v>171</v>
      </c>
      <c r="K3" s="89">
        <f>'VIGAS BIAPOIADAS'!B64</f>
        <v>11</v>
      </c>
      <c r="L3" t="s">
        <v>169</v>
      </c>
      <c r="N3" s="124">
        <v>1</v>
      </c>
      <c r="O3" s="125">
        <v>0.6</v>
      </c>
      <c r="P3" s="125">
        <v>0.5</v>
      </c>
      <c r="Q3" s="126">
        <v>0.3</v>
      </c>
      <c r="R3" t="s">
        <v>308</v>
      </c>
    </row>
    <row r="4" spans="2:18" ht="15.75" thickBot="1" x14ac:dyDescent="0.3">
      <c r="B4" s="46">
        <v>3</v>
      </c>
      <c r="C4" s="29" t="s">
        <v>86</v>
      </c>
      <c r="D4" s="39">
        <v>0.8</v>
      </c>
      <c r="F4" s="29">
        <v>3</v>
      </c>
      <c r="G4" s="29" t="s">
        <v>175</v>
      </c>
      <c r="H4" s="7"/>
      <c r="I4" s="29">
        <v>3</v>
      </c>
      <c r="J4" s="85" t="s">
        <v>149</v>
      </c>
      <c r="K4" s="89">
        <f>SQRT(K5)</f>
        <v>7.0898154036220635</v>
      </c>
      <c r="L4" s="88" t="s">
        <v>169</v>
      </c>
      <c r="N4" s="47">
        <v>2</v>
      </c>
      <c r="O4" s="127">
        <v>0.5</v>
      </c>
      <c r="P4" s="127">
        <v>0.2</v>
      </c>
      <c r="Q4" s="128">
        <v>0</v>
      </c>
      <c r="R4" t="s">
        <v>309</v>
      </c>
    </row>
    <row r="5" spans="2:18" x14ac:dyDescent="0.25">
      <c r="B5" s="46">
        <v>4</v>
      </c>
      <c r="C5" s="29" t="s">
        <v>87</v>
      </c>
      <c r="D5" s="39">
        <v>0.9</v>
      </c>
      <c r="F5" s="29">
        <v>4</v>
      </c>
      <c r="G5" s="29" t="s">
        <v>142</v>
      </c>
      <c r="H5" s="7"/>
      <c r="I5" s="29">
        <v>4</v>
      </c>
      <c r="J5" s="85" t="s">
        <v>150</v>
      </c>
      <c r="K5" s="89">
        <f>PI()*MEDIAN(K2,K3)^2/4</f>
        <v>50.26548245743669</v>
      </c>
      <c r="L5" t="s">
        <v>172</v>
      </c>
      <c r="N5" s="124">
        <v>3</v>
      </c>
      <c r="O5" s="125">
        <v>0.4</v>
      </c>
      <c r="P5" s="125">
        <v>0.3</v>
      </c>
      <c r="Q5" s="126">
        <v>0.2</v>
      </c>
      <c r="R5" t="s">
        <v>310</v>
      </c>
    </row>
    <row r="6" spans="2:18" x14ac:dyDescent="0.25">
      <c r="B6" s="46">
        <v>5</v>
      </c>
      <c r="C6" s="29" t="s">
        <v>88</v>
      </c>
      <c r="D6" s="39">
        <v>1.1000000000000001</v>
      </c>
      <c r="F6" s="29">
        <v>5</v>
      </c>
      <c r="G6" s="29" t="s">
        <v>143</v>
      </c>
      <c r="H6" s="7"/>
      <c r="I6" s="29">
        <v>5</v>
      </c>
      <c r="J6" s="85" t="s">
        <v>151</v>
      </c>
      <c r="K6" s="89">
        <f>PI()*MEDIAN(K2,K3)^4/64</f>
        <v>201.06192982974676</v>
      </c>
      <c r="L6" t="s">
        <v>173</v>
      </c>
      <c r="N6" s="46">
        <v>4</v>
      </c>
      <c r="O6" s="129">
        <v>0.7</v>
      </c>
      <c r="P6" s="129">
        <v>0.6</v>
      </c>
      <c r="Q6" s="130">
        <v>0.4</v>
      </c>
      <c r="R6" t="s">
        <v>311</v>
      </c>
    </row>
    <row r="7" spans="2:18" ht="15.75" thickBot="1" x14ac:dyDescent="0.3">
      <c r="B7" s="47">
        <v>6</v>
      </c>
      <c r="C7" s="40" t="s">
        <v>89</v>
      </c>
      <c r="D7" s="41">
        <v>1</v>
      </c>
      <c r="F7" s="29">
        <v>6</v>
      </c>
      <c r="G7" s="29" t="s">
        <v>144</v>
      </c>
      <c r="H7" s="7"/>
      <c r="I7" s="29">
        <v>6</v>
      </c>
      <c r="J7" s="85" t="s">
        <v>152</v>
      </c>
      <c r="K7" s="89">
        <f>((K4)*(K4)^3)/12</f>
        <v>210.55156055657289</v>
      </c>
      <c r="L7" t="s">
        <v>173</v>
      </c>
      <c r="N7" s="47">
        <v>5</v>
      </c>
      <c r="O7" s="127">
        <v>0.8</v>
      </c>
      <c r="P7" s="127">
        <v>0.7</v>
      </c>
      <c r="Q7" s="128">
        <v>0.6</v>
      </c>
      <c r="R7" t="s">
        <v>312</v>
      </c>
    </row>
    <row r="8" spans="2:18" x14ac:dyDescent="0.25">
      <c r="B8" s="498" t="s">
        <v>90</v>
      </c>
      <c r="C8" s="499"/>
      <c r="D8" s="500"/>
      <c r="F8" s="29">
        <v>7</v>
      </c>
      <c r="G8" s="29" t="s">
        <v>145</v>
      </c>
      <c r="H8" s="7"/>
      <c r="I8" s="29">
        <v>7</v>
      </c>
      <c r="J8" s="85" t="s">
        <v>153</v>
      </c>
      <c r="K8" s="89">
        <f>PI()*MEDIAN(K2,K3)^3/32</f>
        <v>50.26548245743669</v>
      </c>
      <c r="L8" t="s">
        <v>174</v>
      </c>
      <c r="N8" s="124">
        <v>6</v>
      </c>
      <c r="O8" s="125">
        <v>0.4</v>
      </c>
      <c r="P8" s="125">
        <v>0.3</v>
      </c>
      <c r="Q8" s="126">
        <v>0.2</v>
      </c>
      <c r="R8" t="s">
        <v>313</v>
      </c>
    </row>
    <row r="9" spans="2:18" x14ac:dyDescent="0.25">
      <c r="B9" s="46">
        <v>1</v>
      </c>
      <c r="C9" s="29" t="s">
        <v>91</v>
      </c>
      <c r="D9" s="42">
        <v>1</v>
      </c>
      <c r="F9" s="29">
        <v>8</v>
      </c>
      <c r="G9" s="29" t="s">
        <v>146</v>
      </c>
      <c r="H9" s="7"/>
      <c r="I9" s="29">
        <v>8</v>
      </c>
      <c r="J9" s="85" t="s">
        <v>158</v>
      </c>
      <c r="K9" s="89">
        <f>((K4)*(K4)^2)/6</f>
        <v>59.395498632871529</v>
      </c>
      <c r="L9" t="s">
        <v>174</v>
      </c>
      <c r="N9" s="46">
        <v>7</v>
      </c>
      <c r="O9" s="129">
        <v>0.6</v>
      </c>
      <c r="P9" s="129">
        <v>0.4</v>
      </c>
      <c r="Q9" s="130">
        <v>0.2</v>
      </c>
      <c r="R9" t="s">
        <v>314</v>
      </c>
    </row>
    <row r="10" spans="2:18" ht="15.75" thickBot="1" x14ac:dyDescent="0.3">
      <c r="B10" s="46">
        <v>2</v>
      </c>
      <c r="C10" s="29" t="s">
        <v>92</v>
      </c>
      <c r="D10" s="42">
        <v>1</v>
      </c>
      <c r="F10" s="29">
        <v>9</v>
      </c>
      <c r="G10" s="29" t="s">
        <v>147</v>
      </c>
      <c r="H10" s="7"/>
      <c r="I10" s="29">
        <v>9</v>
      </c>
      <c r="J10" s="85" t="s">
        <v>154</v>
      </c>
      <c r="K10" s="89">
        <f>MEDIAN(K2,K3)^3/12</f>
        <v>42.666666666666664</v>
      </c>
      <c r="L10" t="s">
        <v>174</v>
      </c>
      <c r="N10" s="47">
        <v>8</v>
      </c>
      <c r="O10" s="127">
        <v>0.8</v>
      </c>
      <c r="P10" s="127">
        <v>0.6</v>
      </c>
      <c r="Q10" s="128">
        <v>0.4</v>
      </c>
      <c r="R10" t="s">
        <v>315</v>
      </c>
    </row>
    <row r="11" spans="2:18" x14ac:dyDescent="0.25">
      <c r="B11" s="46">
        <v>3</v>
      </c>
      <c r="C11" s="29" t="s">
        <v>93</v>
      </c>
      <c r="D11" s="42">
        <v>0.8</v>
      </c>
      <c r="F11" s="29">
        <v>10</v>
      </c>
      <c r="G11" s="29" t="s">
        <v>148</v>
      </c>
      <c r="H11" s="7"/>
      <c r="I11" s="29">
        <v>10</v>
      </c>
      <c r="J11" s="85" t="s">
        <v>155</v>
      </c>
      <c r="K11" s="89">
        <f>K4^3/8</f>
        <v>44.546623974653649</v>
      </c>
      <c r="L11" t="s">
        <v>174</v>
      </c>
    </row>
    <row r="12" spans="2:18" x14ac:dyDescent="0.25">
      <c r="B12" s="46">
        <v>4</v>
      </c>
      <c r="C12" s="29" t="s">
        <v>94</v>
      </c>
      <c r="D12" s="42">
        <v>0.8</v>
      </c>
      <c r="I12" s="29">
        <v>11</v>
      </c>
      <c r="J12" s="85" t="s">
        <v>156</v>
      </c>
      <c r="K12" s="89">
        <f>SQRT(K6/K5)</f>
        <v>2</v>
      </c>
      <c r="L12" t="s">
        <v>169</v>
      </c>
    </row>
    <row r="13" spans="2:18" ht="15.75" thickBot="1" x14ac:dyDescent="0.3">
      <c r="B13" s="47">
        <v>5</v>
      </c>
      <c r="C13" s="40" t="s">
        <v>95</v>
      </c>
      <c r="D13" s="43">
        <v>0.65</v>
      </c>
      <c r="F13" s="501" t="s">
        <v>380</v>
      </c>
      <c r="G13" s="501"/>
      <c r="I13" s="96">
        <v>12</v>
      </c>
      <c r="J13" s="97" t="s">
        <v>178</v>
      </c>
      <c r="K13" s="89">
        <f>K4/2</f>
        <v>3.5449077018110318</v>
      </c>
      <c r="L13" t="s">
        <v>169</v>
      </c>
    </row>
    <row r="14" spans="2:18" x14ac:dyDescent="0.25">
      <c r="B14" s="498" t="s">
        <v>96</v>
      </c>
      <c r="C14" s="499"/>
      <c r="D14" s="500"/>
      <c r="F14" s="29">
        <v>1</v>
      </c>
      <c r="G14" s="29">
        <v>100</v>
      </c>
      <c r="I14" s="96">
        <v>13</v>
      </c>
      <c r="J14" s="97" t="s">
        <v>185</v>
      </c>
      <c r="K14" s="89">
        <f>K4/2</f>
        <v>3.5449077018110318</v>
      </c>
      <c r="L14" t="s">
        <v>169</v>
      </c>
    </row>
    <row r="15" spans="2:18" x14ac:dyDescent="0.25">
      <c r="B15" s="46">
        <v>1</v>
      </c>
      <c r="C15" s="29" t="s">
        <v>97</v>
      </c>
      <c r="D15" s="42">
        <v>1</v>
      </c>
      <c r="F15" s="29">
        <v>2</v>
      </c>
      <c r="G15" s="29">
        <v>150</v>
      </c>
      <c r="K15" s="89"/>
    </row>
    <row r="16" spans="2:18" x14ac:dyDescent="0.25">
      <c r="B16" s="46">
        <v>2</v>
      </c>
      <c r="C16" s="29" t="s">
        <v>98</v>
      </c>
      <c r="D16" s="42">
        <v>0.8</v>
      </c>
      <c r="F16" s="29">
        <v>3</v>
      </c>
      <c r="G16" s="29">
        <v>175</v>
      </c>
      <c r="I16" s="485" t="s">
        <v>168</v>
      </c>
      <c r="J16" s="485"/>
    </row>
    <row r="17" spans="2:12" x14ac:dyDescent="0.25">
      <c r="B17" s="46">
        <v>3</v>
      </c>
      <c r="C17" s="29" t="s">
        <v>99</v>
      </c>
      <c r="D17" s="42">
        <v>0.8</v>
      </c>
      <c r="F17" s="29">
        <v>4</v>
      </c>
      <c r="G17" s="29">
        <v>200</v>
      </c>
      <c r="I17" s="29">
        <v>1</v>
      </c>
      <c r="J17" s="84" t="s">
        <v>159</v>
      </c>
      <c r="K17" s="89">
        <f>'VIGAS BIAPOIADAS'!B63</f>
        <v>5</v>
      </c>
      <c r="L17" t="s">
        <v>169</v>
      </c>
    </row>
    <row r="18" spans="2:12" x14ac:dyDescent="0.25">
      <c r="B18" s="46">
        <v>4</v>
      </c>
      <c r="C18" s="29" t="s">
        <v>100</v>
      </c>
      <c r="D18" s="42">
        <v>0.8</v>
      </c>
      <c r="F18" s="29">
        <v>5</v>
      </c>
      <c r="G18" s="29">
        <v>250</v>
      </c>
      <c r="I18" s="29">
        <v>2</v>
      </c>
      <c r="J18" s="84" t="s">
        <v>160</v>
      </c>
      <c r="K18" s="89">
        <f>'VIGAS BIAPOIADAS'!B64</f>
        <v>11</v>
      </c>
      <c r="L18" t="s">
        <v>169</v>
      </c>
    </row>
    <row r="19" spans="2:12" x14ac:dyDescent="0.25">
      <c r="B19" s="46">
        <v>5</v>
      </c>
      <c r="C19" s="29" t="s">
        <v>101</v>
      </c>
      <c r="D19" s="42">
        <v>1</v>
      </c>
      <c r="F19" s="29">
        <v>6</v>
      </c>
      <c r="G19" s="29">
        <v>300</v>
      </c>
      <c r="I19" s="29">
        <v>3</v>
      </c>
      <c r="J19" s="85" t="s">
        <v>150</v>
      </c>
      <c r="K19" s="89">
        <f>(K17)*(K18)</f>
        <v>55</v>
      </c>
      <c r="L19" t="s">
        <v>172</v>
      </c>
    </row>
    <row r="20" spans="2:12" ht="15.75" thickBot="1" x14ac:dyDescent="0.3">
      <c r="B20" s="47">
        <v>6</v>
      </c>
      <c r="C20" s="40" t="s">
        <v>102</v>
      </c>
      <c r="D20" s="43" t="e">
        <f>1-2000*(C22/C23)^2</f>
        <v>#DIV/0!</v>
      </c>
      <c r="F20" s="29">
        <v>7</v>
      </c>
      <c r="G20" s="29">
        <v>350</v>
      </c>
      <c r="I20" s="29">
        <v>4</v>
      </c>
      <c r="J20" s="85" t="s">
        <v>161</v>
      </c>
      <c r="K20" s="89">
        <f>((K17)*(K18)^3)/12</f>
        <v>554.58333333333337</v>
      </c>
      <c r="L20" t="s">
        <v>173</v>
      </c>
    </row>
    <row r="21" spans="2:12" x14ac:dyDescent="0.25">
      <c r="B21" s="3" t="s">
        <v>103</v>
      </c>
      <c r="C21" s="4"/>
      <c r="D21" s="5"/>
      <c r="F21" s="29">
        <v>8</v>
      </c>
      <c r="G21" s="29">
        <v>400</v>
      </c>
      <c r="I21" s="29">
        <v>5</v>
      </c>
      <c r="J21" s="85" t="s">
        <v>162</v>
      </c>
      <c r="K21" s="89">
        <f>((K18)*(K17)^3)/12</f>
        <v>114.58333333333333</v>
      </c>
      <c r="L21" t="s">
        <v>173</v>
      </c>
    </row>
    <row r="22" spans="2:12" x14ac:dyDescent="0.25">
      <c r="B22" s="6" t="s">
        <v>104</v>
      </c>
      <c r="C22" s="44">
        <f>'VIGAS BIAPOIADAS'!I18</f>
        <v>0</v>
      </c>
      <c r="D22" s="8"/>
      <c r="F22" s="29">
        <v>9</v>
      </c>
      <c r="G22" s="29">
        <v>450</v>
      </c>
      <c r="I22" s="29">
        <v>6</v>
      </c>
      <c r="J22" s="85" t="s">
        <v>163</v>
      </c>
      <c r="K22" s="89">
        <f>((K17)*(K18)^2)/6</f>
        <v>100.83333333333333</v>
      </c>
      <c r="L22" t="s">
        <v>174</v>
      </c>
    </row>
    <row r="23" spans="2:12" ht="15.75" thickBot="1" x14ac:dyDescent="0.3">
      <c r="B23" s="9" t="s">
        <v>105</v>
      </c>
      <c r="C23" s="45">
        <f>'VIGAS BIAPOIADAS'!I19</f>
        <v>0</v>
      </c>
      <c r="D23" s="11"/>
      <c r="F23" s="29">
        <v>10</v>
      </c>
      <c r="G23" s="29">
        <v>500</v>
      </c>
      <c r="I23" s="29">
        <v>7</v>
      </c>
      <c r="J23" s="85" t="s">
        <v>164</v>
      </c>
      <c r="K23" s="89">
        <f>((K18)*(K17)^2)/6</f>
        <v>45.833333333333336</v>
      </c>
      <c r="L23" t="s">
        <v>174</v>
      </c>
    </row>
    <row r="24" spans="2:12" x14ac:dyDescent="0.25">
      <c r="C24" s="44"/>
      <c r="D24" s="7"/>
      <c r="I24" s="29">
        <v>8</v>
      </c>
      <c r="J24" s="85" t="s">
        <v>165</v>
      </c>
      <c r="K24" s="89">
        <f>SQRT(K20/K19)</f>
        <v>3.1754264805429417</v>
      </c>
      <c r="L24" t="s">
        <v>169</v>
      </c>
    </row>
    <row r="25" spans="2:12" x14ac:dyDescent="0.25">
      <c r="C25" s="497" t="s">
        <v>194</v>
      </c>
      <c r="D25" s="497"/>
      <c r="I25" s="29">
        <v>9</v>
      </c>
      <c r="J25" s="85" t="s">
        <v>166</v>
      </c>
      <c r="K25" s="89">
        <f>SQRT(K21/K19)</f>
        <v>1.4433756729740643</v>
      </c>
      <c r="L25" t="s">
        <v>169</v>
      </c>
    </row>
    <row r="26" spans="2:12" x14ac:dyDescent="0.25">
      <c r="C26" s="86" t="s">
        <v>192</v>
      </c>
      <c r="D26" s="86" t="s">
        <v>193</v>
      </c>
      <c r="I26" s="29">
        <v>10</v>
      </c>
      <c r="J26" s="85" t="s">
        <v>167</v>
      </c>
      <c r="K26" s="89">
        <f>K17*K18^2/8</f>
        <v>75.625</v>
      </c>
      <c r="L26" t="s">
        <v>174</v>
      </c>
    </row>
    <row r="27" spans="2:12" x14ac:dyDescent="0.25">
      <c r="C27" s="90">
        <f>('VIGAS BIAPOIADAS'!B91*(-1))/100</f>
        <v>0</v>
      </c>
      <c r="D27" s="86">
        <f>TAN(RADIANS('VIGAS BIAPOIADAS'!$B$93))*C27</f>
        <v>0</v>
      </c>
      <c r="I27" s="99">
        <v>11</v>
      </c>
      <c r="J27" s="85" t="s">
        <v>178</v>
      </c>
      <c r="K27" s="89">
        <f>K18/2</f>
        <v>5.5</v>
      </c>
      <c r="L27" t="s">
        <v>169</v>
      </c>
    </row>
    <row r="28" spans="2:12" x14ac:dyDescent="0.25">
      <c r="C28" s="90">
        <f>('VIGAS BIAPOIADAS'!B91)/100+C27</f>
        <v>0</v>
      </c>
      <c r="D28" s="86">
        <f>TAN(RADIANS('VIGAS BIAPOIADAS'!$B$93))*C28</f>
        <v>0</v>
      </c>
      <c r="I28" s="99">
        <v>12</v>
      </c>
      <c r="J28" s="85" t="s">
        <v>185</v>
      </c>
      <c r="K28" s="89">
        <f>K18/2</f>
        <v>5.5</v>
      </c>
      <c r="L28" t="s">
        <v>169</v>
      </c>
    </row>
    <row r="29" spans="2:12" x14ac:dyDescent="0.25">
      <c r="C29" s="90">
        <f>('VIGAS BIAPOIADAS'!B90)/100+C28</f>
        <v>2</v>
      </c>
      <c r="D29" s="86">
        <f>TAN(RADIANS('VIGAS BIAPOIADAS'!$B$93))*C29</f>
        <v>0</v>
      </c>
    </row>
    <row r="30" spans="2:12" x14ac:dyDescent="0.25">
      <c r="C30" s="90">
        <f>C29+('VIGAS BIAPOIADAS'!B92/100)</f>
        <v>2</v>
      </c>
      <c r="D30" s="86">
        <f>TAN(RADIANS('VIGAS BIAPOIADAS'!$B$93))*C30</f>
        <v>0</v>
      </c>
      <c r="I30" s="485" t="s">
        <v>186</v>
      </c>
      <c r="J30" s="485"/>
    </row>
    <row r="31" spans="2:12" x14ac:dyDescent="0.25">
      <c r="I31" s="29">
        <v>1</v>
      </c>
      <c r="J31" s="84" t="s">
        <v>176</v>
      </c>
      <c r="K31" s="89">
        <f>'VIGAS BIAPOIADAS'!B63</f>
        <v>5</v>
      </c>
      <c r="L31" t="s">
        <v>169</v>
      </c>
    </row>
    <row r="32" spans="2:12" x14ac:dyDescent="0.25">
      <c r="I32" s="29">
        <v>2</v>
      </c>
      <c r="J32" s="84" t="s">
        <v>177</v>
      </c>
      <c r="K32" s="89">
        <f>'VIGAS BIAPOIADAS'!B64</f>
        <v>11</v>
      </c>
      <c r="L32" t="s">
        <v>169</v>
      </c>
    </row>
    <row r="33" spans="1:12" x14ac:dyDescent="0.25">
      <c r="B33" s="118" t="s">
        <v>220</v>
      </c>
      <c r="C33" s="118" t="s">
        <v>221</v>
      </c>
      <c r="I33" s="29">
        <v>3</v>
      </c>
      <c r="J33" s="84" t="s">
        <v>183</v>
      </c>
      <c r="K33" s="89">
        <f>'VIGAS BIAPOIADAS'!G63</f>
        <v>0</v>
      </c>
      <c r="L33" t="s">
        <v>169</v>
      </c>
    </row>
    <row r="34" spans="1:12" x14ac:dyDescent="0.25">
      <c r="A34">
        <v>1</v>
      </c>
      <c r="B34" s="29" t="s">
        <v>227</v>
      </c>
      <c r="C34" s="90">
        <v>0</v>
      </c>
      <c r="I34" s="29">
        <v>4</v>
      </c>
      <c r="J34" s="84" t="s">
        <v>184</v>
      </c>
      <c r="K34" s="89">
        <f>'VIGAS BIAPOIADAS'!G64</f>
        <v>0</v>
      </c>
      <c r="L34" t="s">
        <v>169</v>
      </c>
    </row>
    <row r="35" spans="1:12" x14ac:dyDescent="0.25">
      <c r="A35">
        <f>1+A34</f>
        <v>2</v>
      </c>
      <c r="B35" s="117" t="s">
        <v>224</v>
      </c>
      <c r="I35" s="29">
        <v>5</v>
      </c>
      <c r="J35" s="85" t="s">
        <v>150</v>
      </c>
      <c r="K35" s="89">
        <f>K31*K32+K33*K34</f>
        <v>55</v>
      </c>
      <c r="L35" t="s">
        <v>172</v>
      </c>
    </row>
    <row r="36" spans="1:12" x14ac:dyDescent="0.25">
      <c r="A36">
        <f t="shared" ref="A36:A64" si="0">1+A35</f>
        <v>3</v>
      </c>
      <c r="B36" s="29" t="s">
        <v>447</v>
      </c>
      <c r="C36" s="90">
        <v>25</v>
      </c>
      <c r="I36" s="29">
        <v>6</v>
      </c>
      <c r="J36" s="85" t="s">
        <v>178</v>
      </c>
      <c r="K36" s="89">
        <f>((K34*K33*(K34/2))+(K31*K32*(K32/2+K34)))/(K34*K33+K31*K32)</f>
        <v>5.5</v>
      </c>
      <c r="L36" t="s">
        <v>169</v>
      </c>
    </row>
    <row r="37" spans="1:12" x14ac:dyDescent="0.25">
      <c r="A37">
        <f t="shared" si="0"/>
        <v>4</v>
      </c>
      <c r="B37" s="29" t="s">
        <v>360</v>
      </c>
      <c r="C37" s="90">
        <v>10</v>
      </c>
      <c r="I37" s="29">
        <v>7</v>
      </c>
      <c r="J37" s="85" t="s">
        <v>185</v>
      </c>
      <c r="K37" s="89">
        <f>(K34+K32)-K36</f>
        <v>5.5</v>
      </c>
      <c r="L37" t="s">
        <v>169</v>
      </c>
    </row>
    <row r="38" spans="1:12" x14ac:dyDescent="0.25">
      <c r="A38">
        <f t="shared" si="0"/>
        <v>5</v>
      </c>
      <c r="B38" s="29" t="s">
        <v>436</v>
      </c>
      <c r="C38" s="90">
        <v>3</v>
      </c>
      <c r="I38" s="29">
        <v>8</v>
      </c>
      <c r="J38" s="85" t="s">
        <v>161</v>
      </c>
      <c r="K38" s="89">
        <f>(K33*K34^3/12)+(K31*K32^3/12)+((K33*K34*(K36-K34/2)^2))+((K31*K32*(K37-K32/2)^2))</f>
        <v>554.58333333333337</v>
      </c>
      <c r="L38" t="s">
        <v>173</v>
      </c>
    </row>
    <row r="39" spans="1:12" x14ac:dyDescent="0.25">
      <c r="A39">
        <f t="shared" si="0"/>
        <v>6</v>
      </c>
      <c r="B39" s="29" t="s">
        <v>215</v>
      </c>
      <c r="C39" s="90">
        <v>25</v>
      </c>
      <c r="I39" s="29">
        <v>9</v>
      </c>
      <c r="J39" s="85" t="s">
        <v>179</v>
      </c>
      <c r="K39" s="89">
        <f>0.95*K38</f>
        <v>526.85416666666663</v>
      </c>
      <c r="L39" t="s">
        <v>173</v>
      </c>
    </row>
    <row r="40" spans="1:12" x14ac:dyDescent="0.25">
      <c r="A40">
        <f t="shared" si="0"/>
        <v>7</v>
      </c>
      <c r="B40" s="29" t="s">
        <v>213</v>
      </c>
      <c r="C40" s="90">
        <v>60</v>
      </c>
      <c r="I40" s="29">
        <v>10</v>
      </c>
      <c r="J40" s="85" t="s">
        <v>162</v>
      </c>
      <c r="K40" s="89">
        <f>K34*K33^3/12+K32*K31^3/12</f>
        <v>114.58333333333333</v>
      </c>
      <c r="L40" t="s">
        <v>173</v>
      </c>
    </row>
    <row r="41" spans="1:12" x14ac:dyDescent="0.25">
      <c r="A41">
        <f t="shared" si="0"/>
        <v>8</v>
      </c>
      <c r="B41" s="29" t="s">
        <v>216</v>
      </c>
      <c r="C41" s="90">
        <v>90</v>
      </c>
      <c r="I41" s="29">
        <v>11</v>
      </c>
      <c r="J41" s="85" t="s">
        <v>180</v>
      </c>
      <c r="K41" s="89">
        <f>0.95*K40</f>
        <v>108.85416666666666</v>
      </c>
      <c r="L41" t="s">
        <v>173</v>
      </c>
    </row>
    <row r="42" spans="1:12" x14ac:dyDescent="0.25">
      <c r="A42">
        <f t="shared" si="0"/>
        <v>9</v>
      </c>
      <c r="B42" s="29" t="s">
        <v>214</v>
      </c>
      <c r="C42" s="90">
        <v>75</v>
      </c>
      <c r="I42" s="29">
        <v>12</v>
      </c>
      <c r="J42" s="85" t="s">
        <v>181</v>
      </c>
      <c r="K42" s="89">
        <f>K39/K36</f>
        <v>95.791666666666657</v>
      </c>
      <c r="L42" t="s">
        <v>174</v>
      </c>
    </row>
    <row r="43" spans="1:12" x14ac:dyDescent="0.25">
      <c r="A43">
        <f t="shared" si="0"/>
        <v>10</v>
      </c>
      <c r="B43" s="29" t="s">
        <v>218</v>
      </c>
      <c r="C43" s="90">
        <v>8</v>
      </c>
      <c r="I43" s="29">
        <v>13</v>
      </c>
      <c r="J43" s="85" t="s">
        <v>182</v>
      </c>
      <c r="K43" s="89">
        <f>K39/K37</f>
        <v>95.791666666666657</v>
      </c>
      <c r="L43" t="s">
        <v>174</v>
      </c>
    </row>
    <row r="44" spans="1:12" x14ac:dyDescent="0.25">
      <c r="A44">
        <f t="shared" si="0"/>
        <v>11</v>
      </c>
      <c r="B44" s="29" t="s">
        <v>446</v>
      </c>
      <c r="C44" s="90">
        <v>25</v>
      </c>
      <c r="I44" s="29">
        <v>14</v>
      </c>
      <c r="J44" s="85" t="s">
        <v>165</v>
      </c>
      <c r="K44" s="89">
        <f>IF(I4&lt;&gt;3,"-",SQRT(K39/K35))</f>
        <v>3.0950228862912574</v>
      </c>
      <c r="L44" t="s">
        <v>169</v>
      </c>
    </row>
    <row r="45" spans="1:12" x14ac:dyDescent="0.25">
      <c r="A45">
        <f t="shared" si="0"/>
        <v>12</v>
      </c>
      <c r="B45" s="29" t="s">
        <v>217</v>
      </c>
      <c r="C45" s="90">
        <v>50</v>
      </c>
      <c r="I45" s="29">
        <v>15</v>
      </c>
      <c r="J45" s="85" t="s">
        <v>166</v>
      </c>
      <c r="K45" s="89">
        <f>IF(I4&lt;&gt;3,"-",SQRT(K41/K35))</f>
        <v>1.4068285846778443</v>
      </c>
      <c r="L45" t="s">
        <v>169</v>
      </c>
    </row>
    <row r="46" spans="1:12" x14ac:dyDescent="0.25">
      <c r="A46">
        <f t="shared" si="0"/>
        <v>13</v>
      </c>
      <c r="B46" s="29" t="s">
        <v>219</v>
      </c>
      <c r="C46" s="90">
        <v>70</v>
      </c>
      <c r="I46" s="29">
        <v>16</v>
      </c>
      <c r="J46" s="85" t="s">
        <v>167</v>
      </c>
      <c r="K46" s="89">
        <f>K31*(K32+K34)^2/8</f>
        <v>75.625</v>
      </c>
      <c r="L46" t="s">
        <v>174</v>
      </c>
    </row>
    <row r="47" spans="1:12" x14ac:dyDescent="0.25">
      <c r="A47">
        <f t="shared" si="0"/>
        <v>14</v>
      </c>
      <c r="B47" s="29" t="s">
        <v>361</v>
      </c>
      <c r="C47" s="90">
        <v>15</v>
      </c>
    </row>
    <row r="48" spans="1:12" x14ac:dyDescent="0.25">
      <c r="A48">
        <f t="shared" si="0"/>
        <v>15</v>
      </c>
      <c r="B48" s="29" t="s">
        <v>362</v>
      </c>
      <c r="C48" s="90">
        <v>250</v>
      </c>
    </row>
    <row r="49" spans="1:3" x14ac:dyDescent="0.25">
      <c r="A49">
        <f t="shared" si="0"/>
        <v>16</v>
      </c>
      <c r="B49" s="29" t="s">
        <v>363</v>
      </c>
      <c r="C49" s="90">
        <v>55</v>
      </c>
    </row>
    <row r="50" spans="1:3" x14ac:dyDescent="0.25">
      <c r="A50">
        <f t="shared" si="0"/>
        <v>17</v>
      </c>
      <c r="B50" s="29" t="s">
        <v>443</v>
      </c>
      <c r="C50" s="90">
        <v>70</v>
      </c>
    </row>
    <row r="51" spans="1:3" x14ac:dyDescent="0.25">
      <c r="A51">
        <f t="shared" si="0"/>
        <v>18</v>
      </c>
      <c r="B51" s="29" t="s">
        <v>364</v>
      </c>
      <c r="C51" s="90">
        <v>20</v>
      </c>
    </row>
    <row r="52" spans="1:3" x14ac:dyDescent="0.25">
      <c r="A52">
        <f t="shared" si="0"/>
        <v>19</v>
      </c>
      <c r="B52" s="29" t="s">
        <v>365</v>
      </c>
      <c r="C52" s="90">
        <v>15</v>
      </c>
    </row>
    <row r="53" spans="1:3" x14ac:dyDescent="0.25">
      <c r="A53">
        <f t="shared" si="0"/>
        <v>20</v>
      </c>
      <c r="B53" s="29" t="s">
        <v>366</v>
      </c>
      <c r="C53" s="90">
        <v>40</v>
      </c>
    </row>
    <row r="54" spans="1:3" x14ac:dyDescent="0.25">
      <c r="A54">
        <f t="shared" si="0"/>
        <v>21</v>
      </c>
      <c r="B54" s="117" t="s">
        <v>224</v>
      </c>
    </row>
    <row r="55" spans="1:3" x14ac:dyDescent="0.25">
      <c r="A55">
        <f t="shared" si="0"/>
        <v>22</v>
      </c>
      <c r="B55" s="29" t="s">
        <v>445</v>
      </c>
      <c r="C55" s="90">
        <v>250</v>
      </c>
    </row>
    <row r="56" spans="1:3" x14ac:dyDescent="0.25">
      <c r="A56">
        <f t="shared" si="0"/>
        <v>23</v>
      </c>
      <c r="B56" s="29" t="s">
        <v>222</v>
      </c>
      <c r="C56" s="90">
        <v>150</v>
      </c>
    </row>
    <row r="57" spans="1:3" x14ac:dyDescent="0.25">
      <c r="A57">
        <f t="shared" si="0"/>
        <v>24</v>
      </c>
      <c r="B57" s="29" t="s">
        <v>403</v>
      </c>
      <c r="C57" s="90">
        <v>250</v>
      </c>
    </row>
    <row r="58" spans="1:3" x14ac:dyDescent="0.25">
      <c r="A58">
        <f t="shared" si="0"/>
        <v>25</v>
      </c>
      <c r="B58" s="29" t="s">
        <v>223</v>
      </c>
      <c r="C58" s="90">
        <v>500</v>
      </c>
    </row>
    <row r="59" spans="1:3" x14ac:dyDescent="0.25">
      <c r="A59">
        <f t="shared" si="0"/>
        <v>26</v>
      </c>
      <c r="B59" s="117" t="s">
        <v>224</v>
      </c>
    </row>
    <row r="60" spans="1:3" x14ac:dyDescent="0.25">
      <c r="A60">
        <f t="shared" si="0"/>
        <v>27</v>
      </c>
      <c r="B60" s="29" t="s">
        <v>368</v>
      </c>
      <c r="C60" s="90">
        <v>2</v>
      </c>
    </row>
    <row r="61" spans="1:3" x14ac:dyDescent="0.25">
      <c r="A61">
        <f t="shared" si="0"/>
        <v>28</v>
      </c>
      <c r="B61" s="29" t="s">
        <v>225</v>
      </c>
      <c r="C61" s="90">
        <v>2</v>
      </c>
    </row>
    <row r="62" spans="1:3" x14ac:dyDescent="0.25">
      <c r="A62">
        <f t="shared" si="0"/>
        <v>29</v>
      </c>
      <c r="B62" s="29" t="s">
        <v>226</v>
      </c>
      <c r="C62" s="90">
        <v>3</v>
      </c>
    </row>
    <row r="63" spans="1:3" x14ac:dyDescent="0.25">
      <c r="A63">
        <f t="shared" si="0"/>
        <v>30</v>
      </c>
      <c r="B63" s="29" t="s">
        <v>444</v>
      </c>
      <c r="C63" s="90">
        <v>7</v>
      </c>
    </row>
    <row r="64" spans="1:3" x14ac:dyDescent="0.25">
      <c r="A64">
        <f t="shared" si="0"/>
        <v>31</v>
      </c>
      <c r="B64" s="29" t="s">
        <v>367</v>
      </c>
      <c r="C64" s="90">
        <v>2</v>
      </c>
    </row>
    <row r="66" spans="1:3" x14ac:dyDescent="0.25">
      <c r="B66" s="120" t="s">
        <v>220</v>
      </c>
      <c r="C66" s="118" t="s">
        <v>234</v>
      </c>
    </row>
    <row r="67" spans="1:3" x14ac:dyDescent="0.25">
      <c r="A67">
        <v>1</v>
      </c>
      <c r="B67" s="29" t="s">
        <v>227</v>
      </c>
      <c r="C67" s="90">
        <v>0</v>
      </c>
    </row>
    <row r="68" spans="1:3" x14ac:dyDescent="0.25">
      <c r="A68">
        <f>A67+1</f>
        <v>2</v>
      </c>
      <c r="B68" s="117" t="s">
        <v>224</v>
      </c>
    </row>
    <row r="69" spans="1:3" x14ac:dyDescent="0.25">
      <c r="A69">
        <f t="shared" ref="A69:A132" si="1">A68+1</f>
        <v>3</v>
      </c>
      <c r="B69" s="29" t="s">
        <v>437</v>
      </c>
      <c r="C69" s="119">
        <v>500</v>
      </c>
    </row>
    <row r="70" spans="1:3" x14ac:dyDescent="0.25">
      <c r="A70">
        <f t="shared" si="1"/>
        <v>4</v>
      </c>
      <c r="B70" s="29" t="s">
        <v>438</v>
      </c>
      <c r="C70" s="119">
        <v>800</v>
      </c>
    </row>
    <row r="71" spans="1:3" x14ac:dyDescent="0.25">
      <c r="A71">
        <f t="shared" si="1"/>
        <v>5</v>
      </c>
      <c r="B71" s="29" t="s">
        <v>229</v>
      </c>
      <c r="C71" s="119">
        <v>750</v>
      </c>
    </row>
    <row r="72" spans="1:3" x14ac:dyDescent="0.25">
      <c r="A72">
        <f t="shared" si="1"/>
        <v>6</v>
      </c>
      <c r="B72" s="29" t="s">
        <v>230</v>
      </c>
      <c r="C72" s="119">
        <v>800</v>
      </c>
    </row>
    <row r="73" spans="1:3" x14ac:dyDescent="0.25">
      <c r="A73">
        <f t="shared" si="1"/>
        <v>7</v>
      </c>
      <c r="B73" s="29" t="s">
        <v>231</v>
      </c>
      <c r="C73" s="119">
        <v>900</v>
      </c>
    </row>
    <row r="74" spans="1:3" x14ac:dyDescent="0.25">
      <c r="A74">
        <f t="shared" si="1"/>
        <v>8</v>
      </c>
      <c r="B74" s="29" t="s">
        <v>404</v>
      </c>
      <c r="C74" s="119">
        <v>1100</v>
      </c>
    </row>
    <row r="75" spans="1:3" x14ac:dyDescent="0.25">
      <c r="A75">
        <f t="shared" si="1"/>
        <v>9</v>
      </c>
      <c r="B75" s="29" t="s">
        <v>232</v>
      </c>
      <c r="C75" s="119">
        <v>850</v>
      </c>
    </row>
    <row r="76" spans="1:3" x14ac:dyDescent="0.25">
      <c r="A76">
        <f t="shared" si="1"/>
        <v>10</v>
      </c>
      <c r="B76" s="29" t="s">
        <v>233</v>
      </c>
      <c r="C76" s="119">
        <v>400</v>
      </c>
    </row>
    <row r="77" spans="1:3" x14ac:dyDescent="0.25">
      <c r="A77">
        <f t="shared" si="1"/>
        <v>11</v>
      </c>
      <c r="B77" s="117" t="s">
        <v>224</v>
      </c>
    </row>
    <row r="78" spans="1:3" x14ac:dyDescent="0.25">
      <c r="A78">
        <f t="shared" si="1"/>
        <v>12</v>
      </c>
      <c r="B78" s="29" t="s">
        <v>422</v>
      </c>
      <c r="C78" s="119">
        <v>620</v>
      </c>
    </row>
    <row r="79" spans="1:3" x14ac:dyDescent="0.25">
      <c r="A79">
        <f t="shared" si="1"/>
        <v>13</v>
      </c>
      <c r="B79" s="29" t="s">
        <v>423</v>
      </c>
      <c r="C79" s="119">
        <v>720</v>
      </c>
    </row>
    <row r="80" spans="1:3" x14ac:dyDescent="0.25">
      <c r="A80">
        <f t="shared" si="1"/>
        <v>14</v>
      </c>
      <c r="B80" s="29" t="s">
        <v>424</v>
      </c>
      <c r="C80" s="119">
        <v>840</v>
      </c>
    </row>
    <row r="81" spans="1:3" x14ac:dyDescent="0.25">
      <c r="A81">
        <f t="shared" si="1"/>
        <v>15</v>
      </c>
      <c r="B81" s="29" t="s">
        <v>425</v>
      </c>
      <c r="C81" s="119">
        <v>950</v>
      </c>
    </row>
    <row r="82" spans="1:3" x14ac:dyDescent="0.25">
      <c r="A82">
        <f t="shared" si="1"/>
        <v>16</v>
      </c>
      <c r="B82" s="29" t="s">
        <v>426</v>
      </c>
      <c r="C82" s="119">
        <v>1050</v>
      </c>
    </row>
    <row r="83" spans="1:3" x14ac:dyDescent="0.25">
      <c r="A83">
        <f t="shared" si="1"/>
        <v>17</v>
      </c>
      <c r="B83" s="29" t="s">
        <v>427</v>
      </c>
      <c r="C83" s="119">
        <v>1250</v>
      </c>
    </row>
    <row r="84" spans="1:3" x14ac:dyDescent="0.25">
      <c r="A84">
        <f t="shared" si="1"/>
        <v>18</v>
      </c>
      <c r="B84" s="29" t="s">
        <v>428</v>
      </c>
      <c r="C84" s="119">
        <v>1450</v>
      </c>
    </row>
    <row r="85" spans="1:3" x14ac:dyDescent="0.25">
      <c r="A85">
        <f t="shared" si="1"/>
        <v>19</v>
      </c>
      <c r="B85" s="29" t="s">
        <v>429</v>
      </c>
      <c r="C85" s="119">
        <v>1650</v>
      </c>
    </row>
    <row r="86" spans="1:3" x14ac:dyDescent="0.25">
      <c r="A86">
        <f t="shared" si="1"/>
        <v>20</v>
      </c>
      <c r="B86" s="29" t="s">
        <v>430</v>
      </c>
      <c r="C86" s="119">
        <v>1850</v>
      </c>
    </row>
    <row r="87" spans="1:3" x14ac:dyDescent="0.25">
      <c r="A87">
        <f t="shared" si="1"/>
        <v>21</v>
      </c>
      <c r="B87" s="29" t="s">
        <v>431</v>
      </c>
      <c r="C87" s="119">
        <v>2050</v>
      </c>
    </row>
    <row r="88" spans="1:3" x14ac:dyDescent="0.25">
      <c r="A88">
        <f t="shared" si="1"/>
        <v>22</v>
      </c>
      <c r="B88" s="29" t="s">
        <v>418</v>
      </c>
      <c r="C88" s="119">
        <v>500</v>
      </c>
    </row>
    <row r="89" spans="1:3" x14ac:dyDescent="0.25">
      <c r="A89">
        <f t="shared" si="1"/>
        <v>23</v>
      </c>
      <c r="B89" s="29" t="s">
        <v>419</v>
      </c>
      <c r="C89" s="119">
        <v>600</v>
      </c>
    </row>
    <row r="90" spans="1:3" x14ac:dyDescent="0.25">
      <c r="A90">
        <f t="shared" si="1"/>
        <v>24</v>
      </c>
      <c r="B90" s="29" t="s">
        <v>420</v>
      </c>
      <c r="C90" s="119">
        <v>700</v>
      </c>
    </row>
    <row r="91" spans="1:3" x14ac:dyDescent="0.25">
      <c r="A91">
        <f t="shared" si="1"/>
        <v>25</v>
      </c>
      <c r="B91" s="29" t="s">
        <v>421</v>
      </c>
      <c r="C91" s="119">
        <v>800</v>
      </c>
    </row>
    <row r="92" spans="1:3" x14ac:dyDescent="0.25">
      <c r="A92">
        <f t="shared" si="1"/>
        <v>26</v>
      </c>
      <c r="B92" s="29" t="s">
        <v>412</v>
      </c>
      <c r="C92" s="119">
        <v>1150</v>
      </c>
    </row>
    <row r="93" spans="1:3" x14ac:dyDescent="0.25">
      <c r="A93">
        <f t="shared" si="1"/>
        <v>27</v>
      </c>
      <c r="B93" s="29" t="s">
        <v>413</v>
      </c>
      <c r="C93" s="119">
        <v>1300</v>
      </c>
    </row>
    <row r="94" spans="1:3" x14ac:dyDescent="0.25">
      <c r="A94">
        <f t="shared" si="1"/>
        <v>28</v>
      </c>
      <c r="B94" s="29" t="s">
        <v>414</v>
      </c>
      <c r="C94" s="119">
        <v>1550</v>
      </c>
    </row>
    <row r="95" spans="1:3" x14ac:dyDescent="0.25">
      <c r="A95">
        <f t="shared" si="1"/>
        <v>29</v>
      </c>
      <c r="B95" s="29" t="s">
        <v>415</v>
      </c>
      <c r="C95" s="119">
        <v>1750</v>
      </c>
    </row>
    <row r="96" spans="1:3" x14ac:dyDescent="0.25">
      <c r="A96">
        <f t="shared" si="1"/>
        <v>30</v>
      </c>
      <c r="B96" s="29" t="s">
        <v>416</v>
      </c>
      <c r="C96" s="119">
        <v>1950</v>
      </c>
    </row>
    <row r="97" spans="1:3" x14ac:dyDescent="0.25">
      <c r="A97">
        <f t="shared" si="1"/>
        <v>31</v>
      </c>
      <c r="B97" s="29" t="s">
        <v>417</v>
      </c>
      <c r="C97" s="119">
        <v>2050</v>
      </c>
    </row>
    <row r="98" spans="1:3" x14ac:dyDescent="0.25">
      <c r="A98">
        <f t="shared" si="1"/>
        <v>32</v>
      </c>
      <c r="B98" s="29" t="s">
        <v>409</v>
      </c>
      <c r="C98" s="119">
        <v>2300</v>
      </c>
    </row>
    <row r="99" spans="1:3" x14ac:dyDescent="0.25">
      <c r="A99">
        <f t="shared" si="1"/>
        <v>33</v>
      </c>
      <c r="B99" s="29" t="s">
        <v>410</v>
      </c>
      <c r="C99" s="119">
        <v>2400</v>
      </c>
    </row>
    <row r="100" spans="1:3" x14ac:dyDescent="0.25">
      <c r="A100">
        <f t="shared" si="1"/>
        <v>34</v>
      </c>
      <c r="B100" s="29" t="s">
        <v>411</v>
      </c>
      <c r="C100" s="119">
        <v>2500</v>
      </c>
    </row>
    <row r="101" spans="1:3" x14ac:dyDescent="0.25">
      <c r="A101">
        <f t="shared" si="1"/>
        <v>35</v>
      </c>
      <c r="B101" s="29" t="s">
        <v>235</v>
      </c>
      <c r="C101" s="119">
        <v>1200</v>
      </c>
    </row>
    <row r="102" spans="1:3" x14ac:dyDescent="0.25">
      <c r="A102">
        <f t="shared" si="1"/>
        <v>36</v>
      </c>
      <c r="B102" s="29" t="s">
        <v>236</v>
      </c>
      <c r="C102" s="119">
        <v>1800</v>
      </c>
    </row>
    <row r="103" spans="1:3" x14ac:dyDescent="0.25">
      <c r="A103">
        <f t="shared" si="1"/>
        <v>37</v>
      </c>
      <c r="B103" s="29" t="s">
        <v>237</v>
      </c>
      <c r="C103" s="119">
        <v>2000</v>
      </c>
    </row>
    <row r="104" spans="1:3" x14ac:dyDescent="0.25">
      <c r="A104">
        <f t="shared" si="1"/>
        <v>38</v>
      </c>
      <c r="B104" s="29" t="s">
        <v>238</v>
      </c>
      <c r="C104" s="119">
        <v>2000</v>
      </c>
    </row>
    <row r="105" spans="1:3" x14ac:dyDescent="0.25">
      <c r="A105">
        <f t="shared" si="1"/>
        <v>39</v>
      </c>
      <c r="B105" s="29" t="s">
        <v>239</v>
      </c>
      <c r="C105" s="119">
        <v>2100</v>
      </c>
    </row>
    <row r="106" spans="1:3" x14ac:dyDescent="0.25">
      <c r="A106">
        <f t="shared" si="1"/>
        <v>40</v>
      </c>
      <c r="B106" s="117" t="s">
        <v>224</v>
      </c>
    </row>
    <row r="107" spans="1:3" x14ac:dyDescent="0.25">
      <c r="A107">
        <f t="shared" si="1"/>
        <v>41</v>
      </c>
      <c r="B107" s="29" t="s">
        <v>406</v>
      </c>
      <c r="C107" s="119">
        <v>7850</v>
      </c>
    </row>
    <row r="108" spans="1:3" x14ac:dyDescent="0.25">
      <c r="A108">
        <f t="shared" si="1"/>
        <v>42</v>
      </c>
      <c r="B108" s="29" t="s">
        <v>405</v>
      </c>
      <c r="C108" s="119">
        <v>2700</v>
      </c>
    </row>
    <row r="109" spans="1:3" x14ac:dyDescent="0.25">
      <c r="A109">
        <f t="shared" si="1"/>
        <v>43</v>
      </c>
      <c r="B109" s="29" t="s">
        <v>432</v>
      </c>
      <c r="C109" s="119">
        <v>11400</v>
      </c>
    </row>
    <row r="110" spans="1:3" x14ac:dyDescent="0.25">
      <c r="A110">
        <f t="shared" si="1"/>
        <v>44</v>
      </c>
      <c r="B110" s="29" t="s">
        <v>434</v>
      </c>
      <c r="C110" s="119">
        <v>8900</v>
      </c>
    </row>
    <row r="111" spans="1:3" x14ac:dyDescent="0.25">
      <c r="A111">
        <f t="shared" si="1"/>
        <v>45</v>
      </c>
      <c r="B111" s="29" t="s">
        <v>433</v>
      </c>
      <c r="C111" s="119">
        <v>7250</v>
      </c>
    </row>
    <row r="112" spans="1:3" x14ac:dyDescent="0.25">
      <c r="A112">
        <f t="shared" si="1"/>
        <v>46</v>
      </c>
      <c r="B112" s="29" t="s">
        <v>435</v>
      </c>
      <c r="C112" s="119">
        <v>8500</v>
      </c>
    </row>
    <row r="113" spans="1:3" x14ac:dyDescent="0.25">
      <c r="A113">
        <f t="shared" si="1"/>
        <v>47</v>
      </c>
      <c r="B113" s="117" t="s">
        <v>224</v>
      </c>
    </row>
    <row r="114" spans="1:3" x14ac:dyDescent="0.25">
      <c r="A114">
        <f t="shared" si="1"/>
        <v>48</v>
      </c>
      <c r="B114" s="29" t="s">
        <v>240</v>
      </c>
      <c r="C114" s="119">
        <v>2400</v>
      </c>
    </row>
    <row r="115" spans="1:3" x14ac:dyDescent="0.25">
      <c r="A115">
        <f t="shared" si="1"/>
        <v>49</v>
      </c>
      <c r="B115" s="29" t="s">
        <v>241</v>
      </c>
      <c r="C115" s="119">
        <v>1800</v>
      </c>
    </row>
    <row r="116" spans="1:3" x14ac:dyDescent="0.25">
      <c r="A116">
        <f t="shared" si="1"/>
        <v>50</v>
      </c>
      <c r="B116" s="29" t="s">
        <v>242</v>
      </c>
      <c r="C116" s="119">
        <v>2300</v>
      </c>
    </row>
    <row r="117" spans="1:3" x14ac:dyDescent="0.25">
      <c r="A117">
        <f t="shared" si="1"/>
        <v>51</v>
      </c>
      <c r="B117" s="29" t="s">
        <v>243</v>
      </c>
      <c r="C117" s="119">
        <v>2400</v>
      </c>
    </row>
    <row r="118" spans="1:3" x14ac:dyDescent="0.25">
      <c r="A118">
        <f t="shared" si="1"/>
        <v>52</v>
      </c>
      <c r="B118" s="29" t="s">
        <v>244</v>
      </c>
      <c r="C118" s="119">
        <v>2200</v>
      </c>
    </row>
    <row r="119" spans="1:3" x14ac:dyDescent="0.25">
      <c r="A119">
        <f t="shared" si="1"/>
        <v>53</v>
      </c>
      <c r="B119" s="29" t="s">
        <v>245</v>
      </c>
      <c r="C119" s="119">
        <v>2000</v>
      </c>
    </row>
    <row r="120" spans="1:3" x14ac:dyDescent="0.25">
      <c r="A120">
        <f t="shared" si="1"/>
        <v>54</v>
      </c>
      <c r="B120" s="29" t="s">
        <v>246</v>
      </c>
      <c r="C120" s="119">
        <v>2300</v>
      </c>
    </row>
    <row r="121" spans="1:3" x14ac:dyDescent="0.25">
      <c r="A121">
        <f t="shared" si="1"/>
        <v>55</v>
      </c>
      <c r="B121" s="29" t="s">
        <v>247</v>
      </c>
      <c r="C121" s="119">
        <v>2400</v>
      </c>
    </row>
    <row r="122" spans="1:3" x14ac:dyDescent="0.25">
      <c r="A122">
        <f t="shared" si="1"/>
        <v>56</v>
      </c>
      <c r="B122" s="29" t="s">
        <v>248</v>
      </c>
      <c r="C122" s="119">
        <v>2200</v>
      </c>
    </row>
    <row r="123" spans="1:3" x14ac:dyDescent="0.25">
      <c r="A123">
        <f t="shared" si="1"/>
        <v>57</v>
      </c>
      <c r="B123" s="29" t="s">
        <v>249</v>
      </c>
      <c r="C123" s="119">
        <v>2200</v>
      </c>
    </row>
    <row r="124" spans="1:3" x14ac:dyDescent="0.25">
      <c r="A124">
        <f t="shared" si="1"/>
        <v>58</v>
      </c>
      <c r="B124" s="29" t="s">
        <v>249</v>
      </c>
      <c r="C124" s="119">
        <v>1200</v>
      </c>
    </row>
    <row r="125" spans="1:3" x14ac:dyDescent="0.25">
      <c r="A125">
        <f t="shared" si="1"/>
        <v>59</v>
      </c>
      <c r="B125" s="29" t="s">
        <v>250</v>
      </c>
      <c r="C125" s="119">
        <v>2200</v>
      </c>
    </row>
    <row r="126" spans="1:3" x14ac:dyDescent="0.25">
      <c r="A126">
        <f t="shared" si="1"/>
        <v>60</v>
      </c>
      <c r="B126" s="29" t="s">
        <v>251</v>
      </c>
      <c r="C126" s="119">
        <v>2500</v>
      </c>
    </row>
    <row r="127" spans="1:3" x14ac:dyDescent="0.25">
      <c r="A127">
        <f t="shared" si="1"/>
        <v>61</v>
      </c>
      <c r="B127" s="29" t="s">
        <v>252</v>
      </c>
      <c r="C127" s="119">
        <v>1500</v>
      </c>
    </row>
    <row r="128" spans="1:3" x14ac:dyDescent="0.25">
      <c r="A128">
        <f t="shared" si="1"/>
        <v>62</v>
      </c>
      <c r="B128" s="29" t="s">
        <v>253</v>
      </c>
      <c r="C128" s="119">
        <v>2200</v>
      </c>
    </row>
    <row r="129" spans="1:3" x14ac:dyDescent="0.25">
      <c r="A129">
        <f t="shared" si="1"/>
        <v>63</v>
      </c>
      <c r="B129" s="29" t="s">
        <v>254</v>
      </c>
      <c r="C129" s="119">
        <v>1500</v>
      </c>
    </row>
    <row r="130" spans="1:3" x14ac:dyDescent="0.25">
      <c r="A130">
        <f t="shared" si="1"/>
        <v>64</v>
      </c>
      <c r="B130" s="29" t="s">
        <v>255</v>
      </c>
      <c r="C130" s="119">
        <v>1300</v>
      </c>
    </row>
    <row r="131" spans="1:3" x14ac:dyDescent="0.25">
      <c r="A131">
        <f t="shared" si="1"/>
        <v>65</v>
      </c>
      <c r="B131" s="29" t="s">
        <v>256</v>
      </c>
      <c r="C131" s="119">
        <v>3000</v>
      </c>
    </row>
    <row r="132" spans="1:3" x14ac:dyDescent="0.25">
      <c r="A132">
        <f t="shared" si="1"/>
        <v>66</v>
      </c>
      <c r="B132" s="29" t="s">
        <v>257</v>
      </c>
      <c r="C132" s="119">
        <v>300</v>
      </c>
    </row>
    <row r="133" spans="1:3" x14ac:dyDescent="0.25">
      <c r="A133">
        <f t="shared" ref="A133:A178" si="2">A132+1</f>
        <v>67</v>
      </c>
      <c r="B133" s="117" t="s">
        <v>224</v>
      </c>
    </row>
    <row r="134" spans="1:3" x14ac:dyDescent="0.25">
      <c r="A134">
        <f t="shared" si="2"/>
        <v>68</v>
      </c>
      <c r="B134" s="29" t="s">
        <v>258</v>
      </c>
      <c r="C134" s="119">
        <v>600</v>
      </c>
    </row>
    <row r="135" spans="1:3" x14ac:dyDescent="0.25">
      <c r="A135">
        <f t="shared" si="2"/>
        <v>69</v>
      </c>
      <c r="B135" s="29" t="s">
        <v>259</v>
      </c>
      <c r="C135" s="119">
        <v>700</v>
      </c>
    </row>
    <row r="136" spans="1:3" x14ac:dyDescent="0.25">
      <c r="A136">
        <f t="shared" si="2"/>
        <v>70</v>
      </c>
      <c r="B136" s="29" t="s">
        <v>260</v>
      </c>
      <c r="C136" s="119">
        <v>150</v>
      </c>
    </row>
    <row r="137" spans="1:3" x14ac:dyDescent="0.25">
      <c r="A137">
        <f t="shared" si="2"/>
        <v>71</v>
      </c>
      <c r="B137" s="29" t="s">
        <v>261</v>
      </c>
      <c r="C137" s="119">
        <v>100</v>
      </c>
    </row>
    <row r="138" spans="1:3" x14ac:dyDescent="0.25">
      <c r="A138">
        <f t="shared" si="2"/>
        <v>72</v>
      </c>
      <c r="B138" s="29" t="s">
        <v>262</v>
      </c>
      <c r="C138" s="119">
        <v>1500</v>
      </c>
    </row>
    <row r="139" spans="1:3" x14ac:dyDescent="0.25">
      <c r="A139">
        <f t="shared" si="2"/>
        <v>73</v>
      </c>
      <c r="B139" s="29" t="s">
        <v>263</v>
      </c>
      <c r="C139" s="119">
        <v>100</v>
      </c>
    </row>
    <row r="140" spans="1:3" x14ac:dyDescent="0.25">
      <c r="A140">
        <f t="shared" si="2"/>
        <v>74</v>
      </c>
      <c r="B140" s="29" t="s">
        <v>264</v>
      </c>
      <c r="C140" s="119">
        <v>200</v>
      </c>
    </row>
    <row r="141" spans="1:3" x14ac:dyDescent="0.25">
      <c r="A141">
        <f t="shared" si="2"/>
        <v>75</v>
      </c>
      <c r="B141" s="29" t="s">
        <v>265</v>
      </c>
      <c r="C141" s="119">
        <v>300</v>
      </c>
    </row>
    <row r="142" spans="1:3" x14ac:dyDescent="0.25">
      <c r="A142">
        <f t="shared" si="2"/>
        <v>76</v>
      </c>
      <c r="B142" s="29" t="s">
        <v>266</v>
      </c>
      <c r="C142" s="119">
        <v>200</v>
      </c>
    </row>
    <row r="143" spans="1:3" x14ac:dyDescent="0.25">
      <c r="A143">
        <f t="shared" si="2"/>
        <v>77</v>
      </c>
      <c r="B143" s="29" t="s">
        <v>267</v>
      </c>
      <c r="C143" s="119">
        <v>1400</v>
      </c>
    </row>
    <row r="144" spans="1:3" x14ac:dyDescent="0.25">
      <c r="A144">
        <f t="shared" si="2"/>
        <v>78</v>
      </c>
      <c r="B144" s="29" t="s">
        <v>268</v>
      </c>
      <c r="C144" s="119">
        <v>1000</v>
      </c>
    </row>
    <row r="145" spans="1:3" x14ac:dyDescent="0.25">
      <c r="A145">
        <f t="shared" si="2"/>
        <v>79</v>
      </c>
      <c r="B145" s="29" t="s">
        <v>269</v>
      </c>
      <c r="C145" s="119">
        <v>250</v>
      </c>
    </row>
    <row r="146" spans="1:3" x14ac:dyDescent="0.25">
      <c r="A146">
        <f t="shared" si="2"/>
        <v>80</v>
      </c>
      <c r="B146" s="29" t="s">
        <v>270</v>
      </c>
      <c r="C146" s="119">
        <v>200</v>
      </c>
    </row>
    <row r="147" spans="1:3" x14ac:dyDescent="0.25">
      <c r="A147">
        <f t="shared" si="2"/>
        <v>81</v>
      </c>
      <c r="B147" s="29" t="s">
        <v>271</v>
      </c>
      <c r="C147" s="119">
        <v>1000</v>
      </c>
    </row>
    <row r="148" spans="1:3" x14ac:dyDescent="0.25">
      <c r="A148">
        <f t="shared" si="2"/>
        <v>82</v>
      </c>
      <c r="B148" s="29" t="s">
        <v>272</v>
      </c>
      <c r="C148" s="119">
        <v>50</v>
      </c>
    </row>
    <row r="149" spans="1:3" x14ac:dyDescent="0.25">
      <c r="A149">
        <f t="shared" si="2"/>
        <v>83</v>
      </c>
      <c r="B149" s="117" t="s">
        <v>224</v>
      </c>
    </row>
    <row r="150" spans="1:3" x14ac:dyDescent="0.25">
      <c r="A150">
        <f t="shared" si="2"/>
        <v>84</v>
      </c>
      <c r="B150" s="29" t="s">
        <v>273</v>
      </c>
      <c r="C150" s="119">
        <v>1200</v>
      </c>
    </row>
    <row r="151" spans="1:3" x14ac:dyDescent="0.25">
      <c r="A151">
        <f t="shared" si="2"/>
        <v>85</v>
      </c>
      <c r="B151" s="29" t="s">
        <v>274</v>
      </c>
      <c r="C151" s="119">
        <v>2200</v>
      </c>
    </row>
    <row r="152" spans="1:3" x14ac:dyDescent="0.25">
      <c r="A152">
        <f t="shared" si="2"/>
        <v>86</v>
      </c>
      <c r="B152" s="29" t="s">
        <v>263</v>
      </c>
      <c r="C152" s="119">
        <v>100</v>
      </c>
    </row>
    <row r="153" spans="1:3" x14ac:dyDescent="0.25">
      <c r="A153">
        <f t="shared" si="2"/>
        <v>87</v>
      </c>
      <c r="B153" s="29" t="s">
        <v>275</v>
      </c>
      <c r="C153" s="119">
        <v>1000</v>
      </c>
    </row>
    <row r="154" spans="1:3" x14ac:dyDescent="0.25">
      <c r="A154">
        <f t="shared" si="2"/>
        <v>88</v>
      </c>
      <c r="B154" s="29" t="s">
        <v>276</v>
      </c>
      <c r="C154" s="119">
        <v>800</v>
      </c>
    </row>
    <row r="155" spans="1:3" x14ac:dyDescent="0.25">
      <c r="A155">
        <f t="shared" si="2"/>
        <v>89</v>
      </c>
      <c r="B155" s="29" t="s">
        <v>277</v>
      </c>
      <c r="C155" s="119">
        <v>400</v>
      </c>
    </row>
    <row r="156" spans="1:3" x14ac:dyDescent="0.25">
      <c r="A156">
        <f t="shared" si="2"/>
        <v>90</v>
      </c>
      <c r="B156" s="29" t="s">
        <v>278</v>
      </c>
      <c r="C156" s="119">
        <v>600</v>
      </c>
    </row>
    <row r="157" spans="1:3" x14ac:dyDescent="0.25">
      <c r="A157">
        <f t="shared" si="2"/>
        <v>91</v>
      </c>
      <c r="B157" s="29" t="s">
        <v>279</v>
      </c>
      <c r="C157" s="119">
        <v>400</v>
      </c>
    </row>
    <row r="158" spans="1:3" x14ac:dyDescent="0.25">
      <c r="A158">
        <f t="shared" si="2"/>
        <v>92</v>
      </c>
      <c r="B158" s="29" t="s">
        <v>280</v>
      </c>
      <c r="C158" s="119">
        <v>240</v>
      </c>
    </row>
    <row r="159" spans="1:3" x14ac:dyDescent="0.25">
      <c r="A159">
        <f t="shared" si="2"/>
        <v>93</v>
      </c>
      <c r="B159" s="29" t="s">
        <v>281</v>
      </c>
      <c r="C159" s="119">
        <v>200</v>
      </c>
    </row>
    <row r="160" spans="1:3" x14ac:dyDescent="0.25">
      <c r="A160">
        <f t="shared" si="2"/>
        <v>94</v>
      </c>
      <c r="B160" s="29" t="s">
        <v>282</v>
      </c>
      <c r="C160" s="119">
        <v>120</v>
      </c>
    </row>
    <row r="161" spans="1:3" x14ac:dyDescent="0.25">
      <c r="A161">
        <f t="shared" si="2"/>
        <v>95</v>
      </c>
      <c r="B161" s="29" t="s">
        <v>283</v>
      </c>
      <c r="C161" s="119">
        <v>200</v>
      </c>
    </row>
    <row r="162" spans="1:3" x14ac:dyDescent="0.25">
      <c r="A162">
        <f t="shared" si="2"/>
        <v>96</v>
      </c>
      <c r="B162" s="29" t="s">
        <v>284</v>
      </c>
      <c r="C162" s="119">
        <v>100</v>
      </c>
    </row>
    <row r="163" spans="1:3" x14ac:dyDescent="0.25">
      <c r="A163">
        <f t="shared" si="2"/>
        <v>97</v>
      </c>
      <c r="B163" s="29" t="s">
        <v>285</v>
      </c>
      <c r="C163" s="119">
        <v>40</v>
      </c>
    </row>
    <row r="164" spans="1:3" x14ac:dyDescent="0.25">
      <c r="A164">
        <f t="shared" si="2"/>
        <v>98</v>
      </c>
      <c r="B164" s="29" t="s">
        <v>286</v>
      </c>
      <c r="C164" s="119">
        <v>80</v>
      </c>
    </row>
    <row r="165" spans="1:3" x14ac:dyDescent="0.25">
      <c r="A165">
        <f t="shared" si="2"/>
        <v>99</v>
      </c>
      <c r="B165" s="29" t="s">
        <v>287</v>
      </c>
      <c r="C165" s="119">
        <v>80</v>
      </c>
    </row>
    <row r="166" spans="1:3" x14ac:dyDescent="0.25">
      <c r="A166">
        <f t="shared" si="2"/>
        <v>100</v>
      </c>
      <c r="B166" s="29" t="s">
        <v>288</v>
      </c>
      <c r="C166" s="119">
        <v>120</v>
      </c>
    </row>
    <row r="167" spans="1:3" x14ac:dyDescent="0.25">
      <c r="A167">
        <f t="shared" si="2"/>
        <v>101</v>
      </c>
      <c r="B167" s="29" t="s">
        <v>289</v>
      </c>
      <c r="C167" s="119">
        <v>100</v>
      </c>
    </row>
    <row r="168" spans="1:3" x14ac:dyDescent="0.25">
      <c r="A168">
        <f t="shared" si="2"/>
        <v>102</v>
      </c>
      <c r="B168" s="29" t="s">
        <v>290</v>
      </c>
      <c r="C168" s="119">
        <v>100</v>
      </c>
    </row>
    <row r="169" spans="1:3" x14ac:dyDescent="0.25">
      <c r="A169">
        <f t="shared" si="2"/>
        <v>103</v>
      </c>
      <c r="B169" s="117" t="s">
        <v>224</v>
      </c>
    </row>
    <row r="170" spans="1:3" x14ac:dyDescent="0.25">
      <c r="A170">
        <f t="shared" si="2"/>
        <v>104</v>
      </c>
      <c r="B170" s="29" t="s">
        <v>291</v>
      </c>
      <c r="C170" s="119">
        <v>500</v>
      </c>
    </row>
    <row r="171" spans="1:3" x14ac:dyDescent="0.25">
      <c r="A171">
        <f t="shared" si="2"/>
        <v>105</v>
      </c>
      <c r="B171" s="29" t="s">
        <v>292</v>
      </c>
      <c r="C171" s="119">
        <v>600</v>
      </c>
    </row>
    <row r="172" spans="1:3" x14ac:dyDescent="0.25">
      <c r="A172">
        <f t="shared" si="2"/>
        <v>106</v>
      </c>
      <c r="B172" s="29" t="s">
        <v>407</v>
      </c>
      <c r="C172" s="119">
        <v>600</v>
      </c>
    </row>
    <row r="173" spans="1:3" x14ac:dyDescent="0.25">
      <c r="A173">
        <f t="shared" si="2"/>
        <v>107</v>
      </c>
      <c r="B173" s="29" t="s">
        <v>293</v>
      </c>
      <c r="C173" s="119">
        <v>500</v>
      </c>
    </row>
    <row r="174" spans="1:3" x14ac:dyDescent="0.25">
      <c r="A174">
        <f t="shared" si="2"/>
        <v>108</v>
      </c>
      <c r="B174" s="29" t="s">
        <v>294</v>
      </c>
      <c r="C174" s="119">
        <v>800</v>
      </c>
    </row>
    <row r="175" spans="1:3" x14ac:dyDescent="0.25">
      <c r="A175">
        <f t="shared" si="2"/>
        <v>109</v>
      </c>
      <c r="B175" s="29" t="s">
        <v>295</v>
      </c>
      <c r="C175" s="119">
        <v>850</v>
      </c>
    </row>
    <row r="176" spans="1:3" x14ac:dyDescent="0.25">
      <c r="A176">
        <f t="shared" si="2"/>
        <v>110</v>
      </c>
      <c r="B176" s="29" t="s">
        <v>296</v>
      </c>
      <c r="C176" s="119">
        <v>500</v>
      </c>
    </row>
    <row r="177" spans="1:3" x14ac:dyDescent="0.25">
      <c r="A177">
        <f t="shared" si="2"/>
        <v>111</v>
      </c>
      <c r="B177" s="117" t="s">
        <v>224</v>
      </c>
    </row>
    <row r="178" spans="1:3" x14ac:dyDescent="0.25">
      <c r="A178">
        <f t="shared" si="2"/>
        <v>112</v>
      </c>
      <c r="B178" s="29" t="s">
        <v>408</v>
      </c>
      <c r="C178" s="119">
        <v>1800</v>
      </c>
    </row>
    <row r="180" spans="1:3" x14ac:dyDescent="0.25">
      <c r="B180" s="118" t="s">
        <v>220</v>
      </c>
      <c r="C180" s="118" t="s">
        <v>221</v>
      </c>
    </row>
    <row r="181" spans="1:3" x14ac:dyDescent="0.25">
      <c r="A181">
        <v>1</v>
      </c>
      <c r="B181" s="29" t="s">
        <v>227</v>
      </c>
      <c r="C181" s="90">
        <v>0</v>
      </c>
    </row>
    <row r="182" spans="1:3" x14ac:dyDescent="0.25">
      <c r="A182">
        <f>1+A181</f>
        <v>2</v>
      </c>
      <c r="B182" s="117" t="s">
        <v>224</v>
      </c>
    </row>
    <row r="183" spans="1:3" x14ac:dyDescent="0.25">
      <c r="A183">
        <f t="shared" ref="A183:A196" si="3">1+A182</f>
        <v>3</v>
      </c>
      <c r="B183" s="29" t="s">
        <v>347</v>
      </c>
      <c r="C183" s="90">
        <v>25</v>
      </c>
    </row>
    <row r="184" spans="1:3" x14ac:dyDescent="0.25">
      <c r="A184">
        <f t="shared" si="3"/>
        <v>4</v>
      </c>
      <c r="B184" s="117" t="s">
        <v>224</v>
      </c>
    </row>
    <row r="185" spans="1:3" x14ac:dyDescent="0.25">
      <c r="A185">
        <f t="shared" si="3"/>
        <v>5</v>
      </c>
      <c r="B185" s="29" t="s">
        <v>348</v>
      </c>
      <c r="C185" s="90">
        <v>400</v>
      </c>
    </row>
    <row r="186" spans="1:3" x14ac:dyDescent="0.25">
      <c r="A186">
        <f t="shared" si="3"/>
        <v>6</v>
      </c>
      <c r="B186" s="29" t="s">
        <v>349</v>
      </c>
      <c r="C186" s="90">
        <v>200</v>
      </c>
    </row>
    <row r="187" spans="1:3" x14ac:dyDescent="0.25">
      <c r="A187">
        <f t="shared" si="3"/>
        <v>7</v>
      </c>
      <c r="B187" s="29" t="s">
        <v>350</v>
      </c>
      <c r="C187" s="90">
        <v>150</v>
      </c>
    </row>
    <row r="188" spans="1:3" x14ac:dyDescent="0.25">
      <c r="A188">
        <f t="shared" si="3"/>
        <v>8</v>
      </c>
      <c r="B188" s="29" t="s">
        <v>351</v>
      </c>
      <c r="C188" s="90">
        <v>250</v>
      </c>
    </row>
    <row r="189" spans="1:3" x14ac:dyDescent="0.25">
      <c r="A189">
        <f t="shared" si="3"/>
        <v>9</v>
      </c>
      <c r="B189" s="29" t="s">
        <v>352</v>
      </c>
      <c r="C189" s="90">
        <v>400</v>
      </c>
    </row>
    <row r="190" spans="1:3" x14ac:dyDescent="0.25">
      <c r="A190">
        <f t="shared" si="3"/>
        <v>10</v>
      </c>
      <c r="B190" s="29" t="s">
        <v>353</v>
      </c>
      <c r="C190" s="90">
        <v>600</v>
      </c>
    </row>
    <row r="191" spans="1:3" x14ac:dyDescent="0.25">
      <c r="A191">
        <f t="shared" si="3"/>
        <v>11</v>
      </c>
      <c r="B191" s="29" t="s">
        <v>354</v>
      </c>
      <c r="C191" s="90">
        <v>750</v>
      </c>
    </row>
    <row r="192" spans="1:3" x14ac:dyDescent="0.25">
      <c r="A192">
        <f t="shared" si="3"/>
        <v>12</v>
      </c>
      <c r="B192" s="29" t="s">
        <v>355</v>
      </c>
      <c r="C192" s="90">
        <v>300</v>
      </c>
    </row>
    <row r="193" spans="1:3" x14ac:dyDescent="0.25">
      <c r="A193">
        <f t="shared" si="3"/>
        <v>13</v>
      </c>
      <c r="B193" s="29" t="s">
        <v>356</v>
      </c>
      <c r="C193" s="90">
        <v>400</v>
      </c>
    </row>
    <row r="194" spans="1:3" x14ac:dyDescent="0.25">
      <c r="A194">
        <f t="shared" si="3"/>
        <v>14</v>
      </c>
      <c r="B194" s="29" t="s">
        <v>357</v>
      </c>
      <c r="C194" s="90">
        <v>200</v>
      </c>
    </row>
    <row r="195" spans="1:3" x14ac:dyDescent="0.25">
      <c r="A195">
        <f t="shared" si="3"/>
        <v>15</v>
      </c>
      <c r="B195" s="29" t="s">
        <v>358</v>
      </c>
      <c r="C195" s="90">
        <v>150</v>
      </c>
    </row>
    <row r="196" spans="1:3" x14ac:dyDescent="0.25">
      <c r="A196">
        <f t="shared" si="3"/>
        <v>16</v>
      </c>
      <c r="B196" s="29" t="s">
        <v>359</v>
      </c>
      <c r="C196" s="90">
        <v>200</v>
      </c>
    </row>
    <row r="197" spans="1:3" x14ac:dyDescent="0.25">
      <c r="A197">
        <v>17</v>
      </c>
      <c r="B197" s="29" t="s">
        <v>548</v>
      </c>
      <c r="C197" s="90">
        <v>100</v>
      </c>
    </row>
    <row r="199" spans="1:3" x14ac:dyDescent="0.25">
      <c r="B199" s="118" t="s">
        <v>220</v>
      </c>
      <c r="C199" s="118" t="s">
        <v>221</v>
      </c>
    </row>
    <row r="200" spans="1:3" x14ac:dyDescent="0.25">
      <c r="A200">
        <v>1</v>
      </c>
      <c r="B200" s="29" t="s">
        <v>227</v>
      </c>
      <c r="C200" s="90">
        <v>0</v>
      </c>
    </row>
    <row r="201" spans="1:3" x14ac:dyDescent="0.25">
      <c r="A201">
        <f>1+A200</f>
        <v>2</v>
      </c>
      <c r="B201" s="117" t="s">
        <v>224</v>
      </c>
    </row>
    <row r="202" spans="1:3" x14ac:dyDescent="0.25">
      <c r="A202">
        <f t="shared" ref="A202" si="4">1+A201</f>
        <v>3</v>
      </c>
      <c r="B202" s="29" t="s">
        <v>302</v>
      </c>
      <c r="C202" s="90">
        <v>30</v>
      </c>
    </row>
    <row r="203" spans="1:3" x14ac:dyDescent="0.25">
      <c r="A203">
        <f t="shared" ref="A203" si="5">1+A202</f>
        <v>4</v>
      </c>
      <c r="B203" s="29" t="s">
        <v>316</v>
      </c>
      <c r="C203" s="90">
        <v>30</v>
      </c>
    </row>
    <row r="205" spans="1:3" x14ac:dyDescent="0.25">
      <c r="B205" s="118" t="s">
        <v>220</v>
      </c>
      <c r="C205" s="118" t="s">
        <v>221</v>
      </c>
    </row>
    <row r="206" spans="1:3" x14ac:dyDescent="0.25">
      <c r="A206">
        <v>1</v>
      </c>
      <c r="B206" s="29" t="s">
        <v>227</v>
      </c>
      <c r="C206" s="90">
        <v>0</v>
      </c>
    </row>
    <row r="207" spans="1:3" x14ac:dyDescent="0.25">
      <c r="A207">
        <f>1+A206</f>
        <v>2</v>
      </c>
      <c r="B207" s="117" t="s">
        <v>224</v>
      </c>
    </row>
    <row r="208" spans="1:3" x14ac:dyDescent="0.25">
      <c r="A208">
        <f t="shared" ref="A208:A209" si="6">1+A207</f>
        <v>3</v>
      </c>
      <c r="B208" s="29" t="s">
        <v>303</v>
      </c>
      <c r="C208" s="90">
        <v>-100</v>
      </c>
    </row>
    <row r="209" spans="1:3" x14ac:dyDescent="0.25">
      <c r="A209">
        <f t="shared" si="6"/>
        <v>4</v>
      </c>
      <c r="B209" s="29" t="s">
        <v>317</v>
      </c>
      <c r="C209" s="90">
        <v>-100</v>
      </c>
    </row>
  </sheetData>
  <sortState ref="B36:C53">
    <sortCondition ref="B36"/>
  </sortState>
  <mergeCells count="10">
    <mergeCell ref="O1:Q1"/>
    <mergeCell ref="I30:J30"/>
    <mergeCell ref="C25:D25"/>
    <mergeCell ref="B1:D1"/>
    <mergeCell ref="B8:D8"/>
    <mergeCell ref="B14:D14"/>
    <mergeCell ref="F1:G1"/>
    <mergeCell ref="I1:J1"/>
    <mergeCell ref="I16:J16"/>
    <mergeCell ref="F13:G13"/>
  </mergeCells>
  <pageMargins left="0.511811024" right="0.511811024" top="0.78740157499999996" bottom="0.78740157499999996" header="0.31496062000000002" footer="0.31496062000000002"/>
  <pageSetup paperSize="9" orientation="portrait" horizontalDpi="1200" verticalDpi="1200" r:id="rId1"/>
  <ignoredErrors>
    <ignoredError sqref="K40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50"/>
  <sheetViews>
    <sheetView tabSelected="1" workbookViewId="0">
      <pane xSplit="3" ySplit="3" topLeftCell="H4" activePane="bottomRight" state="frozen"/>
      <selection pane="topRight" activeCell="D1" sqref="D1"/>
      <selection pane="bottomLeft" activeCell="A4" sqref="A4"/>
      <selection pane="bottomRight" activeCell="A5" sqref="A5:XFD5"/>
    </sheetView>
  </sheetViews>
  <sheetFormatPr defaultRowHeight="12" x14ac:dyDescent="0.2"/>
  <cols>
    <col min="1" max="1" width="3.7109375" style="213" bestFit="1" customWidth="1"/>
    <col min="2" max="2" width="8.42578125" style="213" bestFit="1" customWidth="1"/>
    <col min="3" max="3" width="18.28515625" style="214" bestFit="1" customWidth="1"/>
    <col min="4" max="4" width="19.85546875" style="276" bestFit="1" customWidth="1"/>
    <col min="5" max="5" width="15.85546875" style="276" bestFit="1" customWidth="1"/>
    <col min="6" max="6" width="16" style="275" bestFit="1" customWidth="1"/>
    <col min="7" max="7" width="19.140625" style="214" bestFit="1" customWidth="1"/>
    <col min="8" max="8" width="15.28515625" style="214" bestFit="1" customWidth="1"/>
    <col min="9" max="9" width="12.42578125" style="276" bestFit="1" customWidth="1"/>
    <col min="10" max="10" width="12.5703125" style="276" bestFit="1" customWidth="1"/>
    <col min="11" max="11" width="16.85546875" style="274" bestFit="1" customWidth="1"/>
    <col min="12" max="12" width="17.7109375" style="274" bestFit="1" customWidth="1"/>
    <col min="13" max="13" width="22" style="276" bestFit="1" customWidth="1"/>
    <col min="14" max="14" width="16.28515625" style="274" bestFit="1" customWidth="1"/>
    <col min="15" max="15" width="17" style="276" bestFit="1" customWidth="1"/>
    <col min="16" max="16" width="14.7109375" style="276" bestFit="1" customWidth="1"/>
    <col min="17" max="17" width="17.5703125" style="276" bestFit="1" customWidth="1"/>
    <col min="18" max="18" width="9.85546875" style="214" bestFit="1" customWidth="1"/>
    <col min="19" max="19" width="17.5703125" style="275" bestFit="1" customWidth="1"/>
    <col min="20" max="20" width="15.140625" style="275" bestFit="1" customWidth="1"/>
    <col min="21" max="21" width="18" style="275" bestFit="1" customWidth="1"/>
    <col min="22" max="22" width="16.42578125" style="275" bestFit="1" customWidth="1"/>
    <col min="23" max="23" width="13.42578125" style="213" bestFit="1" customWidth="1"/>
    <col min="24" max="24" width="23" style="213" bestFit="1" customWidth="1"/>
    <col min="25" max="16384" width="9.140625" style="213"/>
  </cols>
  <sheetData>
    <row r="1" spans="1:24" x14ac:dyDescent="0.2">
      <c r="A1" s="212"/>
      <c r="D1" s="502" t="s">
        <v>477</v>
      </c>
      <c r="E1" s="503"/>
      <c r="F1" s="503"/>
      <c r="G1" s="503"/>
      <c r="H1" s="504"/>
      <c r="I1" s="502" t="s">
        <v>478</v>
      </c>
      <c r="J1" s="503"/>
      <c r="K1" s="503"/>
      <c r="L1" s="503"/>
      <c r="M1" s="503"/>
      <c r="N1" s="503"/>
      <c r="O1" s="503"/>
      <c r="P1" s="503"/>
      <c r="Q1" s="503"/>
      <c r="R1" s="503"/>
      <c r="S1" s="503"/>
      <c r="T1" s="503"/>
      <c r="U1" s="503"/>
      <c r="V1" s="504"/>
      <c r="W1" s="505" t="s">
        <v>535</v>
      </c>
      <c r="X1" s="506"/>
    </row>
    <row r="2" spans="1:24" s="215" customFormat="1" x14ac:dyDescent="0.2">
      <c r="C2" s="216"/>
      <c r="D2" s="283" t="s">
        <v>5</v>
      </c>
      <c r="E2" s="218" t="s">
        <v>5</v>
      </c>
      <c r="F2" s="218" t="s">
        <v>479</v>
      </c>
      <c r="G2" s="217" t="s">
        <v>6</v>
      </c>
      <c r="H2" s="219"/>
      <c r="I2" s="220" t="s">
        <v>5</v>
      </c>
      <c r="J2" s="221" t="s">
        <v>5</v>
      </c>
      <c r="K2" s="222" t="s">
        <v>5</v>
      </c>
      <c r="L2" s="222" t="s">
        <v>5</v>
      </c>
      <c r="M2" s="221" t="s">
        <v>5</v>
      </c>
      <c r="N2" s="222" t="s">
        <v>5</v>
      </c>
      <c r="O2" s="221" t="s">
        <v>5</v>
      </c>
      <c r="P2" s="221" t="s">
        <v>5</v>
      </c>
      <c r="Q2" s="221" t="s">
        <v>5</v>
      </c>
      <c r="R2" s="222" t="s">
        <v>480</v>
      </c>
      <c r="S2" s="221" t="s">
        <v>5</v>
      </c>
      <c r="T2" s="221" t="s">
        <v>5</v>
      </c>
      <c r="U2" s="221" t="s">
        <v>5</v>
      </c>
      <c r="V2" s="286" t="s">
        <v>5</v>
      </c>
    </row>
    <row r="3" spans="1:24" x14ac:dyDescent="0.2">
      <c r="A3" s="223" t="s">
        <v>481</v>
      </c>
      <c r="B3" s="223" t="s">
        <v>482</v>
      </c>
      <c r="C3" s="224" t="s">
        <v>483</v>
      </c>
      <c r="D3" s="284" t="s">
        <v>484</v>
      </c>
      <c r="E3" s="285" t="s">
        <v>485</v>
      </c>
      <c r="F3" s="225" t="s">
        <v>486</v>
      </c>
      <c r="G3" s="226" t="s">
        <v>487</v>
      </c>
      <c r="H3" s="227" t="s">
        <v>488</v>
      </c>
      <c r="I3" s="228" t="s">
        <v>489</v>
      </c>
      <c r="J3" s="229" t="s">
        <v>490</v>
      </c>
      <c r="K3" s="230" t="s">
        <v>491</v>
      </c>
      <c r="L3" s="230" t="s">
        <v>492</v>
      </c>
      <c r="M3" s="229" t="s">
        <v>493</v>
      </c>
      <c r="N3" s="230" t="s">
        <v>494</v>
      </c>
      <c r="O3" s="229" t="s">
        <v>495</v>
      </c>
      <c r="P3" s="229" t="s">
        <v>496</v>
      </c>
      <c r="Q3" s="229" t="s">
        <v>497</v>
      </c>
      <c r="R3" s="231" t="s">
        <v>498</v>
      </c>
      <c r="S3" s="229" t="s">
        <v>499</v>
      </c>
      <c r="T3" s="229" t="s">
        <v>500</v>
      </c>
      <c r="U3" s="229" t="s">
        <v>501</v>
      </c>
      <c r="V3" s="287" t="s">
        <v>502</v>
      </c>
      <c r="W3" s="288" t="s">
        <v>533</v>
      </c>
      <c r="X3" s="288" t="s">
        <v>534</v>
      </c>
    </row>
    <row r="4" spans="1:24" x14ac:dyDescent="0.2">
      <c r="A4" s="232">
        <v>1</v>
      </c>
      <c r="B4" s="232" t="s">
        <v>503</v>
      </c>
      <c r="C4" s="233" t="s">
        <v>73</v>
      </c>
      <c r="D4" s="238">
        <v>3500</v>
      </c>
      <c r="E4" s="235">
        <v>175</v>
      </c>
      <c r="F4" s="235">
        <v>5</v>
      </c>
      <c r="G4" s="236">
        <f>5*10^(-6)</f>
        <v>4.9999999999999996E-6</v>
      </c>
      <c r="H4" s="237">
        <v>1.3</v>
      </c>
      <c r="I4" s="238">
        <f>L4</f>
        <v>20</v>
      </c>
      <c r="J4" s="235">
        <f>L4/0.77</f>
        <v>25.974025974025974</v>
      </c>
      <c r="K4" s="234">
        <v>0.1</v>
      </c>
      <c r="L4" s="234">
        <v>20</v>
      </c>
      <c r="M4" s="235">
        <v>5</v>
      </c>
      <c r="N4" s="234">
        <v>4</v>
      </c>
      <c r="O4" s="235">
        <v>3500</v>
      </c>
      <c r="P4" s="235">
        <v>175</v>
      </c>
      <c r="Q4" s="235">
        <v>175</v>
      </c>
      <c r="R4" s="236">
        <v>400</v>
      </c>
      <c r="S4" s="235">
        <v>2450</v>
      </c>
      <c r="T4" s="235">
        <f>0.8*Q4</f>
        <v>140</v>
      </c>
      <c r="U4" s="235">
        <v>122.49999999999999</v>
      </c>
      <c r="V4" s="289">
        <v>1</v>
      </c>
      <c r="W4" s="234" t="str">
        <f t="shared" ref="W4:W37" si="0">"C"&amp;INT(L4)</f>
        <v>C20</v>
      </c>
      <c r="X4" s="232" t="str">
        <f>C4</f>
        <v>NBR7190-C20</v>
      </c>
    </row>
    <row r="5" spans="1:24" x14ac:dyDescent="0.2">
      <c r="A5" s="232">
        <v>2</v>
      </c>
      <c r="B5" s="232" t="s">
        <v>503</v>
      </c>
      <c r="C5" s="233" t="s">
        <v>76</v>
      </c>
      <c r="D5" s="238">
        <v>8500</v>
      </c>
      <c r="E5" s="235">
        <v>425</v>
      </c>
      <c r="F5" s="235">
        <v>5.5</v>
      </c>
      <c r="G5" s="236">
        <f t="shared" ref="G5:G11" si="1">5*10^(-6)</f>
        <v>4.9999999999999996E-6</v>
      </c>
      <c r="H5" s="237">
        <v>1.3</v>
      </c>
      <c r="I5" s="238">
        <f t="shared" ref="I5:I6" si="2">L5</f>
        <v>25</v>
      </c>
      <c r="J5" s="235">
        <f t="shared" ref="J5:J6" si="3">L5/0.77</f>
        <v>32.467532467532465</v>
      </c>
      <c r="K5" s="234">
        <v>0.1</v>
      </c>
      <c r="L5" s="234">
        <v>25</v>
      </c>
      <c r="M5" s="235">
        <v>6.25</v>
      </c>
      <c r="N5" s="234">
        <v>5</v>
      </c>
      <c r="O5" s="235">
        <v>8500</v>
      </c>
      <c r="P5" s="235">
        <v>425</v>
      </c>
      <c r="Q5" s="235">
        <v>425</v>
      </c>
      <c r="R5" s="236">
        <v>450</v>
      </c>
      <c r="S5" s="235">
        <v>5950</v>
      </c>
      <c r="T5" s="235">
        <f t="shared" ref="T5:T29" si="4">0.8*Q5</f>
        <v>340</v>
      </c>
      <c r="U5" s="235">
        <v>297.5</v>
      </c>
      <c r="V5" s="289">
        <v>1</v>
      </c>
      <c r="W5" s="234" t="str">
        <f t="shared" si="0"/>
        <v>C25</v>
      </c>
      <c r="X5" s="232" t="str">
        <f t="shared" ref="X5:X37" si="5">C5</f>
        <v>NBR7190-C25</v>
      </c>
    </row>
    <row r="6" spans="1:24" x14ac:dyDescent="0.2">
      <c r="A6" s="232">
        <v>3</v>
      </c>
      <c r="B6" s="232" t="s">
        <v>503</v>
      </c>
      <c r="C6" s="233" t="s">
        <v>75</v>
      </c>
      <c r="D6" s="238">
        <v>14500</v>
      </c>
      <c r="E6" s="235">
        <v>725</v>
      </c>
      <c r="F6" s="235">
        <v>6</v>
      </c>
      <c r="G6" s="236">
        <f t="shared" si="1"/>
        <v>4.9999999999999996E-6</v>
      </c>
      <c r="H6" s="237">
        <v>1.3</v>
      </c>
      <c r="I6" s="238">
        <f t="shared" si="2"/>
        <v>30</v>
      </c>
      <c r="J6" s="235">
        <f t="shared" si="3"/>
        <v>38.961038961038959</v>
      </c>
      <c r="K6" s="234">
        <v>0.1</v>
      </c>
      <c r="L6" s="234">
        <v>30</v>
      </c>
      <c r="M6" s="235">
        <v>7.5</v>
      </c>
      <c r="N6" s="234">
        <v>6</v>
      </c>
      <c r="O6" s="235">
        <v>14500</v>
      </c>
      <c r="P6" s="235">
        <v>725</v>
      </c>
      <c r="Q6" s="235">
        <v>725</v>
      </c>
      <c r="R6" s="236">
        <v>500</v>
      </c>
      <c r="S6" s="235">
        <v>10150</v>
      </c>
      <c r="T6" s="235">
        <f t="shared" si="4"/>
        <v>580</v>
      </c>
      <c r="U6" s="235">
        <v>507.49999999999994</v>
      </c>
      <c r="V6" s="289">
        <v>1</v>
      </c>
      <c r="W6" s="234" t="str">
        <f t="shared" si="0"/>
        <v>C30</v>
      </c>
      <c r="X6" s="232" t="str">
        <f t="shared" si="5"/>
        <v>NBR7190-C30</v>
      </c>
    </row>
    <row r="7" spans="1:24" x14ac:dyDescent="0.2">
      <c r="A7" s="239">
        <v>4</v>
      </c>
      <c r="B7" s="239" t="s">
        <v>503</v>
      </c>
      <c r="C7" s="240" t="s">
        <v>74</v>
      </c>
      <c r="D7" s="245">
        <v>9500</v>
      </c>
      <c r="E7" s="242">
        <v>475</v>
      </c>
      <c r="F7" s="242">
        <v>6.5</v>
      </c>
      <c r="G7" s="243">
        <f t="shared" si="1"/>
        <v>4.9999999999999996E-6</v>
      </c>
      <c r="H7" s="244">
        <v>1.3</v>
      </c>
      <c r="I7" s="245">
        <f>L7</f>
        <v>20</v>
      </c>
      <c r="J7" s="242">
        <f>L7/0.7</f>
        <v>28.571428571428573</v>
      </c>
      <c r="K7" s="241">
        <v>0.1</v>
      </c>
      <c r="L7" s="241">
        <v>20</v>
      </c>
      <c r="M7" s="242">
        <v>5</v>
      </c>
      <c r="N7" s="241">
        <v>4</v>
      </c>
      <c r="O7" s="242">
        <v>9500</v>
      </c>
      <c r="P7" s="242">
        <v>475</v>
      </c>
      <c r="Q7" s="242">
        <v>475</v>
      </c>
      <c r="R7" s="243">
        <v>500</v>
      </c>
      <c r="S7" s="242">
        <v>6650</v>
      </c>
      <c r="T7" s="242">
        <f t="shared" si="4"/>
        <v>380</v>
      </c>
      <c r="U7" s="242">
        <v>332.5</v>
      </c>
      <c r="V7" s="290">
        <v>1</v>
      </c>
      <c r="W7" s="241" t="str">
        <f t="shared" si="0"/>
        <v>C20</v>
      </c>
      <c r="X7" s="239" t="str">
        <f t="shared" si="5"/>
        <v>NBR7190-D20</v>
      </c>
    </row>
    <row r="8" spans="1:24" x14ac:dyDescent="0.2">
      <c r="A8" s="239">
        <v>5</v>
      </c>
      <c r="B8" s="239" t="s">
        <v>503</v>
      </c>
      <c r="C8" s="240" t="s">
        <v>77</v>
      </c>
      <c r="D8" s="245">
        <v>14500</v>
      </c>
      <c r="E8" s="242">
        <v>725</v>
      </c>
      <c r="F8" s="242">
        <v>6</v>
      </c>
      <c r="G8" s="243">
        <f t="shared" si="1"/>
        <v>4.9999999999999996E-6</v>
      </c>
      <c r="H8" s="244">
        <v>1.3</v>
      </c>
      <c r="I8" s="245">
        <f t="shared" ref="I8:I11" si="6">L8</f>
        <v>30</v>
      </c>
      <c r="J8" s="242">
        <f t="shared" ref="J8:J11" si="7">L8/0.7</f>
        <v>42.857142857142861</v>
      </c>
      <c r="K8" s="241">
        <v>0.1</v>
      </c>
      <c r="L8" s="241">
        <v>30</v>
      </c>
      <c r="M8" s="242">
        <v>7.5</v>
      </c>
      <c r="N8" s="241">
        <v>5</v>
      </c>
      <c r="O8" s="242">
        <v>14500</v>
      </c>
      <c r="P8" s="242">
        <v>725</v>
      </c>
      <c r="Q8" s="242">
        <v>725</v>
      </c>
      <c r="R8" s="243">
        <v>650</v>
      </c>
      <c r="S8" s="242">
        <v>10150</v>
      </c>
      <c r="T8" s="242">
        <f t="shared" si="4"/>
        <v>580</v>
      </c>
      <c r="U8" s="242">
        <v>507.49999999999994</v>
      </c>
      <c r="V8" s="290">
        <v>1</v>
      </c>
      <c r="W8" s="241" t="str">
        <f t="shared" si="0"/>
        <v>C30</v>
      </c>
      <c r="X8" s="239" t="str">
        <f t="shared" si="5"/>
        <v>NBR7190-D30</v>
      </c>
    </row>
    <row r="9" spans="1:24" x14ac:dyDescent="0.2">
      <c r="A9" s="239">
        <v>6</v>
      </c>
      <c r="B9" s="239" t="s">
        <v>503</v>
      </c>
      <c r="C9" s="240" t="s">
        <v>78</v>
      </c>
      <c r="D9" s="245">
        <v>19500</v>
      </c>
      <c r="E9" s="242">
        <v>975</v>
      </c>
      <c r="F9" s="242">
        <v>9.5</v>
      </c>
      <c r="G9" s="243">
        <f t="shared" si="1"/>
        <v>4.9999999999999996E-6</v>
      </c>
      <c r="H9" s="244">
        <v>1.3</v>
      </c>
      <c r="I9" s="245">
        <f t="shared" si="6"/>
        <v>40</v>
      </c>
      <c r="J9" s="242">
        <f t="shared" si="7"/>
        <v>57.142857142857146</v>
      </c>
      <c r="K9" s="241">
        <v>0.1</v>
      </c>
      <c r="L9" s="241">
        <v>40</v>
      </c>
      <c r="M9" s="242">
        <v>10</v>
      </c>
      <c r="N9" s="241">
        <v>6</v>
      </c>
      <c r="O9" s="242">
        <v>19500</v>
      </c>
      <c r="P9" s="242">
        <v>975</v>
      </c>
      <c r="Q9" s="242">
        <v>975</v>
      </c>
      <c r="R9" s="243">
        <v>750</v>
      </c>
      <c r="S9" s="242">
        <v>13650</v>
      </c>
      <c r="T9" s="242">
        <f t="shared" si="4"/>
        <v>780</v>
      </c>
      <c r="U9" s="242">
        <v>682.5</v>
      </c>
      <c r="V9" s="290">
        <v>1</v>
      </c>
      <c r="W9" s="241" t="str">
        <f t="shared" si="0"/>
        <v>C40</v>
      </c>
      <c r="X9" s="239" t="str">
        <f t="shared" si="5"/>
        <v>NBR7190-D40</v>
      </c>
    </row>
    <row r="10" spans="1:24" x14ac:dyDescent="0.2">
      <c r="A10" s="239">
        <v>7</v>
      </c>
      <c r="B10" s="239" t="s">
        <v>503</v>
      </c>
      <c r="C10" s="240" t="s">
        <v>79</v>
      </c>
      <c r="D10" s="245">
        <v>22000</v>
      </c>
      <c r="E10" s="242">
        <v>1100</v>
      </c>
      <c r="F10" s="242">
        <v>9.6999999999999993</v>
      </c>
      <c r="G10" s="243">
        <f t="shared" si="1"/>
        <v>4.9999999999999996E-6</v>
      </c>
      <c r="H10" s="244">
        <v>1.3</v>
      </c>
      <c r="I10" s="245">
        <f t="shared" si="6"/>
        <v>50</v>
      </c>
      <c r="J10" s="242">
        <f t="shared" si="7"/>
        <v>71.428571428571431</v>
      </c>
      <c r="K10" s="241">
        <v>0.1</v>
      </c>
      <c r="L10" s="241">
        <v>50</v>
      </c>
      <c r="M10" s="242">
        <v>12.5</v>
      </c>
      <c r="N10" s="241">
        <v>7</v>
      </c>
      <c r="O10" s="242">
        <v>22000</v>
      </c>
      <c r="P10" s="242">
        <v>1100</v>
      </c>
      <c r="Q10" s="242">
        <v>1100</v>
      </c>
      <c r="R10" s="243">
        <v>770</v>
      </c>
      <c r="S10" s="242">
        <v>15399.999999999998</v>
      </c>
      <c r="T10" s="242">
        <f t="shared" si="4"/>
        <v>880</v>
      </c>
      <c r="U10" s="242">
        <v>770</v>
      </c>
      <c r="V10" s="290">
        <v>1</v>
      </c>
      <c r="W10" s="241" t="str">
        <f t="shared" si="0"/>
        <v>C50</v>
      </c>
      <c r="X10" s="239" t="str">
        <f t="shared" si="5"/>
        <v>NBR7190-D50</v>
      </c>
    </row>
    <row r="11" spans="1:24" x14ac:dyDescent="0.2">
      <c r="A11" s="239">
        <v>8</v>
      </c>
      <c r="B11" s="239" t="s">
        <v>503</v>
      </c>
      <c r="C11" s="240" t="s">
        <v>80</v>
      </c>
      <c r="D11" s="245">
        <v>24500</v>
      </c>
      <c r="E11" s="242">
        <v>1225</v>
      </c>
      <c r="F11" s="242">
        <v>10</v>
      </c>
      <c r="G11" s="243">
        <f t="shared" si="1"/>
        <v>4.9999999999999996E-6</v>
      </c>
      <c r="H11" s="244">
        <v>1.3</v>
      </c>
      <c r="I11" s="245">
        <f t="shared" si="6"/>
        <v>60</v>
      </c>
      <c r="J11" s="242">
        <f t="shared" si="7"/>
        <v>85.714285714285722</v>
      </c>
      <c r="K11" s="241">
        <v>0.1</v>
      </c>
      <c r="L11" s="241">
        <v>60</v>
      </c>
      <c r="M11" s="242">
        <v>15</v>
      </c>
      <c r="N11" s="241">
        <v>8</v>
      </c>
      <c r="O11" s="242">
        <v>24500</v>
      </c>
      <c r="P11" s="242">
        <v>1225</v>
      </c>
      <c r="Q11" s="242">
        <v>1225</v>
      </c>
      <c r="R11" s="243">
        <v>800</v>
      </c>
      <c r="S11" s="242">
        <v>17150</v>
      </c>
      <c r="T11" s="242">
        <f t="shared" si="4"/>
        <v>980</v>
      </c>
      <c r="U11" s="242">
        <v>857.5</v>
      </c>
      <c r="V11" s="290">
        <v>1</v>
      </c>
      <c r="W11" s="241" t="str">
        <f t="shared" si="0"/>
        <v>C60</v>
      </c>
      <c r="X11" s="239" t="str">
        <f t="shared" si="5"/>
        <v>NBR7190-D60</v>
      </c>
    </row>
    <row r="12" spans="1:24" x14ac:dyDescent="0.2">
      <c r="A12" s="246">
        <v>9</v>
      </c>
      <c r="B12" s="246" t="s">
        <v>504</v>
      </c>
      <c r="C12" s="247" t="s">
        <v>506</v>
      </c>
      <c r="D12" s="252">
        <v>7000</v>
      </c>
      <c r="E12" s="249">
        <v>440</v>
      </c>
      <c r="F12" s="249">
        <v>3.5</v>
      </c>
      <c r="G12" s="250">
        <v>5.0000000000000004E-6</v>
      </c>
      <c r="H12" s="251">
        <v>1.3</v>
      </c>
      <c r="I12" s="252">
        <v>14</v>
      </c>
      <c r="J12" s="249">
        <v>8</v>
      </c>
      <c r="K12" s="248">
        <v>0.4</v>
      </c>
      <c r="L12" s="248">
        <v>16</v>
      </c>
      <c r="M12" s="249">
        <v>2</v>
      </c>
      <c r="N12" s="248">
        <v>1.7</v>
      </c>
      <c r="O12" s="249">
        <v>7000</v>
      </c>
      <c r="P12" s="249">
        <v>230</v>
      </c>
      <c r="Q12" s="249">
        <v>440</v>
      </c>
      <c r="R12" s="250">
        <v>290</v>
      </c>
      <c r="S12" s="249">
        <v>4700</v>
      </c>
      <c r="T12" s="249">
        <f t="shared" si="4"/>
        <v>352</v>
      </c>
      <c r="U12" s="249"/>
      <c r="V12" s="291">
        <v>1</v>
      </c>
      <c r="W12" s="248" t="str">
        <f t="shared" si="0"/>
        <v>C16</v>
      </c>
      <c r="X12" s="246" t="str">
        <f t="shared" si="5"/>
        <v>EC5-C14</v>
      </c>
    </row>
    <row r="13" spans="1:24" x14ac:dyDescent="0.2">
      <c r="A13" s="246">
        <v>10</v>
      </c>
      <c r="B13" s="246" t="s">
        <v>504</v>
      </c>
      <c r="C13" s="247" t="s">
        <v>507</v>
      </c>
      <c r="D13" s="252">
        <v>8000</v>
      </c>
      <c r="E13" s="249">
        <v>500</v>
      </c>
      <c r="F13" s="249">
        <v>3.7</v>
      </c>
      <c r="G13" s="250">
        <v>5.0000000000000004E-6</v>
      </c>
      <c r="H13" s="251">
        <v>1.3</v>
      </c>
      <c r="I13" s="252">
        <v>16</v>
      </c>
      <c r="J13" s="249">
        <v>10</v>
      </c>
      <c r="K13" s="248">
        <v>0.5</v>
      </c>
      <c r="L13" s="248">
        <v>17</v>
      </c>
      <c r="M13" s="249">
        <v>2.2000000000000002</v>
      </c>
      <c r="N13" s="248">
        <v>1.8</v>
      </c>
      <c r="O13" s="249">
        <v>8000</v>
      </c>
      <c r="P13" s="249">
        <v>270</v>
      </c>
      <c r="Q13" s="249">
        <v>500</v>
      </c>
      <c r="R13" s="250">
        <v>310</v>
      </c>
      <c r="S13" s="249">
        <v>5400</v>
      </c>
      <c r="T13" s="249">
        <f t="shared" si="4"/>
        <v>400</v>
      </c>
      <c r="U13" s="249"/>
      <c r="V13" s="291">
        <v>1</v>
      </c>
      <c r="W13" s="248" t="str">
        <f t="shared" si="0"/>
        <v>C17</v>
      </c>
      <c r="X13" s="246" t="str">
        <f t="shared" si="5"/>
        <v>EC5-C16</v>
      </c>
    </row>
    <row r="14" spans="1:24" x14ac:dyDescent="0.2">
      <c r="A14" s="246">
        <v>11</v>
      </c>
      <c r="B14" s="246" t="s">
        <v>504</v>
      </c>
      <c r="C14" s="247" t="s">
        <v>508</v>
      </c>
      <c r="D14" s="252">
        <v>9000</v>
      </c>
      <c r="E14" s="249">
        <v>560</v>
      </c>
      <c r="F14" s="249">
        <v>3.8</v>
      </c>
      <c r="G14" s="250">
        <v>5.0000000000000004E-6</v>
      </c>
      <c r="H14" s="251">
        <v>1.3</v>
      </c>
      <c r="I14" s="252">
        <v>18</v>
      </c>
      <c r="J14" s="249">
        <v>11</v>
      </c>
      <c r="K14" s="248">
        <v>0.5</v>
      </c>
      <c r="L14" s="248">
        <v>18</v>
      </c>
      <c r="M14" s="249">
        <v>2.2000000000000002</v>
      </c>
      <c r="N14" s="248">
        <v>2</v>
      </c>
      <c r="O14" s="249">
        <v>9000</v>
      </c>
      <c r="P14" s="249">
        <v>300</v>
      </c>
      <c r="Q14" s="249">
        <v>560</v>
      </c>
      <c r="R14" s="250">
        <v>320</v>
      </c>
      <c r="S14" s="249">
        <v>6000</v>
      </c>
      <c r="T14" s="249">
        <f t="shared" si="4"/>
        <v>448</v>
      </c>
      <c r="U14" s="249"/>
      <c r="V14" s="291">
        <v>1</v>
      </c>
      <c r="W14" s="248" t="str">
        <f t="shared" si="0"/>
        <v>C18</v>
      </c>
      <c r="X14" s="246" t="str">
        <f t="shared" si="5"/>
        <v>EC5-C18</v>
      </c>
    </row>
    <row r="15" spans="1:24" x14ac:dyDescent="0.2">
      <c r="A15" s="246">
        <v>12</v>
      </c>
      <c r="B15" s="246" t="s">
        <v>504</v>
      </c>
      <c r="C15" s="247" t="s">
        <v>509</v>
      </c>
      <c r="D15" s="252">
        <v>9500</v>
      </c>
      <c r="E15" s="249">
        <v>590</v>
      </c>
      <c r="F15" s="249">
        <v>3.9</v>
      </c>
      <c r="G15" s="250">
        <v>5.0000000000000004E-6</v>
      </c>
      <c r="H15" s="251">
        <v>1.3</v>
      </c>
      <c r="I15" s="252">
        <v>20</v>
      </c>
      <c r="J15" s="249">
        <v>12</v>
      </c>
      <c r="K15" s="248">
        <v>0.5</v>
      </c>
      <c r="L15" s="248">
        <v>19</v>
      </c>
      <c r="M15" s="249">
        <v>2.2999999999999998</v>
      </c>
      <c r="N15" s="248">
        <v>2.2000000000000002</v>
      </c>
      <c r="O15" s="249">
        <v>9500</v>
      </c>
      <c r="P15" s="249">
        <v>320</v>
      </c>
      <c r="Q15" s="249">
        <v>590</v>
      </c>
      <c r="R15" s="250">
        <v>330</v>
      </c>
      <c r="S15" s="249">
        <v>6400</v>
      </c>
      <c r="T15" s="249">
        <f t="shared" si="4"/>
        <v>472</v>
      </c>
      <c r="U15" s="249"/>
      <c r="V15" s="291">
        <v>1</v>
      </c>
      <c r="W15" s="248" t="str">
        <f t="shared" si="0"/>
        <v>C19</v>
      </c>
      <c r="X15" s="246" t="str">
        <f t="shared" si="5"/>
        <v>EC5-C20</v>
      </c>
    </row>
    <row r="16" spans="1:24" x14ac:dyDescent="0.2">
      <c r="A16" s="246">
        <v>13</v>
      </c>
      <c r="B16" s="246" t="s">
        <v>504</v>
      </c>
      <c r="C16" s="247" t="s">
        <v>510</v>
      </c>
      <c r="D16" s="252">
        <v>10000</v>
      </c>
      <c r="E16" s="249">
        <v>630</v>
      </c>
      <c r="F16" s="249">
        <v>4.0999999999999996</v>
      </c>
      <c r="G16" s="250">
        <v>5.0000000000000004E-6</v>
      </c>
      <c r="H16" s="251">
        <v>1.3</v>
      </c>
      <c r="I16" s="252">
        <v>22</v>
      </c>
      <c r="J16" s="249">
        <v>13</v>
      </c>
      <c r="K16" s="248">
        <v>0.5</v>
      </c>
      <c r="L16" s="248">
        <v>20</v>
      </c>
      <c r="M16" s="249">
        <v>2.4</v>
      </c>
      <c r="N16" s="248">
        <v>2.4</v>
      </c>
      <c r="O16" s="249">
        <v>10000</v>
      </c>
      <c r="P16" s="249">
        <v>330</v>
      </c>
      <c r="Q16" s="249">
        <v>630</v>
      </c>
      <c r="R16" s="250">
        <v>340</v>
      </c>
      <c r="S16" s="249">
        <v>6700</v>
      </c>
      <c r="T16" s="249">
        <f t="shared" si="4"/>
        <v>504</v>
      </c>
      <c r="U16" s="249"/>
      <c r="V16" s="291">
        <v>1</v>
      </c>
      <c r="W16" s="248" t="str">
        <f t="shared" si="0"/>
        <v>C20</v>
      </c>
      <c r="X16" s="246" t="str">
        <f t="shared" si="5"/>
        <v>EC5-C22</v>
      </c>
    </row>
    <row r="17" spans="1:24" x14ac:dyDescent="0.2">
      <c r="A17" s="246">
        <v>14</v>
      </c>
      <c r="B17" s="246" t="s">
        <v>504</v>
      </c>
      <c r="C17" s="247" t="s">
        <v>511</v>
      </c>
      <c r="D17" s="252">
        <v>11000</v>
      </c>
      <c r="E17" s="249">
        <v>690</v>
      </c>
      <c r="F17" s="249">
        <v>4.2</v>
      </c>
      <c r="G17" s="250">
        <v>5.0000000000000004E-6</v>
      </c>
      <c r="H17" s="251">
        <v>1.3</v>
      </c>
      <c r="I17" s="252">
        <v>24</v>
      </c>
      <c r="J17" s="249">
        <v>14</v>
      </c>
      <c r="K17" s="248">
        <v>0.5</v>
      </c>
      <c r="L17" s="248">
        <v>21</v>
      </c>
      <c r="M17" s="249">
        <v>2.5</v>
      </c>
      <c r="N17" s="248">
        <v>2.5</v>
      </c>
      <c r="O17" s="249">
        <v>11000</v>
      </c>
      <c r="P17" s="249">
        <v>370</v>
      </c>
      <c r="Q17" s="249">
        <v>690</v>
      </c>
      <c r="R17" s="250">
        <v>350</v>
      </c>
      <c r="S17" s="249">
        <v>7400</v>
      </c>
      <c r="T17" s="249">
        <f t="shared" si="4"/>
        <v>552</v>
      </c>
      <c r="U17" s="249"/>
      <c r="V17" s="291">
        <v>1</v>
      </c>
      <c r="W17" s="248" t="str">
        <f t="shared" si="0"/>
        <v>C21</v>
      </c>
      <c r="X17" s="246" t="str">
        <f t="shared" si="5"/>
        <v>EC5-C24</v>
      </c>
    </row>
    <row r="18" spans="1:24" x14ac:dyDescent="0.2">
      <c r="A18" s="246">
        <v>15</v>
      </c>
      <c r="B18" s="246" t="s">
        <v>504</v>
      </c>
      <c r="C18" s="247" t="s">
        <v>512</v>
      </c>
      <c r="D18" s="252">
        <v>11500</v>
      </c>
      <c r="E18" s="249">
        <v>720</v>
      </c>
      <c r="F18" s="249">
        <v>4.5</v>
      </c>
      <c r="G18" s="250">
        <v>5.0000000000000004E-6</v>
      </c>
      <c r="H18" s="251">
        <v>1.3</v>
      </c>
      <c r="I18" s="252">
        <v>27</v>
      </c>
      <c r="J18" s="249">
        <v>16</v>
      </c>
      <c r="K18" s="248">
        <v>0.6</v>
      </c>
      <c r="L18" s="248">
        <v>22</v>
      </c>
      <c r="M18" s="249">
        <v>2.6</v>
      </c>
      <c r="N18" s="248">
        <v>2.8</v>
      </c>
      <c r="O18" s="249">
        <v>11500</v>
      </c>
      <c r="P18" s="249">
        <v>380</v>
      </c>
      <c r="Q18" s="249">
        <v>720</v>
      </c>
      <c r="R18" s="250">
        <v>370</v>
      </c>
      <c r="S18" s="249">
        <v>7700</v>
      </c>
      <c r="T18" s="249">
        <f t="shared" si="4"/>
        <v>576</v>
      </c>
      <c r="U18" s="249"/>
      <c r="V18" s="291">
        <v>1</v>
      </c>
      <c r="W18" s="248" t="str">
        <f t="shared" si="0"/>
        <v>C22</v>
      </c>
      <c r="X18" s="246" t="str">
        <f t="shared" si="5"/>
        <v>EC5-C27</v>
      </c>
    </row>
    <row r="19" spans="1:24" x14ac:dyDescent="0.2">
      <c r="A19" s="246">
        <v>16</v>
      </c>
      <c r="B19" s="246" t="s">
        <v>504</v>
      </c>
      <c r="C19" s="247" t="s">
        <v>513</v>
      </c>
      <c r="D19" s="252">
        <v>12000</v>
      </c>
      <c r="E19" s="249">
        <v>750</v>
      </c>
      <c r="F19" s="249">
        <v>4.5999999999999996</v>
      </c>
      <c r="G19" s="250">
        <v>5.0000000000000004E-6</v>
      </c>
      <c r="H19" s="251">
        <v>1.3</v>
      </c>
      <c r="I19" s="252">
        <v>30</v>
      </c>
      <c r="J19" s="249">
        <v>18</v>
      </c>
      <c r="K19" s="248">
        <v>0.6</v>
      </c>
      <c r="L19" s="248">
        <v>23</v>
      </c>
      <c r="M19" s="249">
        <v>2.7</v>
      </c>
      <c r="N19" s="248">
        <v>3</v>
      </c>
      <c r="O19" s="249">
        <v>12000</v>
      </c>
      <c r="P19" s="249">
        <v>400</v>
      </c>
      <c r="Q19" s="249">
        <v>750</v>
      </c>
      <c r="R19" s="250">
        <v>380</v>
      </c>
      <c r="S19" s="249">
        <v>8000</v>
      </c>
      <c r="T19" s="249">
        <f t="shared" si="4"/>
        <v>600</v>
      </c>
      <c r="U19" s="249"/>
      <c r="V19" s="291">
        <v>1</v>
      </c>
      <c r="W19" s="248" t="str">
        <f t="shared" si="0"/>
        <v>C23</v>
      </c>
      <c r="X19" s="246" t="str">
        <f t="shared" si="5"/>
        <v>EC5-C30</v>
      </c>
    </row>
    <row r="20" spans="1:24" x14ac:dyDescent="0.2">
      <c r="A20" s="246">
        <v>17</v>
      </c>
      <c r="B20" s="246" t="s">
        <v>504</v>
      </c>
      <c r="C20" s="247" t="s">
        <v>514</v>
      </c>
      <c r="D20" s="252">
        <v>13000</v>
      </c>
      <c r="E20" s="249">
        <v>810</v>
      </c>
      <c r="F20" s="249">
        <v>4.8</v>
      </c>
      <c r="G20" s="250">
        <v>5.0000000000000004E-6</v>
      </c>
      <c r="H20" s="251">
        <v>1.3</v>
      </c>
      <c r="I20" s="252">
        <v>35</v>
      </c>
      <c r="J20" s="249">
        <v>21</v>
      </c>
      <c r="K20" s="248">
        <v>0.6</v>
      </c>
      <c r="L20" s="248">
        <v>25</v>
      </c>
      <c r="M20" s="249">
        <v>2.8</v>
      </c>
      <c r="N20" s="248">
        <v>3.4</v>
      </c>
      <c r="O20" s="249">
        <v>13000</v>
      </c>
      <c r="P20" s="249">
        <v>430</v>
      </c>
      <c r="Q20" s="249">
        <v>810</v>
      </c>
      <c r="R20" s="250">
        <v>400</v>
      </c>
      <c r="S20" s="249">
        <v>8700</v>
      </c>
      <c r="T20" s="249">
        <f t="shared" si="4"/>
        <v>648</v>
      </c>
      <c r="U20" s="249"/>
      <c r="V20" s="291">
        <v>1</v>
      </c>
      <c r="W20" s="248" t="str">
        <f t="shared" si="0"/>
        <v>C25</v>
      </c>
      <c r="X20" s="246" t="str">
        <f t="shared" si="5"/>
        <v>EC5-C35</v>
      </c>
    </row>
    <row r="21" spans="1:24" x14ac:dyDescent="0.2">
      <c r="A21" s="246">
        <v>18</v>
      </c>
      <c r="B21" s="246" t="s">
        <v>504</v>
      </c>
      <c r="C21" s="247" t="s">
        <v>515</v>
      </c>
      <c r="D21" s="252">
        <v>14000</v>
      </c>
      <c r="E21" s="249">
        <v>880</v>
      </c>
      <c r="F21" s="249">
        <v>5</v>
      </c>
      <c r="G21" s="250">
        <v>5.0000000000000004E-6</v>
      </c>
      <c r="H21" s="251">
        <v>1.3</v>
      </c>
      <c r="I21" s="252">
        <v>40</v>
      </c>
      <c r="J21" s="249">
        <v>24</v>
      </c>
      <c r="K21" s="248">
        <v>0.6</v>
      </c>
      <c r="L21" s="248">
        <v>26</v>
      </c>
      <c r="M21" s="249">
        <v>2.9</v>
      </c>
      <c r="N21" s="248">
        <v>3.8</v>
      </c>
      <c r="O21" s="249">
        <v>14000</v>
      </c>
      <c r="P21" s="249">
        <v>470</v>
      </c>
      <c r="Q21" s="249">
        <v>880</v>
      </c>
      <c r="R21" s="250">
        <v>420</v>
      </c>
      <c r="S21" s="249">
        <v>9400</v>
      </c>
      <c r="T21" s="249">
        <f t="shared" si="4"/>
        <v>704</v>
      </c>
      <c r="U21" s="249"/>
      <c r="V21" s="291">
        <v>1</v>
      </c>
      <c r="W21" s="248" t="str">
        <f t="shared" si="0"/>
        <v>C26</v>
      </c>
      <c r="X21" s="246" t="str">
        <f t="shared" si="5"/>
        <v>EC5-C40</v>
      </c>
    </row>
    <row r="22" spans="1:24" x14ac:dyDescent="0.2">
      <c r="A22" s="246">
        <v>19</v>
      </c>
      <c r="B22" s="246" t="s">
        <v>504</v>
      </c>
      <c r="C22" s="247" t="s">
        <v>516</v>
      </c>
      <c r="D22" s="252">
        <v>15000</v>
      </c>
      <c r="E22" s="249">
        <v>940</v>
      </c>
      <c r="F22" s="249">
        <v>5.2</v>
      </c>
      <c r="G22" s="250">
        <v>5.0000000000000004E-6</v>
      </c>
      <c r="H22" s="251">
        <v>1.3</v>
      </c>
      <c r="I22" s="252">
        <v>45</v>
      </c>
      <c r="J22" s="249">
        <v>27</v>
      </c>
      <c r="K22" s="248">
        <v>0.6</v>
      </c>
      <c r="L22" s="248">
        <v>27</v>
      </c>
      <c r="M22" s="249">
        <v>3.1</v>
      </c>
      <c r="N22" s="248">
        <v>3.8</v>
      </c>
      <c r="O22" s="249">
        <v>15000</v>
      </c>
      <c r="P22" s="249">
        <v>500</v>
      </c>
      <c r="Q22" s="249">
        <v>940</v>
      </c>
      <c r="R22" s="250">
        <v>440</v>
      </c>
      <c r="S22" s="249">
        <v>10000</v>
      </c>
      <c r="T22" s="249">
        <f t="shared" si="4"/>
        <v>752</v>
      </c>
      <c r="U22" s="249"/>
      <c r="V22" s="291">
        <v>1</v>
      </c>
      <c r="W22" s="248" t="str">
        <f t="shared" si="0"/>
        <v>C27</v>
      </c>
      <c r="X22" s="246" t="str">
        <f t="shared" si="5"/>
        <v>EC5-C45</v>
      </c>
    </row>
    <row r="23" spans="1:24" x14ac:dyDescent="0.2">
      <c r="A23" s="246">
        <v>20</v>
      </c>
      <c r="B23" s="246" t="s">
        <v>504</v>
      </c>
      <c r="C23" s="247" t="s">
        <v>517</v>
      </c>
      <c r="D23" s="252">
        <v>16000</v>
      </c>
      <c r="E23" s="249">
        <v>1000</v>
      </c>
      <c r="F23" s="249">
        <v>5.5</v>
      </c>
      <c r="G23" s="250">
        <v>5.0000000000000004E-6</v>
      </c>
      <c r="H23" s="251">
        <v>1.3</v>
      </c>
      <c r="I23" s="252">
        <v>50</v>
      </c>
      <c r="J23" s="249">
        <v>30</v>
      </c>
      <c r="K23" s="248">
        <v>0.6</v>
      </c>
      <c r="L23" s="248">
        <v>29</v>
      </c>
      <c r="M23" s="249">
        <v>3.2</v>
      </c>
      <c r="N23" s="248">
        <v>3.8</v>
      </c>
      <c r="O23" s="249">
        <v>16000</v>
      </c>
      <c r="P23" s="249">
        <v>530</v>
      </c>
      <c r="Q23" s="249">
        <v>1000</v>
      </c>
      <c r="R23" s="250">
        <v>460</v>
      </c>
      <c r="S23" s="249">
        <v>10700</v>
      </c>
      <c r="T23" s="249">
        <f t="shared" si="4"/>
        <v>800</v>
      </c>
      <c r="U23" s="249"/>
      <c r="V23" s="291">
        <v>1</v>
      </c>
      <c r="W23" s="248" t="str">
        <f t="shared" si="0"/>
        <v>C29</v>
      </c>
      <c r="X23" s="246" t="str">
        <f t="shared" si="5"/>
        <v>EC5-C50</v>
      </c>
    </row>
    <row r="24" spans="1:24" x14ac:dyDescent="0.2">
      <c r="A24" s="253">
        <v>21</v>
      </c>
      <c r="B24" s="253" t="s">
        <v>504</v>
      </c>
      <c r="C24" s="254" t="s">
        <v>518</v>
      </c>
      <c r="D24" s="259">
        <v>10000</v>
      </c>
      <c r="E24" s="256">
        <v>600</v>
      </c>
      <c r="F24" s="256">
        <v>6.4</v>
      </c>
      <c r="G24" s="257">
        <v>5.0000000000000004E-6</v>
      </c>
      <c r="H24" s="258">
        <v>1.3</v>
      </c>
      <c r="I24" s="259">
        <v>30</v>
      </c>
      <c r="J24" s="256">
        <v>18</v>
      </c>
      <c r="K24" s="255">
        <v>0.6</v>
      </c>
      <c r="L24" s="255">
        <v>23</v>
      </c>
      <c r="M24" s="256">
        <v>8</v>
      </c>
      <c r="N24" s="255">
        <v>3</v>
      </c>
      <c r="O24" s="256">
        <v>10000</v>
      </c>
      <c r="P24" s="256">
        <v>640</v>
      </c>
      <c r="Q24" s="256">
        <v>600</v>
      </c>
      <c r="R24" s="257">
        <v>530</v>
      </c>
      <c r="S24" s="256">
        <v>8000</v>
      </c>
      <c r="T24" s="256">
        <f t="shared" si="4"/>
        <v>480</v>
      </c>
      <c r="U24" s="256"/>
      <c r="V24" s="292">
        <v>1</v>
      </c>
      <c r="W24" s="255" t="str">
        <f t="shared" si="0"/>
        <v>C23</v>
      </c>
      <c r="X24" s="253" t="str">
        <f t="shared" si="5"/>
        <v>EC5-D30</v>
      </c>
    </row>
    <row r="25" spans="1:24" x14ac:dyDescent="0.2">
      <c r="A25" s="253">
        <v>22</v>
      </c>
      <c r="B25" s="253" t="s">
        <v>504</v>
      </c>
      <c r="C25" s="254" t="s">
        <v>519</v>
      </c>
      <c r="D25" s="259">
        <v>10000</v>
      </c>
      <c r="E25" s="256">
        <v>650</v>
      </c>
      <c r="F25" s="256">
        <v>6.7</v>
      </c>
      <c r="G25" s="257">
        <v>5.0000000000000004E-6</v>
      </c>
      <c r="H25" s="258">
        <v>1.3</v>
      </c>
      <c r="I25" s="259">
        <v>35</v>
      </c>
      <c r="J25" s="256">
        <v>21</v>
      </c>
      <c r="K25" s="255">
        <v>0.6</v>
      </c>
      <c r="L25" s="255">
        <v>25</v>
      </c>
      <c r="M25" s="256">
        <v>8.4</v>
      </c>
      <c r="N25" s="255">
        <v>3.4</v>
      </c>
      <c r="O25" s="256">
        <v>10000</v>
      </c>
      <c r="P25" s="256">
        <v>690</v>
      </c>
      <c r="Q25" s="256">
        <v>650</v>
      </c>
      <c r="R25" s="257">
        <v>560</v>
      </c>
      <c r="S25" s="256">
        <v>8700</v>
      </c>
      <c r="T25" s="256">
        <f t="shared" si="4"/>
        <v>520</v>
      </c>
      <c r="U25" s="256"/>
      <c r="V25" s="292">
        <v>1</v>
      </c>
      <c r="W25" s="255" t="str">
        <f t="shared" si="0"/>
        <v>C25</v>
      </c>
      <c r="X25" s="253" t="str">
        <f t="shared" si="5"/>
        <v>EC5-D35</v>
      </c>
    </row>
    <row r="26" spans="1:24" x14ac:dyDescent="0.2">
      <c r="A26" s="253">
        <v>23</v>
      </c>
      <c r="B26" s="253" t="s">
        <v>504</v>
      </c>
      <c r="C26" s="254" t="s">
        <v>520</v>
      </c>
      <c r="D26" s="259">
        <v>11000</v>
      </c>
      <c r="E26" s="256">
        <v>700</v>
      </c>
      <c r="F26" s="256">
        <v>7</v>
      </c>
      <c r="G26" s="257">
        <v>5.0000000000000004E-6</v>
      </c>
      <c r="H26" s="258">
        <v>1.3</v>
      </c>
      <c r="I26" s="259">
        <v>40</v>
      </c>
      <c r="J26" s="256">
        <v>24</v>
      </c>
      <c r="K26" s="255">
        <v>0.6</v>
      </c>
      <c r="L26" s="255">
        <v>26</v>
      </c>
      <c r="M26" s="256">
        <v>8.8000000000000007</v>
      </c>
      <c r="N26" s="255">
        <v>3.8</v>
      </c>
      <c r="O26" s="256">
        <v>11000</v>
      </c>
      <c r="P26" s="256">
        <v>750</v>
      </c>
      <c r="Q26" s="256">
        <v>700</v>
      </c>
      <c r="R26" s="257">
        <v>590</v>
      </c>
      <c r="S26" s="256">
        <v>9400</v>
      </c>
      <c r="T26" s="256">
        <f t="shared" si="4"/>
        <v>560</v>
      </c>
      <c r="U26" s="256"/>
      <c r="V26" s="292">
        <v>1</v>
      </c>
      <c r="W26" s="255" t="str">
        <f t="shared" si="0"/>
        <v>C26</v>
      </c>
      <c r="X26" s="253" t="str">
        <f t="shared" si="5"/>
        <v>EC5-D40</v>
      </c>
    </row>
    <row r="27" spans="1:24" x14ac:dyDescent="0.2">
      <c r="A27" s="253">
        <v>24</v>
      </c>
      <c r="B27" s="253" t="s">
        <v>504</v>
      </c>
      <c r="C27" s="254" t="s">
        <v>521</v>
      </c>
      <c r="D27" s="259">
        <v>14000</v>
      </c>
      <c r="E27" s="256">
        <v>880</v>
      </c>
      <c r="F27" s="256">
        <v>7.8</v>
      </c>
      <c r="G27" s="257">
        <v>5.0000000000000004E-6</v>
      </c>
      <c r="H27" s="258">
        <v>1.3</v>
      </c>
      <c r="I27" s="259">
        <v>50</v>
      </c>
      <c r="J27" s="256">
        <v>30</v>
      </c>
      <c r="K27" s="255">
        <v>0.6</v>
      </c>
      <c r="L27" s="255">
        <v>29</v>
      </c>
      <c r="M27" s="256">
        <v>9.6999999999999993</v>
      </c>
      <c r="N27" s="255">
        <v>4.5999999999999996</v>
      </c>
      <c r="O27" s="256">
        <v>14000</v>
      </c>
      <c r="P27" s="256">
        <v>930</v>
      </c>
      <c r="Q27" s="256">
        <v>880</v>
      </c>
      <c r="R27" s="257">
        <v>650</v>
      </c>
      <c r="S27" s="256">
        <v>11800</v>
      </c>
      <c r="T27" s="256">
        <f t="shared" si="4"/>
        <v>704</v>
      </c>
      <c r="U27" s="256"/>
      <c r="V27" s="292">
        <v>1</v>
      </c>
      <c r="W27" s="255" t="str">
        <f t="shared" si="0"/>
        <v>C29</v>
      </c>
      <c r="X27" s="253" t="str">
        <f t="shared" si="5"/>
        <v>EC5-D50</v>
      </c>
    </row>
    <row r="28" spans="1:24" x14ac:dyDescent="0.2">
      <c r="A28" s="253">
        <v>25</v>
      </c>
      <c r="B28" s="253" t="s">
        <v>504</v>
      </c>
      <c r="C28" s="254" t="s">
        <v>522</v>
      </c>
      <c r="D28" s="259">
        <v>17000</v>
      </c>
      <c r="E28" s="256">
        <v>1060</v>
      </c>
      <c r="F28" s="256">
        <v>8.4</v>
      </c>
      <c r="G28" s="257">
        <v>5.0000000000000004E-6</v>
      </c>
      <c r="H28" s="258">
        <v>1.3</v>
      </c>
      <c r="I28" s="259">
        <v>60</v>
      </c>
      <c r="J28" s="256">
        <v>36</v>
      </c>
      <c r="K28" s="255">
        <v>0.6</v>
      </c>
      <c r="L28" s="255">
        <v>32</v>
      </c>
      <c r="M28" s="256">
        <v>10.5</v>
      </c>
      <c r="N28" s="255">
        <v>5.3</v>
      </c>
      <c r="O28" s="256">
        <v>17000</v>
      </c>
      <c r="P28" s="256">
        <v>1130</v>
      </c>
      <c r="Q28" s="256">
        <v>1060</v>
      </c>
      <c r="R28" s="257">
        <v>700</v>
      </c>
      <c r="S28" s="256">
        <v>14300</v>
      </c>
      <c r="T28" s="256">
        <f t="shared" si="4"/>
        <v>848</v>
      </c>
      <c r="U28" s="256"/>
      <c r="V28" s="292">
        <v>1</v>
      </c>
      <c r="W28" s="255" t="str">
        <f t="shared" si="0"/>
        <v>C32</v>
      </c>
      <c r="X28" s="253" t="str">
        <f t="shared" si="5"/>
        <v>EC5-D60</v>
      </c>
    </row>
    <row r="29" spans="1:24" x14ac:dyDescent="0.2">
      <c r="A29" s="253">
        <v>26</v>
      </c>
      <c r="B29" s="253" t="s">
        <v>504</v>
      </c>
      <c r="C29" s="254" t="s">
        <v>523</v>
      </c>
      <c r="D29" s="259">
        <v>20000</v>
      </c>
      <c r="E29" s="256">
        <v>1250</v>
      </c>
      <c r="F29" s="256">
        <v>10.8</v>
      </c>
      <c r="G29" s="257">
        <v>5.0000000000000004E-6</v>
      </c>
      <c r="H29" s="258">
        <v>1.3</v>
      </c>
      <c r="I29" s="259">
        <v>70</v>
      </c>
      <c r="J29" s="256">
        <v>42</v>
      </c>
      <c r="K29" s="255">
        <v>0.6</v>
      </c>
      <c r="L29" s="255">
        <v>34</v>
      </c>
      <c r="M29" s="256">
        <v>13.5</v>
      </c>
      <c r="N29" s="255">
        <v>6</v>
      </c>
      <c r="O29" s="256">
        <v>20000</v>
      </c>
      <c r="P29" s="256">
        <v>1330</v>
      </c>
      <c r="Q29" s="256">
        <v>1250</v>
      </c>
      <c r="R29" s="257">
        <v>900</v>
      </c>
      <c r="S29" s="256">
        <v>16800</v>
      </c>
      <c r="T29" s="256">
        <f t="shared" si="4"/>
        <v>1000</v>
      </c>
      <c r="U29" s="256"/>
      <c r="V29" s="292">
        <v>1</v>
      </c>
      <c r="W29" s="255" t="str">
        <f t="shared" si="0"/>
        <v>C34</v>
      </c>
      <c r="X29" s="253" t="str">
        <f t="shared" si="5"/>
        <v>EC5-D70</v>
      </c>
    </row>
    <row r="30" spans="1:24" x14ac:dyDescent="0.2">
      <c r="A30" s="260">
        <v>27</v>
      </c>
      <c r="B30" s="260" t="s">
        <v>504</v>
      </c>
      <c r="C30" s="261" t="s">
        <v>524</v>
      </c>
      <c r="D30" s="266">
        <v>11600</v>
      </c>
      <c r="E30" s="263"/>
      <c r="F30" s="263">
        <v>3.7</v>
      </c>
      <c r="G30" s="264">
        <v>5.0000000000000004E-6</v>
      </c>
      <c r="H30" s="265">
        <v>1.3</v>
      </c>
      <c r="I30" s="266">
        <v>24</v>
      </c>
      <c r="J30" s="263">
        <v>16.5</v>
      </c>
      <c r="K30" s="262">
        <v>0.4</v>
      </c>
      <c r="L30" s="262">
        <v>24</v>
      </c>
      <c r="M30" s="263">
        <v>2.7</v>
      </c>
      <c r="N30" s="262">
        <v>2.7</v>
      </c>
      <c r="O30" s="263">
        <v>11600</v>
      </c>
      <c r="P30" s="263"/>
      <c r="Q30" s="263"/>
      <c r="R30" s="264"/>
      <c r="S30" s="263"/>
      <c r="T30" s="263"/>
      <c r="U30" s="263"/>
      <c r="V30" s="293">
        <v>1</v>
      </c>
      <c r="W30" s="262" t="str">
        <f t="shared" si="0"/>
        <v>C24</v>
      </c>
      <c r="X30" s="260" t="str">
        <f t="shared" si="5"/>
        <v>EC5-GL24h</v>
      </c>
    </row>
    <row r="31" spans="1:24" x14ac:dyDescent="0.2">
      <c r="A31" s="260">
        <v>28</v>
      </c>
      <c r="B31" s="260" t="s">
        <v>504</v>
      </c>
      <c r="C31" s="261" t="s">
        <v>525</v>
      </c>
      <c r="D31" s="266">
        <v>11600</v>
      </c>
      <c r="E31" s="263"/>
      <c r="F31" s="263">
        <v>3.5</v>
      </c>
      <c r="G31" s="264">
        <v>5.0000000000000004E-6</v>
      </c>
      <c r="H31" s="265">
        <v>1.3</v>
      </c>
      <c r="I31" s="266">
        <v>24</v>
      </c>
      <c r="J31" s="263">
        <v>16</v>
      </c>
      <c r="K31" s="262">
        <v>0.3</v>
      </c>
      <c r="L31" s="262">
        <v>21</v>
      </c>
      <c r="M31" s="263">
        <v>2.4</v>
      </c>
      <c r="N31" s="262">
        <v>2.2000000000000002</v>
      </c>
      <c r="O31" s="263">
        <v>11600</v>
      </c>
      <c r="P31" s="263"/>
      <c r="Q31" s="263"/>
      <c r="R31" s="264"/>
      <c r="S31" s="263"/>
      <c r="T31" s="263"/>
      <c r="U31" s="263"/>
      <c r="V31" s="293">
        <v>1</v>
      </c>
      <c r="W31" s="262" t="str">
        <f t="shared" si="0"/>
        <v>C21</v>
      </c>
      <c r="X31" s="260" t="str">
        <f t="shared" si="5"/>
        <v>EC5-GL24c</v>
      </c>
    </row>
    <row r="32" spans="1:24" x14ac:dyDescent="0.2">
      <c r="A32" s="260">
        <v>29</v>
      </c>
      <c r="B32" s="260" t="s">
        <v>504</v>
      </c>
      <c r="C32" s="261" t="s">
        <v>526</v>
      </c>
      <c r="D32" s="266">
        <v>12600</v>
      </c>
      <c r="E32" s="263"/>
      <c r="F32" s="263">
        <v>4</v>
      </c>
      <c r="G32" s="264">
        <v>5.0000000000000004E-6</v>
      </c>
      <c r="H32" s="265">
        <v>1.3</v>
      </c>
      <c r="I32" s="266">
        <v>28</v>
      </c>
      <c r="J32" s="263">
        <v>19.5</v>
      </c>
      <c r="K32" s="262">
        <v>0.4</v>
      </c>
      <c r="L32" s="262">
        <v>26.5</v>
      </c>
      <c r="M32" s="263">
        <v>3</v>
      </c>
      <c r="N32" s="262">
        <v>3.2</v>
      </c>
      <c r="O32" s="263">
        <v>12600</v>
      </c>
      <c r="P32" s="263"/>
      <c r="Q32" s="263"/>
      <c r="R32" s="264"/>
      <c r="S32" s="263"/>
      <c r="T32" s="263"/>
      <c r="U32" s="263"/>
      <c r="V32" s="293">
        <v>1</v>
      </c>
      <c r="W32" s="262" t="str">
        <f t="shared" si="0"/>
        <v>C26</v>
      </c>
      <c r="X32" s="260" t="str">
        <f t="shared" si="5"/>
        <v>EC5-GL28h</v>
      </c>
    </row>
    <row r="33" spans="1:24" x14ac:dyDescent="0.2">
      <c r="A33" s="260">
        <v>30</v>
      </c>
      <c r="B33" s="260" t="s">
        <v>504</v>
      </c>
      <c r="C33" s="261" t="s">
        <v>527</v>
      </c>
      <c r="D33" s="266">
        <v>12600</v>
      </c>
      <c r="E33" s="263">
        <v>720</v>
      </c>
      <c r="F33" s="263">
        <v>3.7</v>
      </c>
      <c r="G33" s="264">
        <v>5.0000000000000004E-6</v>
      </c>
      <c r="H33" s="265">
        <v>1.25</v>
      </c>
      <c r="I33" s="266">
        <v>28</v>
      </c>
      <c r="J33" s="263">
        <v>16.5</v>
      </c>
      <c r="K33" s="262">
        <v>0.4</v>
      </c>
      <c r="L33" s="262">
        <v>24</v>
      </c>
      <c r="M33" s="263">
        <v>2.7</v>
      </c>
      <c r="N33" s="262">
        <v>2.7</v>
      </c>
      <c r="O33" s="263">
        <v>12600</v>
      </c>
      <c r="P33" s="263">
        <v>390</v>
      </c>
      <c r="Q33" s="263">
        <v>720</v>
      </c>
      <c r="R33" s="264">
        <v>380</v>
      </c>
      <c r="S33" s="263">
        <v>10200</v>
      </c>
      <c r="T33" s="263">
        <v>325</v>
      </c>
      <c r="U33" s="263">
        <v>583</v>
      </c>
      <c r="V33" s="293">
        <v>1</v>
      </c>
      <c r="W33" s="262" t="str">
        <f t="shared" si="0"/>
        <v>C24</v>
      </c>
      <c r="X33" s="260" t="str">
        <f t="shared" si="5"/>
        <v>EC5-GL28c</v>
      </c>
    </row>
    <row r="34" spans="1:24" x14ac:dyDescent="0.2">
      <c r="A34" s="260">
        <v>31</v>
      </c>
      <c r="B34" s="260" t="s">
        <v>504</v>
      </c>
      <c r="C34" s="261" t="s">
        <v>528</v>
      </c>
      <c r="D34" s="266">
        <v>13700</v>
      </c>
      <c r="E34" s="263"/>
      <c r="F34" s="263">
        <v>4.2</v>
      </c>
      <c r="G34" s="264">
        <v>5.0000000000000004E-6</v>
      </c>
      <c r="H34" s="265">
        <v>1.3</v>
      </c>
      <c r="I34" s="266">
        <v>32</v>
      </c>
      <c r="J34" s="263">
        <v>22.5</v>
      </c>
      <c r="K34" s="262">
        <v>0.5</v>
      </c>
      <c r="L34" s="262">
        <v>29</v>
      </c>
      <c r="M34" s="263">
        <v>3.3</v>
      </c>
      <c r="N34" s="262">
        <v>3.8</v>
      </c>
      <c r="O34" s="263">
        <v>13700</v>
      </c>
      <c r="P34" s="263"/>
      <c r="Q34" s="263"/>
      <c r="R34" s="264"/>
      <c r="S34" s="263"/>
      <c r="T34" s="263"/>
      <c r="U34" s="263"/>
      <c r="V34" s="293">
        <v>1</v>
      </c>
      <c r="W34" s="262" t="str">
        <f t="shared" si="0"/>
        <v>C29</v>
      </c>
      <c r="X34" s="260" t="str">
        <f t="shared" si="5"/>
        <v>EC5-GL32h</v>
      </c>
    </row>
    <row r="35" spans="1:24" x14ac:dyDescent="0.2">
      <c r="A35" s="260">
        <v>32</v>
      </c>
      <c r="B35" s="260" t="s">
        <v>504</v>
      </c>
      <c r="C35" s="261" t="s">
        <v>529</v>
      </c>
      <c r="D35" s="266">
        <v>13700</v>
      </c>
      <c r="E35" s="263"/>
      <c r="F35" s="263">
        <v>4</v>
      </c>
      <c r="G35" s="264">
        <v>5.0000000000000004E-6</v>
      </c>
      <c r="H35" s="265">
        <v>1.3</v>
      </c>
      <c r="I35" s="266">
        <v>32</v>
      </c>
      <c r="J35" s="263">
        <v>19.5</v>
      </c>
      <c r="K35" s="262">
        <v>0.4</v>
      </c>
      <c r="L35" s="262">
        <v>26.5</v>
      </c>
      <c r="M35" s="263">
        <v>3</v>
      </c>
      <c r="N35" s="262">
        <v>3.2</v>
      </c>
      <c r="O35" s="263">
        <v>13700</v>
      </c>
      <c r="P35" s="263"/>
      <c r="Q35" s="263"/>
      <c r="R35" s="264"/>
      <c r="S35" s="263"/>
      <c r="T35" s="263"/>
      <c r="U35" s="263"/>
      <c r="V35" s="293">
        <v>1</v>
      </c>
      <c r="W35" s="262" t="str">
        <f t="shared" si="0"/>
        <v>C26</v>
      </c>
      <c r="X35" s="260" t="str">
        <f t="shared" si="5"/>
        <v>EC5-GL32c</v>
      </c>
    </row>
    <row r="36" spans="1:24" x14ac:dyDescent="0.2">
      <c r="A36" s="260">
        <v>33</v>
      </c>
      <c r="B36" s="260" t="s">
        <v>504</v>
      </c>
      <c r="C36" s="261" t="s">
        <v>530</v>
      </c>
      <c r="D36" s="266">
        <v>14700</v>
      </c>
      <c r="E36" s="263"/>
      <c r="F36" s="263">
        <v>4.4000000000000004</v>
      </c>
      <c r="G36" s="264">
        <v>5.0000000000000004E-6</v>
      </c>
      <c r="H36" s="265">
        <v>1.3</v>
      </c>
      <c r="I36" s="266">
        <v>36</v>
      </c>
      <c r="J36" s="263">
        <v>26</v>
      </c>
      <c r="K36" s="262">
        <v>0.6</v>
      </c>
      <c r="L36" s="262">
        <v>31</v>
      </c>
      <c r="M36" s="263">
        <v>3.6</v>
      </c>
      <c r="N36" s="262">
        <v>4.3</v>
      </c>
      <c r="O36" s="263">
        <v>14700</v>
      </c>
      <c r="P36" s="263"/>
      <c r="Q36" s="263"/>
      <c r="R36" s="264"/>
      <c r="S36" s="263"/>
      <c r="T36" s="263"/>
      <c r="U36" s="263"/>
      <c r="V36" s="293">
        <v>1</v>
      </c>
      <c r="W36" s="262" t="str">
        <f t="shared" si="0"/>
        <v>C31</v>
      </c>
      <c r="X36" s="260" t="str">
        <f t="shared" si="5"/>
        <v>EC5-GL36h</v>
      </c>
    </row>
    <row r="37" spans="1:24" x14ac:dyDescent="0.2">
      <c r="A37" s="267">
        <v>34</v>
      </c>
      <c r="B37" s="267" t="s">
        <v>504</v>
      </c>
      <c r="C37" s="268" t="s">
        <v>531</v>
      </c>
      <c r="D37" s="273">
        <v>14700</v>
      </c>
      <c r="E37" s="270"/>
      <c r="F37" s="270">
        <v>4.2</v>
      </c>
      <c r="G37" s="271">
        <v>5.0000000000000004E-6</v>
      </c>
      <c r="H37" s="272">
        <v>1.3</v>
      </c>
      <c r="I37" s="273">
        <v>36</v>
      </c>
      <c r="J37" s="270">
        <v>22.5</v>
      </c>
      <c r="K37" s="269">
        <v>0.5</v>
      </c>
      <c r="L37" s="269">
        <v>29</v>
      </c>
      <c r="M37" s="270">
        <v>3.3</v>
      </c>
      <c r="N37" s="269">
        <v>3.8</v>
      </c>
      <c r="O37" s="270">
        <v>14700</v>
      </c>
      <c r="P37" s="270"/>
      <c r="Q37" s="270"/>
      <c r="R37" s="271"/>
      <c r="S37" s="270"/>
      <c r="T37" s="270"/>
      <c r="U37" s="270"/>
      <c r="V37" s="294">
        <v>1</v>
      </c>
      <c r="W37" s="262" t="str">
        <f t="shared" si="0"/>
        <v>C29</v>
      </c>
      <c r="X37" s="260" t="str">
        <f t="shared" si="5"/>
        <v>EC5-GL36c</v>
      </c>
    </row>
    <row r="38" spans="1:24" x14ac:dyDescent="0.2">
      <c r="A38" s="295">
        <v>35</v>
      </c>
      <c r="B38" s="295" t="s">
        <v>503</v>
      </c>
      <c r="C38" s="296" t="s">
        <v>532</v>
      </c>
      <c r="D38" s="297">
        <f>IPT!C4</f>
        <v>14977.919999999998</v>
      </c>
      <c r="E38" s="298">
        <f>IPT!D4</f>
        <v>748.89599999999996</v>
      </c>
      <c r="F38" s="298">
        <f>IPT!E4/100</f>
        <v>11.9</v>
      </c>
      <c r="G38" s="299">
        <v>5.0000000000000004E-6</v>
      </c>
      <c r="H38" s="300">
        <v>1.3</v>
      </c>
      <c r="I38" s="297">
        <f>IPT!I4</f>
        <v>103.34049999999999</v>
      </c>
      <c r="J38" s="298">
        <f>IPT!J4</f>
        <v>67.922077922077918</v>
      </c>
      <c r="K38" s="301">
        <f>IPT!J4</f>
        <v>67.922077922077918</v>
      </c>
      <c r="L38" s="301">
        <f>IPT!O4</f>
        <v>52.3</v>
      </c>
      <c r="M38" s="298">
        <f>IPT!P4</f>
        <v>11.3</v>
      </c>
      <c r="N38" s="301">
        <f>IPT!R4</f>
        <v>12.3</v>
      </c>
      <c r="O38" s="298">
        <f t="shared" ref="O38:P44" si="8">D38</f>
        <v>14977.919999999998</v>
      </c>
      <c r="P38" s="298">
        <f t="shared" si="8"/>
        <v>748.89599999999996</v>
      </c>
      <c r="Q38" s="298">
        <f t="shared" ref="Q38:Q44" si="9">P38</f>
        <v>748.89599999999996</v>
      </c>
      <c r="R38" s="298">
        <f>IPT!V4</f>
        <v>590</v>
      </c>
      <c r="S38" s="298">
        <f t="shared" ref="S38:S44" si="10">0.7*O38</f>
        <v>10484.543999999998</v>
      </c>
      <c r="T38" s="298">
        <f t="shared" ref="T38:T44" si="11">0.8*Q38</f>
        <v>599.11680000000001</v>
      </c>
      <c r="U38" s="298">
        <f t="shared" ref="U38:U44" si="12">0.7*Q38</f>
        <v>524.22719999999993</v>
      </c>
      <c r="V38" s="302">
        <f>IPT!Y4</f>
        <v>1.1000000000000001</v>
      </c>
      <c r="W38" s="301" t="str">
        <f t="shared" ref="W38:W44" si="13">"C"&amp;INT(L38)</f>
        <v>C52</v>
      </c>
      <c r="X38" s="303" t="s">
        <v>536</v>
      </c>
    </row>
    <row r="39" spans="1:24" x14ac:dyDescent="0.2">
      <c r="A39" s="295">
        <v>36</v>
      </c>
      <c r="B39" s="295" t="s">
        <v>503</v>
      </c>
      <c r="C39" s="296" t="s">
        <v>40</v>
      </c>
      <c r="D39" s="297">
        <f>IPT!C5</f>
        <v>22394.959999999999</v>
      </c>
      <c r="E39" s="298">
        <f>IPT!D5</f>
        <v>1119.748</v>
      </c>
      <c r="F39" s="298">
        <f>IPT!E5/100</f>
        <v>10.9</v>
      </c>
      <c r="G39" s="299">
        <v>5.0000000000000004E-6</v>
      </c>
      <c r="H39" s="300">
        <v>1.3</v>
      </c>
      <c r="I39" s="297">
        <f>IPT!I5</f>
        <v>173.92950000000002</v>
      </c>
      <c r="J39" s="298">
        <f>IPT!J5</f>
        <v>114.42207792207792</v>
      </c>
      <c r="K39" s="301">
        <f>IPT!J5</f>
        <v>114.42207792207792</v>
      </c>
      <c r="L39" s="301">
        <f>IPT!O5</f>
        <v>88.105000000000004</v>
      </c>
      <c r="M39" s="298">
        <f>IPT!P5</f>
        <v>22.026250000000001</v>
      </c>
      <c r="N39" s="301">
        <f>IPT!R5</f>
        <v>17.608000000000001</v>
      </c>
      <c r="O39" s="298">
        <f t="shared" si="8"/>
        <v>22394.959999999999</v>
      </c>
      <c r="P39" s="298">
        <f t="shared" si="8"/>
        <v>1119.748</v>
      </c>
      <c r="Q39" s="298">
        <f t="shared" si="9"/>
        <v>1119.748</v>
      </c>
      <c r="R39" s="298">
        <f>IPT!V5</f>
        <v>908</v>
      </c>
      <c r="S39" s="298">
        <f t="shared" si="10"/>
        <v>15676.471999999998</v>
      </c>
      <c r="T39" s="298">
        <f t="shared" si="11"/>
        <v>895.79840000000013</v>
      </c>
      <c r="U39" s="298">
        <f t="shared" si="12"/>
        <v>783.82359999999994</v>
      </c>
      <c r="V39" s="302">
        <f>IPT!Y5</f>
        <v>1.1000000000000001</v>
      </c>
      <c r="W39" s="301" t="str">
        <f t="shared" si="13"/>
        <v>C88</v>
      </c>
      <c r="X39" s="303" t="s">
        <v>537</v>
      </c>
    </row>
    <row r="40" spans="1:24" x14ac:dyDescent="0.2">
      <c r="A40" s="295">
        <v>37</v>
      </c>
      <c r="B40" s="295" t="s">
        <v>503</v>
      </c>
      <c r="C40" s="296" t="s">
        <v>505</v>
      </c>
      <c r="D40" s="297">
        <f>IPT!C6</f>
        <v>18405.719999999998</v>
      </c>
      <c r="E40" s="298">
        <f>IPT!D6</f>
        <v>920.28599999999983</v>
      </c>
      <c r="F40" s="298">
        <f>IPT!E6/100</f>
        <v>10.4</v>
      </c>
      <c r="G40" s="299">
        <v>5.0000000000000004E-6</v>
      </c>
      <c r="H40" s="300">
        <v>1.3</v>
      </c>
      <c r="I40" s="297">
        <f>IPT!I6</f>
        <v>135.47900000000001</v>
      </c>
      <c r="J40" s="298">
        <f>IPT!J6</f>
        <v>85.59480519480519</v>
      </c>
      <c r="K40" s="301">
        <f>IPT!J6</f>
        <v>85.59480519480519</v>
      </c>
      <c r="L40" s="301">
        <f>IPT!O6</f>
        <v>65.908000000000001</v>
      </c>
      <c r="M40" s="298">
        <f>IPT!P6</f>
        <v>16.477</v>
      </c>
      <c r="N40" s="301">
        <f>IPT!R6</f>
        <v>20.212</v>
      </c>
      <c r="O40" s="298">
        <f t="shared" si="8"/>
        <v>18405.719999999998</v>
      </c>
      <c r="P40" s="298">
        <f t="shared" si="8"/>
        <v>920.28599999999983</v>
      </c>
      <c r="Q40" s="298">
        <f t="shared" si="9"/>
        <v>920.28599999999983</v>
      </c>
      <c r="R40" s="298">
        <f>IPT!V6</f>
        <v>867</v>
      </c>
      <c r="S40" s="298">
        <f t="shared" si="10"/>
        <v>12884.003999999997</v>
      </c>
      <c r="T40" s="298">
        <f t="shared" si="11"/>
        <v>736.22879999999986</v>
      </c>
      <c r="U40" s="298">
        <f t="shared" si="12"/>
        <v>644.20019999999988</v>
      </c>
      <c r="V40" s="302">
        <f>IPT!Y6</f>
        <v>1.2</v>
      </c>
      <c r="W40" s="301" t="str">
        <f t="shared" si="13"/>
        <v>C65</v>
      </c>
      <c r="X40" s="303" t="s">
        <v>538</v>
      </c>
    </row>
    <row r="41" spans="1:24" x14ac:dyDescent="0.2">
      <c r="A41" s="295">
        <v>38</v>
      </c>
      <c r="B41" s="295" t="s">
        <v>503</v>
      </c>
      <c r="C41" s="296" t="s">
        <v>39</v>
      </c>
      <c r="D41" s="297">
        <f>IPT!C7</f>
        <v>16773.599999999999</v>
      </c>
      <c r="E41" s="298">
        <f>IPT!D7</f>
        <v>838.68</v>
      </c>
      <c r="F41" s="298">
        <f>IPT!E7/100</f>
        <v>8.3000000000000007</v>
      </c>
      <c r="G41" s="299">
        <v>5.0000000000000004E-6</v>
      </c>
      <c r="H41" s="300">
        <v>1.3</v>
      </c>
      <c r="I41" s="297">
        <f>IPT!I7</f>
        <v>126.44450000000001</v>
      </c>
      <c r="J41" s="298">
        <f>IPT!J7</f>
        <v>68.46688311688311</v>
      </c>
      <c r="K41" s="301">
        <f>IPT!J7</f>
        <v>68.46688311688311</v>
      </c>
      <c r="L41" s="301">
        <f>IPT!O7</f>
        <v>52.719499999999996</v>
      </c>
      <c r="M41" s="298">
        <f>IPT!P7</f>
        <v>13.179874999999999</v>
      </c>
      <c r="N41" s="301">
        <f>IPT!R7</f>
        <v>15.747999999999999</v>
      </c>
      <c r="O41" s="298">
        <f t="shared" si="8"/>
        <v>16773.599999999999</v>
      </c>
      <c r="P41" s="298">
        <f t="shared" si="8"/>
        <v>838.68</v>
      </c>
      <c r="Q41" s="298">
        <f t="shared" si="9"/>
        <v>838.68</v>
      </c>
      <c r="R41" s="298">
        <f>IPT!V7</f>
        <v>670</v>
      </c>
      <c r="S41" s="298">
        <f t="shared" si="10"/>
        <v>11741.519999999999</v>
      </c>
      <c r="T41" s="298">
        <f t="shared" si="11"/>
        <v>670.94399999999996</v>
      </c>
      <c r="U41" s="298">
        <f t="shared" si="12"/>
        <v>587.07599999999991</v>
      </c>
      <c r="V41" s="302">
        <f>IPT!Y7</f>
        <v>1</v>
      </c>
      <c r="W41" s="301" t="str">
        <f t="shared" si="13"/>
        <v>C52</v>
      </c>
      <c r="X41" s="303" t="s">
        <v>539</v>
      </c>
    </row>
    <row r="42" spans="1:24" x14ac:dyDescent="0.2">
      <c r="A42" s="295">
        <v>39</v>
      </c>
      <c r="B42" s="295" t="s">
        <v>503</v>
      </c>
      <c r="C42" s="296" t="s">
        <v>21</v>
      </c>
      <c r="D42" s="297">
        <f>IPT!C8</f>
        <v>19008.919999999998</v>
      </c>
      <c r="E42" s="298">
        <f>IPT!D8</f>
        <v>950.44599999999991</v>
      </c>
      <c r="F42" s="298">
        <f>IPT!E8/100</f>
        <v>9.6</v>
      </c>
      <c r="G42" s="299">
        <v>5.0000000000000004E-6</v>
      </c>
      <c r="H42" s="300">
        <v>1.3</v>
      </c>
      <c r="I42" s="297">
        <f>IPT!I8</f>
        <v>140.4905</v>
      </c>
      <c r="J42" s="298">
        <f>IPT!J8</f>
        <v>94.872727272727275</v>
      </c>
      <c r="K42" s="301">
        <f>IPT!J8</f>
        <v>94.872727272727275</v>
      </c>
      <c r="L42" s="301">
        <f>IPT!O8</f>
        <v>73.052000000000007</v>
      </c>
      <c r="M42" s="298">
        <f>IPT!P8</f>
        <v>18.263000000000002</v>
      </c>
      <c r="N42" s="301">
        <f>IPT!R8</f>
        <v>15.004</v>
      </c>
      <c r="O42" s="298">
        <f t="shared" si="8"/>
        <v>19008.919999999998</v>
      </c>
      <c r="P42" s="298">
        <f t="shared" si="8"/>
        <v>950.44599999999991</v>
      </c>
      <c r="Q42" s="298">
        <f t="shared" si="9"/>
        <v>950.44599999999991</v>
      </c>
      <c r="R42" s="298">
        <f>IPT!V8</f>
        <v>800</v>
      </c>
      <c r="S42" s="298">
        <f t="shared" si="10"/>
        <v>13306.243999999999</v>
      </c>
      <c r="T42" s="298">
        <f t="shared" si="11"/>
        <v>760.35680000000002</v>
      </c>
      <c r="U42" s="298">
        <f t="shared" si="12"/>
        <v>665.31219999999985</v>
      </c>
      <c r="V42" s="302">
        <f>IPT!Y8</f>
        <v>1.3</v>
      </c>
      <c r="W42" s="301" t="str">
        <f t="shared" si="13"/>
        <v>C73</v>
      </c>
      <c r="X42" s="303" t="s">
        <v>540</v>
      </c>
    </row>
    <row r="43" spans="1:24" x14ac:dyDescent="0.2">
      <c r="A43" s="295">
        <v>40</v>
      </c>
      <c r="B43" s="295" t="s">
        <v>503</v>
      </c>
      <c r="C43" s="296" t="s">
        <v>131</v>
      </c>
      <c r="D43" s="297">
        <f>IPT!C9</f>
        <v>20521.559999999998</v>
      </c>
      <c r="E43" s="298">
        <f>IPT!D9</f>
        <v>1026.078</v>
      </c>
      <c r="F43" s="298">
        <f>IPT!E9/100</f>
        <v>9.6</v>
      </c>
      <c r="G43" s="299">
        <v>5.0000000000000004E-6</v>
      </c>
      <c r="H43" s="300">
        <v>1.3</v>
      </c>
      <c r="I43" s="297">
        <f>IPT!I9</f>
        <v>164.32300000000001</v>
      </c>
      <c r="J43" s="298">
        <f>IPT!J9</f>
        <v>112.12857142857142</v>
      </c>
      <c r="K43" s="301">
        <f>IPT!J9</f>
        <v>112.12857142857142</v>
      </c>
      <c r="L43" s="301">
        <f>IPT!O9</f>
        <v>86.338999999999999</v>
      </c>
      <c r="M43" s="298">
        <f>IPT!P9</f>
        <v>21.58475</v>
      </c>
      <c r="N43" s="301">
        <f>IPT!R9</f>
        <v>21.7</v>
      </c>
      <c r="O43" s="298">
        <f t="shared" si="8"/>
        <v>20521.559999999998</v>
      </c>
      <c r="P43" s="298">
        <f t="shared" si="8"/>
        <v>1026.078</v>
      </c>
      <c r="Q43" s="298">
        <f t="shared" si="9"/>
        <v>1026.078</v>
      </c>
      <c r="R43" s="298">
        <f>IPT!V9</f>
        <v>800</v>
      </c>
      <c r="S43" s="298">
        <f t="shared" si="10"/>
        <v>14365.091999999997</v>
      </c>
      <c r="T43" s="298">
        <f t="shared" si="11"/>
        <v>820.86239999999998</v>
      </c>
      <c r="U43" s="298">
        <f t="shared" si="12"/>
        <v>718.25459999999998</v>
      </c>
      <c r="V43" s="302">
        <f>IPT!Y9</f>
        <v>1.5</v>
      </c>
      <c r="W43" s="301" t="str">
        <f t="shared" si="13"/>
        <v>C86</v>
      </c>
      <c r="X43" s="303" t="s">
        <v>542</v>
      </c>
    </row>
    <row r="44" spans="1:24" x14ac:dyDescent="0.2">
      <c r="A44" s="295">
        <v>41</v>
      </c>
      <c r="B44" s="295" t="s">
        <v>503</v>
      </c>
      <c r="C44" s="296" t="s">
        <v>402</v>
      </c>
      <c r="D44" s="297">
        <f>IPT!C10</f>
        <v>19236.28</v>
      </c>
      <c r="E44" s="298">
        <f>IPT!D10</f>
        <v>961.81399999999996</v>
      </c>
      <c r="F44" s="298">
        <f>IPT!E10/100</f>
        <v>10</v>
      </c>
      <c r="G44" s="299">
        <v>5.0000000000000004E-6</v>
      </c>
      <c r="H44" s="300">
        <v>1.3</v>
      </c>
      <c r="I44" s="297">
        <f>IPT!I10</f>
        <v>161.15700000000001</v>
      </c>
      <c r="J44" s="298">
        <f>IPT!J10</f>
        <v>100.45649350649353</v>
      </c>
      <c r="K44" s="301">
        <f>IPT!J10</f>
        <v>100.45649350649353</v>
      </c>
      <c r="L44" s="301">
        <f>IPT!O10</f>
        <v>77.351500000000016</v>
      </c>
      <c r="M44" s="298">
        <f>IPT!P10</f>
        <v>19.337875000000004</v>
      </c>
      <c r="N44" s="301">
        <f>IPT!R10</f>
        <v>16.367999999999999</v>
      </c>
      <c r="O44" s="298">
        <f t="shared" si="8"/>
        <v>19236.28</v>
      </c>
      <c r="P44" s="298">
        <f t="shared" si="8"/>
        <v>961.81399999999996</v>
      </c>
      <c r="Q44" s="298">
        <f t="shared" si="9"/>
        <v>961.81399999999996</v>
      </c>
      <c r="R44" s="298">
        <f>IPT!V10</f>
        <v>833</v>
      </c>
      <c r="S44" s="298">
        <f t="shared" si="10"/>
        <v>13465.395999999999</v>
      </c>
      <c r="T44" s="298">
        <f t="shared" si="11"/>
        <v>769.45119999999997</v>
      </c>
      <c r="U44" s="298">
        <f t="shared" si="12"/>
        <v>673.26979999999992</v>
      </c>
      <c r="V44" s="302">
        <f>IPT!Y10</f>
        <v>0.9</v>
      </c>
      <c r="W44" s="301" t="str">
        <f t="shared" si="13"/>
        <v>C77</v>
      </c>
      <c r="X44" s="303" t="s">
        <v>543</v>
      </c>
    </row>
    <row r="45" spans="1:24" x14ac:dyDescent="0.2">
      <c r="A45" s="295">
        <v>42</v>
      </c>
      <c r="B45" s="295" t="s">
        <v>503</v>
      </c>
      <c r="C45" s="296" t="s">
        <v>554</v>
      </c>
      <c r="D45" s="297">
        <f>13304*0.7</f>
        <v>9312.7999999999993</v>
      </c>
      <c r="E45" s="298"/>
      <c r="F45" s="298"/>
      <c r="G45" s="299">
        <v>5.0000000000000004E-6</v>
      </c>
      <c r="H45" s="300">
        <v>1.3</v>
      </c>
      <c r="I45" s="297"/>
      <c r="J45" s="298"/>
      <c r="K45" s="301"/>
      <c r="L45" s="301"/>
      <c r="M45" s="298"/>
      <c r="N45" s="301"/>
      <c r="O45" s="298"/>
      <c r="P45" s="298"/>
      <c r="Q45" s="298"/>
      <c r="R45" s="298"/>
      <c r="S45" s="298"/>
      <c r="T45" s="298"/>
      <c r="U45" s="298"/>
      <c r="V45" s="302"/>
      <c r="W45" s="301"/>
      <c r="X45" s="295"/>
    </row>
    <row r="46" spans="1:24" x14ac:dyDescent="0.2">
      <c r="A46" s="295">
        <v>43</v>
      </c>
      <c r="B46" s="295" t="s">
        <v>503</v>
      </c>
      <c r="C46" s="296" t="s">
        <v>541</v>
      </c>
      <c r="D46" s="297"/>
      <c r="E46" s="298"/>
      <c r="F46" s="298"/>
      <c r="G46" s="299">
        <v>5.0000000000000004E-6</v>
      </c>
      <c r="H46" s="300">
        <v>1.3</v>
      </c>
      <c r="I46" s="297"/>
      <c r="J46" s="298"/>
      <c r="K46" s="301"/>
      <c r="L46" s="301"/>
      <c r="M46" s="298"/>
      <c r="N46" s="301"/>
      <c r="O46" s="298"/>
      <c r="P46" s="298"/>
      <c r="Q46" s="298"/>
      <c r="R46" s="298"/>
      <c r="S46" s="298"/>
      <c r="T46" s="298"/>
      <c r="U46" s="298"/>
      <c r="V46" s="302"/>
      <c r="W46" s="301"/>
      <c r="X46" s="295"/>
    </row>
    <row r="47" spans="1:24" x14ac:dyDescent="0.2">
      <c r="A47" s="295">
        <v>44</v>
      </c>
      <c r="B47" s="295" t="s">
        <v>503</v>
      </c>
      <c r="C47" s="318" t="str">
        <f>IPT!A11</f>
        <v>EUCALIPTO GRANDIS</v>
      </c>
      <c r="D47" s="297">
        <f>IPT!C11</f>
        <v>13423.519999999999</v>
      </c>
      <c r="E47" s="298">
        <f>IPT!D11</f>
        <v>671.17599999999993</v>
      </c>
      <c r="F47" s="298">
        <f>IPT!E11/100</f>
        <v>5</v>
      </c>
      <c r="G47" s="299">
        <v>5.0000000000000004E-6</v>
      </c>
      <c r="H47" s="300">
        <v>1.3</v>
      </c>
      <c r="I47" s="297">
        <f>IPT!I11</f>
        <v>74.557999999999993</v>
      </c>
      <c r="J47" s="298">
        <f>IPT!J11</f>
        <v>50.974675324675324</v>
      </c>
      <c r="K47" s="301">
        <f>IPT!J11</f>
        <v>50.974675324675324</v>
      </c>
      <c r="L47" s="301">
        <f>IPT!O11</f>
        <v>39.250500000000002</v>
      </c>
      <c r="M47" s="298">
        <f>IPT!P11</f>
        <v>9.8126250000000006</v>
      </c>
      <c r="N47" s="301">
        <f>IPT!R11</f>
        <v>8.68</v>
      </c>
      <c r="O47" s="298">
        <f t="shared" ref="O47" si="14">D47</f>
        <v>13423.519999999999</v>
      </c>
      <c r="P47" s="298">
        <f t="shared" ref="P47" si="15">E47</f>
        <v>671.17599999999993</v>
      </c>
      <c r="Q47" s="298">
        <f t="shared" ref="Q47" si="16">P47</f>
        <v>671.17599999999993</v>
      </c>
      <c r="R47" s="298">
        <f>IPT!V11</f>
        <v>420</v>
      </c>
      <c r="S47" s="298">
        <f t="shared" ref="S47" si="17">0.7*O47</f>
        <v>9396.4639999999981</v>
      </c>
      <c r="T47" s="298">
        <f t="shared" ref="T47" si="18">0.8*Q47</f>
        <v>536.94079999999997</v>
      </c>
      <c r="U47" s="298">
        <f t="shared" ref="U47" si="19">0.7*Q47</f>
        <v>469.82319999999993</v>
      </c>
      <c r="V47" s="302">
        <f>IPT!Y11</f>
        <v>1</v>
      </c>
      <c r="W47" s="301" t="str">
        <f t="shared" ref="W47" si="20">"C"&amp;INT(L47)</f>
        <v>C39</v>
      </c>
      <c r="X47" s="303" t="s">
        <v>545</v>
      </c>
    </row>
    <row r="48" spans="1:24" x14ac:dyDescent="0.2">
      <c r="A48" s="295">
        <v>45</v>
      </c>
      <c r="B48" s="295" t="s">
        <v>503</v>
      </c>
      <c r="C48" s="318" t="str">
        <f>IPT!A12</f>
        <v>LYPTUS</v>
      </c>
      <c r="D48" s="297">
        <f>IPT!C12</f>
        <v>18875.8</v>
      </c>
      <c r="E48" s="298">
        <f>IPT!D12</f>
        <v>943.79</v>
      </c>
      <c r="F48" s="298">
        <f>IPT!E12/100</f>
        <v>7.5</v>
      </c>
      <c r="G48" s="299">
        <v>5.0000000000000004E-6</v>
      </c>
      <c r="H48" s="300">
        <v>1.3</v>
      </c>
      <c r="I48" s="297">
        <f>IPT!I12</f>
        <v>94.799999999999983</v>
      </c>
      <c r="J48" s="298">
        <f>IPT!J12</f>
        <v>0</v>
      </c>
      <c r="K48" s="301">
        <f>IPT!J12</f>
        <v>0</v>
      </c>
      <c r="L48" s="301">
        <f>IPT!O12</f>
        <v>0</v>
      </c>
      <c r="M48" s="298">
        <f>IPT!P12</f>
        <v>0</v>
      </c>
      <c r="N48" s="301">
        <f>IPT!R12</f>
        <v>0</v>
      </c>
      <c r="O48" s="298">
        <f t="shared" ref="O48" si="21">D48</f>
        <v>18875.8</v>
      </c>
      <c r="P48" s="298">
        <f t="shared" ref="P48" si="22">E48</f>
        <v>943.79</v>
      </c>
      <c r="Q48" s="298">
        <f t="shared" ref="Q48" si="23">P48</f>
        <v>943.79</v>
      </c>
      <c r="R48" s="298">
        <f>IPT!V12</f>
        <v>0</v>
      </c>
      <c r="S48" s="298">
        <f t="shared" ref="S48" si="24">0.7*O48</f>
        <v>13213.06</v>
      </c>
      <c r="T48" s="298">
        <f t="shared" ref="T48" si="25">0.8*Q48</f>
        <v>755.03200000000004</v>
      </c>
      <c r="U48" s="298">
        <f t="shared" ref="U48" si="26">0.7*Q48</f>
        <v>660.65299999999991</v>
      </c>
      <c r="V48" s="302">
        <f>IPT!Y12</f>
        <v>0</v>
      </c>
      <c r="W48" s="301" t="str">
        <f t="shared" ref="W48" si="27">"C"&amp;INT(L48)</f>
        <v>C0</v>
      </c>
      <c r="X48" s="303" t="s">
        <v>547</v>
      </c>
    </row>
    <row r="49" spans="1:24" x14ac:dyDescent="0.2">
      <c r="A49" s="295">
        <v>46</v>
      </c>
      <c r="B49" s="295" t="s">
        <v>550</v>
      </c>
      <c r="C49" s="318" t="str">
        <f>IPT!A13</f>
        <v>AMARU</v>
      </c>
      <c r="D49" s="297">
        <f>IPT!C13</f>
        <v>13415.4</v>
      </c>
      <c r="E49" s="298">
        <f>IPT!D13</f>
        <v>670.77</v>
      </c>
      <c r="F49" s="298">
        <f>IPT!E13/100</f>
        <v>7.7</v>
      </c>
      <c r="G49" s="299">
        <v>5.0000000000000004E-6</v>
      </c>
      <c r="H49" s="300">
        <v>1.3</v>
      </c>
      <c r="I49" s="297">
        <f>IPT!I13</f>
        <v>83.361999999999995</v>
      </c>
      <c r="J49" s="298">
        <f>IPT!J13</f>
        <v>57.174675324675327</v>
      </c>
      <c r="K49" s="301">
        <f>IPT!J13</f>
        <v>57.174675324675327</v>
      </c>
      <c r="L49" s="301">
        <f>IPT!O13</f>
        <v>44.024500000000003</v>
      </c>
      <c r="M49" s="298">
        <f>IPT!P13</f>
        <v>11.006125000000001</v>
      </c>
      <c r="N49" s="301">
        <f>IPT!R13</f>
        <v>7.4399999999999995</v>
      </c>
      <c r="O49" s="298">
        <f t="shared" ref="O49:O50" si="28">D49</f>
        <v>13415.4</v>
      </c>
      <c r="P49" s="298">
        <f t="shared" ref="P49:P50" si="29">E49</f>
        <v>670.77</v>
      </c>
      <c r="Q49" s="298">
        <f t="shared" ref="Q49:Q50" si="30">P49</f>
        <v>670.77</v>
      </c>
      <c r="R49" s="298">
        <f>IPT!V13</f>
        <v>420</v>
      </c>
      <c r="S49" s="298">
        <f t="shared" ref="S49:S50" si="31">0.7*O49</f>
        <v>9390.7799999999988</v>
      </c>
      <c r="T49" s="298">
        <f t="shared" ref="T49:T50" si="32">0.8*Q49</f>
        <v>536.61599999999999</v>
      </c>
      <c r="U49" s="298">
        <f t="shared" ref="U49:U50" si="33">0.7*Q49</f>
        <v>469.53899999999993</v>
      </c>
      <c r="V49" s="302">
        <f>IPT!Y13</f>
        <v>1</v>
      </c>
      <c r="W49" s="301" t="str">
        <f t="shared" ref="W49:W50" si="34">"C"&amp;INT(L49)</f>
        <v>C44</v>
      </c>
      <c r="X49" s="303" t="s">
        <v>552</v>
      </c>
    </row>
    <row r="50" spans="1:24" x14ac:dyDescent="0.2">
      <c r="A50" s="295">
        <v>47</v>
      </c>
      <c r="B50" s="295" t="s">
        <v>551</v>
      </c>
      <c r="C50" s="318" t="str">
        <f>IPT!A14</f>
        <v>ANGELIM VERMELHO</v>
      </c>
      <c r="D50" s="297">
        <f>IPT!C14</f>
        <v>16324.679999999998</v>
      </c>
      <c r="E50" s="298">
        <f>IPT!D14</f>
        <v>816.23399999999992</v>
      </c>
      <c r="F50" s="298">
        <f>IPT!E14/100</f>
        <v>10.9</v>
      </c>
      <c r="G50" s="299">
        <v>5.0000000000000004E-6</v>
      </c>
      <c r="H50" s="300">
        <v>1.3</v>
      </c>
      <c r="I50" s="297">
        <f>IPT!I14</f>
        <v>137.07849999999999</v>
      </c>
      <c r="J50" s="298">
        <f>IPT!J14</f>
        <v>109.7590909090909</v>
      </c>
      <c r="K50" s="301">
        <f>IPT!J14</f>
        <v>109.7590909090909</v>
      </c>
      <c r="L50" s="301">
        <f>IPT!O14</f>
        <v>84.514499999999998</v>
      </c>
      <c r="M50" s="298">
        <f>IPT!P14</f>
        <v>21.128625</v>
      </c>
      <c r="N50" s="301">
        <f>IPT!R14</f>
        <v>16.244</v>
      </c>
      <c r="O50" s="298">
        <f t="shared" si="28"/>
        <v>16324.679999999998</v>
      </c>
      <c r="P50" s="298">
        <f t="shared" si="29"/>
        <v>816.23399999999992</v>
      </c>
      <c r="Q50" s="298">
        <f t="shared" si="30"/>
        <v>816.23399999999992</v>
      </c>
      <c r="R50" s="298">
        <f>IPT!V14</f>
        <v>830</v>
      </c>
      <c r="S50" s="298">
        <f t="shared" si="31"/>
        <v>11427.275999999998</v>
      </c>
      <c r="T50" s="298">
        <f t="shared" si="32"/>
        <v>652.98720000000003</v>
      </c>
      <c r="U50" s="298">
        <f t="shared" si="33"/>
        <v>571.36379999999986</v>
      </c>
      <c r="V50" s="302">
        <f>IPT!Y14</f>
        <v>1.1000000000000001</v>
      </c>
      <c r="W50" s="301" t="str">
        <f t="shared" si="34"/>
        <v>C84</v>
      </c>
      <c r="X50" s="303" t="s">
        <v>553</v>
      </c>
    </row>
  </sheetData>
  <sortState ref="C38:X44">
    <sortCondition ref="C38"/>
  </sortState>
  <mergeCells count="3">
    <mergeCell ref="D1:H1"/>
    <mergeCell ref="I1:V1"/>
    <mergeCell ref="W1:X1"/>
  </mergeCells>
  <pageMargins left="0.23622047244094491" right="0.23622047244094491" top="0.74803149606299213" bottom="0.74803149606299213" header="0.31496062992125984" footer="0.31496062992125984"/>
  <pageSetup paperSize="8" scale="55" orientation="landscape" horizontalDpi="1200" verticalDpi="1200" r:id="rId1"/>
  <ignoredErrors>
    <ignoredError sqref="T38:T4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6</vt:i4>
      </vt:variant>
      <vt:variant>
        <vt:lpstr>Intervalos nomeados</vt:lpstr>
      </vt:variant>
      <vt:variant>
        <vt:i4>6</vt:i4>
      </vt:variant>
    </vt:vector>
  </HeadingPairs>
  <TitlesOfParts>
    <vt:vector size="12" baseType="lpstr">
      <vt:lpstr>VIGAS BIAPOIADAS</vt:lpstr>
      <vt:lpstr>MATERIAIS</vt:lpstr>
      <vt:lpstr>IPT</vt:lpstr>
      <vt:lpstr>IMAGENS</vt:lpstr>
      <vt:lpstr>TABELAS</vt:lpstr>
      <vt:lpstr>MADEIRAS</vt:lpstr>
      <vt:lpstr>MADEIRAS!Area_de_impressao</vt:lpstr>
      <vt:lpstr>'VIGAS BIAPOIADAS'!Area_de_impressao</vt:lpstr>
      <vt:lpstr>CIRCULAR</vt:lpstr>
      <vt:lpstr>NOMES</vt:lpstr>
      <vt:lpstr>RETANGULAR_SIMPLES</vt:lpstr>
      <vt:lpstr>SEÇÃO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Dias</dc:creator>
  <cp:lastModifiedBy>Alan Dias</cp:lastModifiedBy>
  <cp:lastPrinted>2016-07-01T21:37:05Z</cp:lastPrinted>
  <dcterms:created xsi:type="dcterms:W3CDTF">2011-11-03T19:11:27Z</dcterms:created>
  <dcterms:modified xsi:type="dcterms:W3CDTF">2018-02-15T22:06:59Z</dcterms:modified>
</cp:coreProperties>
</file>