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182" documentId="13_ncr:1_{09AB83A8-F969-4E8F-9034-FBDE56616B19}" xr6:coauthVersionLast="47" xr6:coauthVersionMax="47" xr10:uidLastSave="{1B9B9677-C7BD-4C05-AF55-3EF3E377393C}"/>
  <bookViews>
    <workbookView xWindow="768" yWindow="0" windowWidth="22128" windowHeight="1236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77" i="1" l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D3997" i="1"/>
  <c r="A3997" i="1" s="1"/>
  <c r="D3998" i="1"/>
  <c r="A3998" i="1" s="1"/>
  <c r="D3999" i="1"/>
  <c r="A3999" i="1" s="1"/>
  <c r="D4000" i="1"/>
  <c r="A4000" i="1" s="1"/>
  <c r="D4001" i="1"/>
  <c r="A4001" i="1" s="1"/>
  <c r="A3988" i="1"/>
  <c r="A3996" i="1"/>
  <c r="AE3995" i="1" l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I3999" i="1"/>
  <c r="I4000" i="1"/>
  <c r="I4001" i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AU3998" i="1" a="1"/>
  <c r="AU3998" i="1" s="1"/>
  <c r="AU3999" i="1" a="1"/>
  <c r="AU3999" i="1" s="1"/>
  <c r="AU4000" i="1" a="1"/>
  <c r="AU4000" i="1" s="1"/>
  <c r="AU4001" i="1" a="1"/>
  <c r="AU4001" i="1" s="1"/>
  <c r="AU3997" i="1" a="1"/>
  <c r="AU3997" i="1" s="1"/>
  <c r="AU3996" i="1" a="1"/>
  <c r="AU3996" i="1" s="1"/>
  <c r="AU3995" i="1" a="1"/>
  <c r="AU3995" i="1" s="1"/>
  <c r="AU3994" i="1" a="1"/>
  <c r="AU3994" i="1" s="1"/>
  <c r="AU3993" i="1" a="1"/>
  <c r="AU3993" i="1" s="1"/>
  <c r="AU3992" i="1" a="1"/>
  <c r="AU3992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B3997" i="1" l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I3977" i="1"/>
  <c r="I3978" i="1"/>
  <c r="I3979" i="1"/>
  <c r="I3980" i="1"/>
  <c r="I3981" i="1"/>
  <c r="I3982" i="1"/>
  <c r="I3983" i="1"/>
  <c r="I3984" i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E3976" i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AC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I3990" i="1" l="1"/>
  <c r="I3991" i="1"/>
  <c r="I3992" i="1"/>
  <c r="I3993" i="1"/>
  <c r="I3994" i="1"/>
  <c r="I3995" i="1"/>
  <c r="I3996" i="1"/>
  <c r="I3997" i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I3986" i="1"/>
  <c r="I3987" i="1"/>
  <c r="I3988" i="1"/>
  <c r="I3989" i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AB257" i="1" s="1"/>
  <c r="AC257" i="1" s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AB260" i="1" s="1"/>
  <c r="AC260" i="1" s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AB3144" i="1" s="1"/>
  <c r="AC3144" i="1" s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AB3293" i="1" s="1"/>
  <c r="AC3293" i="1" s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AB2241" i="1" s="1"/>
  <c r="AC2241" i="1" s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AB433" i="1" s="1"/>
  <c r="AC433" i="1" s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AB1103" i="1" s="1"/>
  <c r="AC1103" i="1" s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AB1419" i="1" s="1"/>
  <c r="AC1419" i="1" s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AB668" i="1" s="1"/>
  <c r="AC668" i="1" s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1026" i="1" l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4000" i="1" l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386" i="1" l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J2122" i="1"/>
  <c r="AJ678" i="1"/>
  <c r="AJ3384" i="1"/>
  <c r="AJ3311" i="1"/>
  <c r="AJ2112" i="1"/>
  <c r="AK2112" i="1" s="1"/>
  <c r="AJ2942" i="1"/>
  <c r="AK2942" i="1" s="1"/>
  <c r="AJ2093" i="1"/>
  <c r="AK2093" i="1" s="1"/>
  <c r="AJ2457" i="1"/>
  <c r="AK2457" i="1" s="1"/>
  <c r="AJ2943" i="1"/>
  <c r="AJ1448" i="1"/>
  <c r="AJ1030" i="1"/>
  <c r="AJ865" i="1"/>
  <c r="AJ3385" i="1"/>
  <c r="AK3385" i="1" s="1"/>
  <c r="AJ3256" i="1"/>
  <c r="AK3256" i="1" s="1"/>
  <c r="AJ657" i="1"/>
  <c r="AK657" i="1" s="1"/>
  <c r="AJ2154" i="1"/>
  <c r="AJ1710" i="1"/>
  <c r="AJ1449" i="1"/>
  <c r="AJ1490" i="1"/>
  <c r="AJ676" i="1"/>
  <c r="AJ3383" i="1"/>
  <c r="AJ1095" i="1"/>
  <c r="AK1095" i="1" s="1"/>
  <c r="AJ679" i="1"/>
  <c r="AK679" i="1" s="1"/>
  <c r="AJ1553" i="1"/>
  <c r="AJ3310" i="1"/>
  <c r="AK531" i="1"/>
  <c r="AJ432" i="1"/>
  <c r="AJ2460" i="1"/>
  <c r="AJ675" i="1"/>
  <c r="AJ3257" i="1"/>
  <c r="AK3257" i="1" s="1"/>
  <c r="AJ677" i="1"/>
  <c r="AK677" i="1" s="1"/>
  <c r="AJ658" i="1"/>
  <c r="AJ656" i="1"/>
  <c r="AJ1073" i="1"/>
  <c r="AJ2023" i="1"/>
  <c r="AJ339" i="1"/>
  <c r="AJ1312" i="1"/>
  <c r="AJ1103" i="1"/>
  <c r="AK1103" i="1" s="1"/>
  <c r="AJ1346" i="1"/>
  <c r="AK1346" i="1" s="1"/>
  <c r="AJ111" i="1"/>
  <c r="AJ3260" i="1"/>
  <c r="AJ979" i="1"/>
  <c r="AJ1100" i="1"/>
  <c r="AJ1074" i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<sst xmlns="http://schemas.openxmlformats.org/spreadsheetml/2006/main" count="51400" uniqueCount="3759">
  <si>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</si>
  <si>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</si>
  <si>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</si>
  <si>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</si>
  <si>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</si>
  <si>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</si>
  <si>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</si>
  <si>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</si>
  <si>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</si>
  <si>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</si>
  <si>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</si>
  <si>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</si>
  <si>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</si>
  <si>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</si>
  <si>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</si>
  <si>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</si>
  <si>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</si>
  <si>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</si>
  <si>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</si>
  <si>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</si>
  <si>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</si>
  <si>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</si>
  <si>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</si>
  <si>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</si>
  <si>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</si>
  <si>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</si>
  <si>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</si>
  <si>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</si>
  <si>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</si>
  <si>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</si>
  <si>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</si>
  <si>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</si>
  <si>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</si>
  <si>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</si>
  <si>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</si>
  <si>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</si>
  <si>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</si>
  <si>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</si>
  <si>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</si>
  <si>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</si>
  <si>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</si>
  <si>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</si>
  <si>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</si>
  <si>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</si>
  <si>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</si>
  <si>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</si>
  <si>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</si>
  <si>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</si>
  <si>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</si>
  <si>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</si>
  <si>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</si>
  <si>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</si>
  <si>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</si>
  <si>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</si>
  <si>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</si>
  <si>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</si>
  <si>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</si>
  <si>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</si>
  <si>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</si>
  <si>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</si>
  <si>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</si>
  <si>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</si>
  <si>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</si>
  <si>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</si>
  <si>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</si>
  <si>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</si>
  <si>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</si>
  <si>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</si>
  <si>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</si>
  <si>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</si>
  <si>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</si>
  <si>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</si>
  <si>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</si>
  <si>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</si>
  <si>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</si>
  <si>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</si>
  <si>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</si>
  <si>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</si>
  <si>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</si>
  <si>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</si>
  <si>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</si>
  <si>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</si>
  <si>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</si>
  <si>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</si>
  <si>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</si>
  <si>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</si>
  <si>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</si>
  <si>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</si>
  <si>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</si>
  <si>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</si>
  <si>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</si>
  <si>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</si>
  <si>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</si>
  <si>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</si>
  <si>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</si>
  <si>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</si>
  <si>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</si>
  <si>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</si>
  <si>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</si>
  <si>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</si>
  <si>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</si>
  <si>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</si>
  <si>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</si>
  <si>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</si>
  <si>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</si>
  <si>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</si>
  <si>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</si>
  <si>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</si>
  <si>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</si>
  <si>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</si>
  <si>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</si>
  <si>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</si>
  <si>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</si>
  <si>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</si>
  <si>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</si>
  <si>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</si>
  <si>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</si>
  <si>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</si>
  <si>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</si>
  <si>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</si>
  <si>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</si>
  <si>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</si>
  <si>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</si>
  <si>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</si>
  <si>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</si>
  <si>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</si>
  <si>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</si>
  <si>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</si>
  <si>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</si>
  <si>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</si>
  <si>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</si>
  <si>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</si>
  <si>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</si>
  <si>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</si>
  <si>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</si>
  <si>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</si>
  <si>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</si>
  <si>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</si>
  <si>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</si>
  <si>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</si>
  <si>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</si>
  <si>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</si>
  <si>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</si>
  <si>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</si>
  <si>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</si>
  <si>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</si>
  <si>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</si>
  <si>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</si>
  <si>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</si>
  <si>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</si>
  <si>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</si>
  <si>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</si>
  <si>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</si>
  <si>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</si>
  <si>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</si>
  <si>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</si>
  <si>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</si>
  <si>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</si>
  <si>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</si>
  <si>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</si>
  <si>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</si>
  <si>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</si>
  <si>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</si>
  <si>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</si>
  <si>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</si>
  <si>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</si>
  <si>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</si>
  <si>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</si>
  <si>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</si>
  <si>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</si>
  <si>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</si>
  <si>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</si>
  <si>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</si>
  <si>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</si>
  <si>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</si>
  <si>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</si>
  <si>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</si>
  <si>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</si>
  <si>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</si>
  <si>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</si>
  <si>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</si>
  <si>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</si>
  <si>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</si>
  <si>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</si>
  <si>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</si>
  <si>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</si>
  <si>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</si>
  <si>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</si>
  <si>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</si>
  <si>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</si>
  <si>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</si>
  <si>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</si>
  <si>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</si>
  <si>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</si>
  <si>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</si>
  <si>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</si>
  <si>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</si>
  <si>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</si>
  <si>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</si>
  <si>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</si>
  <si>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</si>
  <si>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</si>
  <si>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</si>
  <si>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</si>
  <si>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</si>
  <si>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</si>
  <si>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</si>
  <si>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</si>
  <si>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</si>
  <si>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</si>
  <si>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</si>
  <si>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</si>
  <si>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</si>
  <si>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</si>
  <si>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</si>
  <si>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</si>
  <si>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</si>
  <si>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</si>
  <si>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</si>
  <si>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</si>
  <si>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</si>
  <si>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</si>
  <si>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</si>
  <si>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</si>
  <si>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</si>
  <si>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</si>
  <si>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</si>
  <si>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</si>
  <si>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</si>
  <si>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</si>
  <si>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</si>
  <si>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</si>
  <si>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</si>
  <si>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</si>
  <si>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</si>
  <si>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</si>
  <si>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</si>
  <si>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</si>
  <si>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</si>
  <si>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</si>
  <si>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</si>
  <si>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</si>
  <si>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</si>
  <si>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</si>
  <si>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</si>
  <si>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</si>
  <si>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</si>
  <si>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</si>
  <si>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</si>
  <si>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</si>
  <si>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</si>
  <si>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</si>
  <si>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</si>
  <si>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</si>
  <si>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</si>
  <si>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</si>
  <si>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</si>
  <si>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</si>
  <si>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</si>
  <si>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</si>
  <si>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</si>
  <si>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</si>
  <si>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</si>
  <si>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</si>
  <si>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</si>
  <si>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</si>
  <si>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</si>
  <si>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</si>
  <si>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</si>
  <si>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</si>
  <si>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</si>
  <si>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</si>
  <si>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</si>
  <si>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</si>
  <si>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</si>
  <si>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</si>
  <si>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</si>
  <si>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</si>
  <si>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</si>
  <si>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</si>
  <si>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</si>
  <si>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</si>
  <si>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</si>
  <si>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</si>
  <si>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</si>
  <si>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</si>
  <si>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</si>
  <si>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</si>
  <si>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</si>
  <si>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</si>
  <si>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</si>
  <si>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</si>
  <si>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</si>
  <si>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</si>
  <si>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</si>
  <si>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</si>
  <si>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</si>
  <si>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</si>
  <si>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</si>
  <si>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</si>
  <si>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</si>
  <si>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</si>
  <si>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</si>
  <si>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</si>
  <si>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</si>
  <si>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</si>
  <si>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</si>
  <si>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</si>
  <si>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</si>
  <si>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</si>
  <si>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</si>
  <si>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</si>
  <si>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</si>
  <si>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</si>
  <si>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</si>
  <si>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</si>
  <si>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</si>
  <si>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</si>
  <si>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</si>
  <si>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</si>
  <si>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</si>
  <si>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</si>
  <si>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</si>
  <si>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</si>
  <si>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</si>
  <si>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</si>
  <si>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</si>
  <si>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</si>
  <si>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</si>
  <si>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</si>
  <si>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</si>
  <si>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</si>
  <si>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</si>
  <si>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</si>
  <si>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</si>
  <si>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</si>
  <si>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</si>
  <si>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</si>
  <si>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</si>
  <si>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</si>
  <si>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</si>
  <si>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</si>
  <si>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</si>
  <si>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</si>
  <si>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</si>
  <si>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</si>
  <si>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</si>
  <si>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</si>
  <si>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</si>
  <si>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</si>
  <si>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</si>
  <si>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</si>
  <si>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</si>
  <si>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</si>
  <si>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</si>
  <si>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</si>
  <si>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</si>
  <si>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</si>
  <si>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</si>
  <si>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</si>
  <si>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</si>
  <si>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</si>
  <si>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</si>
  <si>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</si>
  <si>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</si>
  <si>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</si>
  <si>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</si>
  <si>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</si>
  <si>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</si>
  <si>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</si>
  <si>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</si>
  <si>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</si>
  <si>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</si>
  <si>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</si>
  <si>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</si>
  <si>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</si>
  <si>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</si>
  <si>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</si>
  <si>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</si>
  <si>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</si>
  <si>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</si>
  <si>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</si>
  <si>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</si>
  <si>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</si>
  <si>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</si>
  <si>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</si>
  <si>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</si>
  <si>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</si>
  <si>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</si>
  <si>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</si>
  <si>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</si>
  <si>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</si>
  <si>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</si>
  <si>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</si>
  <si>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</si>
  <si>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</si>
  <si>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</si>
  <si>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</si>
  <si>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</si>
  <si>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</si>
  <si>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</si>
  <si>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</si>
  <si>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</si>
  <si>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</si>
  <si>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</si>
  <si>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</si>
  <si>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</si>
  <si>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</si>
  <si>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</si>
  <si>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</si>
  <si>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</si>
  <si>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</si>
  <si>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</si>
  <si>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</si>
  <si>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</si>
  <si>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</si>
  <si>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</si>
  <si>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</si>
  <si>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</si>
  <si>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</si>
  <si>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</si>
  <si>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</si>
  <si>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</si>
  <si>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</si>
  <si>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</si>
  <si>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</si>
  <si>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</si>
  <si>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</si>
  <si>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</si>
  <si>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</si>
  <si>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</si>
  <si>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</si>
  <si>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</si>
  <si>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</si>
  <si>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</si>
  <si>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</si>
  <si>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</si>
  <si>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</si>
  <si>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</si>
  <si>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</si>
  <si>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</si>
  <si>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</si>
  <si>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</si>
  <si>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</si>
  <si>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</si>
  <si>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</si>
  <si>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</si>
  <si>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</si>
  <si>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</si>
  <si>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</si>
  <si>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</si>
  <si>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</si>
  <si>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</si>
  <si>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</si>
  <si>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</si>
  <si>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</si>
  <si>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</si>
  <si>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</si>
  <si>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</si>
  <si>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</si>
  <si>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</si>
  <si>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</si>
  <si>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</si>
  <si>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</si>
  <si>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</si>
  <si>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</si>
  <si>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</si>
  <si>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</si>
  <si>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</si>
  <si>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</si>
  <si>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</si>
  <si>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</si>
  <si>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</si>
  <si>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</si>
  <si>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</si>
  <si>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</si>
  <si>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</si>
  <si>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</si>
  <si>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</si>
  <si>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</si>
  <si>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</si>
  <si>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</si>
  <si>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</si>
  <si>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</si>
  <si>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</si>
  <si>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</si>
  <si>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</si>
  <si>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</si>
  <si>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</si>
  <si>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</si>
  <si>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</si>
  <si>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</si>
  <si>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</si>
  <si>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</si>
  <si>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</si>
  <si>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</si>
  <si>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</si>
  <si>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</si>
  <si>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</si>
  <si>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</si>
  <si>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</si>
  <si>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</si>
  <si>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</si>
  <si>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</si>
  <si>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</si>
  <si>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</si>
  <si>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</si>
  <si>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</si>
  <si>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</si>
  <si>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</si>
  <si>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</si>
  <si>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</si>
  <si>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</si>
  <si>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</si>
  <si>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</si>
  <si>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</si>
  <si>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</si>
  <si>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</si>
  <si>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</si>
  <si>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</si>
  <si>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</si>
  <si>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</si>
  <si>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</si>
  <si>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</si>
  <si>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</si>
  <si>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</si>
  <si>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</si>
  <si>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</si>
  <si>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</si>
  <si>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</si>
  <si>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</si>
  <si>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</si>
  <si>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</si>
  <si>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</si>
  <si>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</si>
  <si>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</si>
  <si>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</si>
  <si>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</si>
  <si>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</si>
  <si>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</si>
  <si>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</si>
  <si>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</si>
  <si>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</si>
  <si>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</si>
  <si>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</si>
  <si>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</si>
  <si>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</si>
  <si>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</si>
  <si>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</si>
  <si>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</si>
  <si>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</si>
  <si>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</si>
  <si>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</si>
  <si>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</si>
  <si>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</si>
  <si>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</si>
  <si>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</si>
  <si>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</si>
  <si>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</si>
  <si>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</si>
  <si>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</si>
  <si>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</si>
  <si>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</si>
  <si>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</si>
  <si>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</si>
  <si>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</si>
  <si>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</si>
  <si>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</si>
  <si>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</si>
  <si>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</si>
  <si>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</si>
  <si>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</si>
  <si>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</si>
  <si>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</si>
  <si>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</si>
  <si>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</si>
  <si>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</si>
  <si>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</si>
  <si>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</si>
  <si>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</si>
  <si>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</si>
  <si>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</si>
  <si>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</si>
  <si>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</si>
  <si>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</si>
  <si>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</si>
  <si>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</si>
  <si>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</si>
  <si>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</si>
  <si>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</si>
  <si>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</si>
  <si>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</si>
  <si>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</si>
  <si>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</si>
  <si>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</si>
  <si>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</si>
  <si>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</si>
  <si>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</si>
  <si>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</si>
  <si>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</si>
  <si>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</si>
  <si>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</si>
  <si>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</si>
  <si>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</si>
  <si>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</si>
  <si>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</si>
  <si>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</si>
  <si>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</si>
  <si>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</si>
  <si>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</si>
  <si>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</si>
  <si>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</si>
  <si>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</si>
  <si>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</si>
  <si>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</si>
  <si>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</si>
  <si>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</si>
  <si>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</si>
  <si>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</si>
  <si>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</si>
  <si>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</si>
  <si>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</si>
  <si>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</si>
  <si>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</si>
  <si>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</si>
  <si>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</si>
  <si>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</si>
  <si>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</si>
  <si>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</si>
  <si>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</si>
  <si>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</si>
  <si>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</si>
  <si>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</si>
  <si>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</si>
  <si>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</si>
  <si>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</si>
  <si>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</si>
  <si>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</si>
  <si>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</si>
  <si>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</si>
  <si>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</si>
  <si>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</si>
  <si>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</si>
  <si>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</si>
  <si>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</si>
  <si>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</si>
  <si>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</si>
  <si>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</si>
  <si>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</si>
  <si>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</si>
  <si>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</si>
  <si>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</si>
  <si>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</si>
  <si>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</si>
  <si>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</si>
  <si>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</si>
  <si>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</si>
  <si>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</si>
  <si>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</si>
  <si>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</si>
  <si>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</si>
  <si>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</si>
  <si>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</si>
  <si>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</si>
  <si>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</si>
  <si>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</si>
  <si>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</si>
  <si>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</si>
  <si>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</si>
  <si>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</si>
  <si>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</si>
  <si>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</si>
  <si>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</si>
  <si>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</si>
  <si>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</si>
  <si>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</si>
  <si>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</si>
  <si>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</si>
  <si>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</si>
  <si>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</si>
  <si>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</si>
  <si>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</si>
  <si>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</si>
  <si>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</si>
  <si>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</si>
  <si>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</si>
  <si>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</si>
  <si>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</si>
  <si>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</si>
  <si>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</si>
  <si>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</si>
  <si>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</si>
  <si>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</si>
  <si>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</si>
  <si>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</si>
  <si>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</si>
  <si>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</si>
  <si>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</si>
  <si>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</si>
  <si>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</si>
  <si>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</si>
  <si>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</si>
  <si>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</si>
  <si>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</si>
  <si>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</si>
  <si>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</si>
  <si>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</si>
  <si>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</si>
  <si>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</si>
  <si>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</si>
  <si>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</si>
  <si>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</si>
  <si>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</si>
  <si>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</si>
  <si>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</si>
  <si>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</si>
  <si>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</si>
  <si>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</si>
  <si>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</si>
  <si>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</si>
  <si>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</si>
  <si>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</si>
  <si>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</si>
  <si>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</si>
  <si>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</si>
  <si>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</si>
  <si>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</si>
  <si>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</si>
  <si>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</si>
  <si>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</si>
  <si>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</si>
  <si>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</si>
  <si>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</si>
  <si>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</si>
  <si>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</si>
  <si>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</si>
  <si>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</si>
  <si>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</si>
  <si>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</si>
  <si>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</si>
  <si>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</si>
  <si>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</si>
  <si>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</si>
  <si>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</si>
  <si>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</si>
  <si>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</si>
  <si>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</si>
  <si>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</si>
  <si>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</si>
  <si>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</si>
  <si>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</si>
  <si>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</si>
  <si>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</si>
  <si>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</si>
  <si>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</si>
  <si>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</si>
  <si>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</si>
  <si>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</si>
  <si>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</si>
  <si>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</si>
  <si>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</si>
  <si>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</si>
  <si>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</si>
  <si>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</si>
  <si>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</si>
  <si>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</si>
  <si>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</si>
  <si>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</si>
  <si>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</si>
  <si>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</si>
  <si>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</si>
  <si>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</si>
  <si>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</si>
  <si>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</si>
  <si>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</si>
  <si>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</si>
  <si>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</si>
  <si>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</si>
  <si>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</si>
  <si>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</si>
  <si>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</si>
  <si>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</si>
  <si>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</si>
  <si>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</si>
  <si>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</si>
  <si>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</si>
  <si>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</si>
  <si>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</si>
  <si>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</si>
  <si>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</si>
  <si>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</si>
  <si>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</si>
  <si>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</si>
  <si>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</si>
  <si>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</si>
  <si>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</si>
  <si>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</si>
  <si>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</si>
  <si>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</si>
  <si>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</si>
  <si>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</si>
  <si>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</si>
  <si>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</si>
  <si>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</si>
  <si>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</si>
  <si>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</si>
  <si>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</si>
  <si>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</si>
  <si>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</si>
  <si>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</si>
  <si>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</si>
  <si>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</si>
  <si>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</si>
  <si>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</si>
  <si>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</si>
  <si>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</si>
  <si>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</si>
  <si>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</si>
  <si>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</si>
  <si>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</si>
  <si>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</si>
  <si>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</si>
  <si>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</si>
  <si>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</si>
  <si>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</si>
  <si>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</si>
  <si>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</si>
  <si>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</si>
  <si>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</si>
  <si>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</si>
  <si>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</si>
  <si>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</si>
  <si>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</si>
  <si>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</si>
  <si>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</si>
  <si>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</si>
  <si>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</si>
  <si>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</si>
  <si>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</si>
  <si>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</si>
  <si>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</si>
  <si>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</si>
  <si>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</si>
  <si>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</si>
  <si>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</si>
  <si>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</si>
  <si>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</si>
  <si>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</si>
  <si>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</si>
  <si>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</si>
  <si>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</si>
  <si>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</si>
  <si>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</si>
  <si>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</si>
  <si>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</si>
  <si>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</si>
  <si>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</si>
  <si>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</si>
  <si>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</si>
  <si>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</si>
  <si>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</si>
  <si>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</si>
  <si>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</si>
  <si>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</si>
  <si>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</si>
  <si>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</si>
  <si>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</si>
  <si>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</si>
  <si>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</si>
  <si>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</si>
  <si>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</si>
  <si>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</si>
  <si>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</si>
  <si>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</si>
  <si>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</si>
  <si>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</si>
  <si>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</si>
  <si>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</si>
  <si>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</si>
  <si>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</si>
  <si>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</si>
  <si>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</si>
  <si>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</si>
  <si>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</si>
  <si>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</si>
  <si>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</si>
  <si>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</si>
  <si>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</si>
  <si>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</si>
  <si>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</si>
  <si>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</si>
  <si>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</si>
  <si>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</si>
  <si>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</si>
  <si>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</si>
  <si>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</si>
  <si>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</si>
  <si>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</si>
  <si>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</si>
  <si>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</si>
  <si>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</si>
  <si>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</si>
  <si>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</si>
  <si>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</si>
  <si>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</si>
  <si>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</si>
  <si>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</si>
  <si>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</si>
  <si>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</si>
  <si>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</si>
  <si>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</si>
  <si>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</si>
  <si>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</si>
  <si>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</si>
  <si>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</si>
  <si>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</si>
  <si>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</si>
  <si>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</si>
  <si>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</si>
  <si>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</si>
  <si>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</si>
  <si>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</si>
  <si>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</si>
  <si>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</si>
  <si>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</si>
  <si>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</si>
  <si>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</si>
  <si>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</si>
  <si>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</si>
  <si>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</si>
  <si>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</si>
  <si>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</si>
  <si>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</si>
  <si>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</si>
  <si>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</si>
  <si>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</si>
  <si>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</si>
  <si>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</si>
  <si>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</si>
  <si>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</si>
  <si>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</si>
  <si>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</si>
  <si>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</si>
  <si>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</si>
  <si>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</si>
  <si>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</si>
  <si>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</si>
  <si>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</si>
  <si>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</si>
  <si>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</si>
  <si>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</si>
  <si>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</si>
  <si>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</si>
  <si>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</si>
  <si>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</si>
  <si>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</si>
  <si>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</si>
  <si>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</si>
  <si>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</si>
  <si>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</si>
  <si>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</si>
  <si>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</si>
  <si>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</si>
  <si>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</si>
  <si>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</si>
  <si>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</si>
  <si>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</si>
  <si>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</si>
  <si>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</si>
  <si>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</si>
  <si>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</si>
  <si>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</si>
  <si>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</si>
  <si>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</si>
  <si>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</si>
  <si>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</si>
  <si>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</si>
  <si>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</si>
  <si>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</si>
  <si>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</si>
  <si>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</si>
  <si>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</si>
  <si>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</si>
  <si>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</si>
  <si>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</si>
  <si>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</si>
  <si>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</si>
  <si>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</si>
  <si>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</si>
  <si>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</si>
  <si>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</si>
  <si>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</si>
  <si>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</si>
  <si>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</si>
  <si>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</si>
  <si>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</si>
  <si>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</si>
  <si>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</si>
  <si>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</si>
  <si>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</si>
  <si>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</si>
  <si>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</si>
  <si>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</si>
  <si>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</si>
  <si>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</si>
  <si>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</si>
  <si>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</si>
  <si>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</si>
  <si>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</si>
  <si>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</si>
  <si>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</si>
  <si>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</si>
  <si>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</si>
  <si>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</si>
  <si>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</si>
  <si>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</si>
  <si>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</si>
  <si>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</si>
  <si>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</si>
  <si>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</si>
  <si>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</si>
  <si>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</si>
  <si>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</si>
  <si>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</si>
  <si>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</si>
  <si>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</si>
  <si>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</si>
  <si>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</si>
  <si>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</si>
  <si>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</si>
  <si>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</si>
  <si>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</si>
  <si>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</si>
  <si>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</si>
  <si>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</si>
  <si>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</si>
  <si>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</si>
  <si>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</si>
  <si>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</si>
  <si>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</si>
  <si>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</si>
  <si>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</si>
  <si>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</si>
  <si>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</si>
  <si>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</si>
  <si>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</si>
  <si>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</si>
  <si>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</si>
  <si>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</si>
  <si>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</si>
  <si>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</si>
  <si>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</si>
  <si>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</si>
  <si>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</si>
  <si>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</si>
  <si>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</si>
  <si>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</si>
  <si>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</si>
  <si>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</si>
  <si>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</si>
  <si>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</si>
  <si>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</si>
  <si>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</si>
  <si>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</si>
  <si>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</si>
  <si>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</si>
  <si>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</si>
  <si>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</si>
  <si>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</si>
  <si>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</si>
  <si>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</si>
  <si>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</si>
  <si>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</si>
  <si>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</si>
  <si>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</si>
  <si>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</si>
  <si>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</si>
  <si>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</si>
  <si>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</si>
  <si>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</si>
  <si>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</si>
  <si>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</si>
  <si>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</si>
  <si>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</si>
  <si>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</si>
  <si>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</si>
  <si>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</si>
  <si>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</si>
  <si>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</si>
  <si>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</si>
  <si>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</si>
  <si>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</si>
  <si>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</si>
  <si>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</si>
  <si>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</si>
  <si>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</si>
  <si>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</si>
  <si>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</si>
  <si>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</si>
  <si>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</si>
  <si>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</si>
  <si>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</si>
  <si>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</si>
  <si>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</si>
  <si>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</si>
  <si>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</si>
  <si>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</si>
  <si>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</si>
  <si>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</si>
  <si>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</si>
  <si>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</si>
  <si>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</si>
  <si>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</si>
  <si>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</si>
  <si>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</si>
  <si>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</si>
  <si>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</si>
  <si>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</si>
  <si>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</si>
  <si>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</si>
  <si>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</si>
  <si>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</si>
  <si>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</si>
  <si>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</si>
  <si>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</si>
  <si>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</si>
  <si>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</si>
  <si>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</si>
  <si>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</si>
  <si>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</si>
  <si>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</si>
  <si>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</si>
  <si>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</si>
  <si>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</si>
  <si>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</si>
  <si>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</si>
  <si>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</si>
  <si>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</si>
  <si>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</si>
  <si>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</si>
  <si>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</si>
  <si>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</si>
  <si>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</si>
  <si>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</si>
  <si>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</si>
  <si>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</si>
  <si>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</si>
  <si>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</si>
  <si>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</si>
  <si>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</si>
  <si>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</si>
  <si>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</si>
  <si>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</si>
  <si>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</si>
  <si>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</si>
  <si>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</si>
  <si>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</si>
  <si>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</si>
  <si>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</si>
  <si>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</si>
  <si>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</si>
  <si>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</si>
  <si>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</si>
  <si>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</si>
  <si>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</si>
  <si>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</si>
  <si>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</si>
  <si>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</si>
  <si>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</si>
  <si>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</si>
  <si>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</si>
  <si>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</si>
  <si>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</si>
  <si>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</si>
  <si>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</si>
  <si>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</si>
  <si>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</si>
  <si>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</si>
  <si>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</si>
  <si>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</si>
  <si>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</si>
  <si>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</si>
  <si>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</si>
  <si>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</si>
  <si>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</si>
  <si>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</si>
  <si>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</si>
  <si>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</si>
  <si>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</si>
  <si>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</si>
  <si>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</si>
  <si>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</si>
  <si>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</si>
  <si>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</si>
  <si>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</si>
  <si>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</si>
  <si>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</si>
  <si>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</si>
  <si>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</si>
  <si>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</si>
  <si>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</si>
  <si>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</si>
  <si>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</si>
  <si>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</si>
  <si>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</si>
  <si>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</si>
  <si>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</si>
  <si>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</si>
  <si>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</si>
  <si>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</si>
  <si>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</si>
  <si>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</si>
  <si>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</si>
  <si>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</si>
  <si>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</si>
  <si>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</si>
  <si>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</si>
  <si>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</si>
  <si>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</si>
  <si>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</si>
  <si>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</si>
  <si>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</si>
  <si>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</si>
  <si>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</si>
  <si>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</si>
  <si>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</si>
  <si>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</si>
  <si>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</si>
  <si>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</si>
  <si>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</si>
  <si>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</si>
  <si>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</si>
  <si>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</si>
  <si>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</si>
  <si>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</si>
  <si>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</si>
  <si>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</si>
  <si>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</si>
  <si>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</si>
  <si>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</si>
  <si>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</si>
  <si>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</si>
  <si>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</si>
  <si>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</si>
  <si>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</si>
  <si>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</si>
  <si>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</si>
  <si>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</si>
  <si>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</si>
  <si>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</si>
  <si>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</si>
  <si>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</si>
  <si>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</si>
  <si>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</si>
  <si>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</si>
  <si>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</si>
  <si>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</si>
  <si>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</si>
  <si>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</si>
  <si>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</si>
  <si>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</si>
  <si>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</si>
  <si>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</si>
  <si>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</si>
  <si>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</si>
  <si>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</si>
  <si>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</si>
  <si>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</si>
  <si>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</si>
  <si>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</si>
  <si>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</si>
  <si>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</si>
  <si>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</si>
  <si>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</si>
  <si>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</si>
  <si>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</si>
  <si>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</si>
  <si>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</si>
  <si>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</si>
  <si>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</si>
  <si>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</si>
  <si>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</si>
  <si>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</si>
  <si>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</si>
  <si>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</si>
  <si>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</si>
  <si>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</si>
  <si>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</si>
  <si>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</si>
  <si>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</si>
  <si>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</si>
  <si>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</si>
  <si>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</si>
  <si>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</si>
  <si>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</si>
  <si>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</si>
  <si>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</si>
  <si>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</si>
  <si>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</si>
  <si>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</si>
  <si>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</si>
  <si>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</si>
  <si>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</si>
  <si>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</si>
  <si>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</si>
  <si>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</si>
  <si>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</si>
  <si>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</si>
  <si>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</si>
  <si>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</si>
  <si>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</si>
  <si>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</si>
  <si>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</si>
  <si>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</si>
  <si>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</si>
  <si>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</si>
  <si>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</si>
  <si>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</si>
  <si>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</si>
  <si>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</si>
  <si>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</si>
  <si>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</si>
  <si>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</si>
  <si>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</si>
  <si>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</si>
  <si>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</si>
  <si>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</si>
  <si>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</si>
  <si>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</si>
  <si>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</si>
  <si>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</si>
  <si>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</si>
  <si>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</si>
  <si>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</si>
  <si>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</si>
  <si>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</si>
  <si>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</si>
  <si>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</si>
  <si>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</si>
  <si>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</si>
  <si>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</si>
  <si>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</si>
  <si>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</si>
  <si>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</si>
  <si>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</si>
  <si>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</si>
  <si>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</si>
  <si>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</si>
  <si>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</si>
  <si>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</si>
  <si>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</si>
  <si>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</si>
  <si>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</si>
  <si>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</si>
  <si>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</si>
  <si>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</si>
  <si>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</si>
  <si>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</si>
  <si>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</si>
  <si>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</si>
  <si>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</si>
  <si>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</si>
  <si>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</si>
  <si>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</si>
  <si>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</si>
  <si>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</si>
  <si>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</si>
  <si>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</si>
  <si>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</si>
  <si>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</si>
  <si>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</si>
  <si>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</si>
  <si>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</si>
  <si>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</si>
  <si>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</si>
  <si>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</si>
  <si>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</si>
  <si>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</si>
  <si>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</si>
  <si>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</si>
  <si>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</si>
  <si>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</si>
  <si>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</si>
  <si>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</si>
  <si>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</si>
  <si>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</si>
  <si>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</si>
  <si>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</si>
  <si>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</si>
  <si>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</si>
  <si>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</si>
  <si>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</si>
  <si>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</si>
  <si>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</si>
  <si>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</si>
  <si>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</si>
  <si>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</si>
  <si>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</si>
  <si>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</si>
  <si>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</si>
  <si>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</si>
  <si>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</si>
  <si>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</si>
  <si>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</si>
  <si>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</si>
  <si>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</si>
  <si>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</si>
  <si>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</si>
  <si>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</si>
  <si>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</si>
  <si>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</si>
  <si>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</si>
  <si>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</si>
  <si>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</si>
  <si>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</si>
  <si>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</si>
  <si>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</si>
  <si>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</si>
  <si>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</si>
  <si>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</si>
  <si>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</si>
  <si>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</si>
  <si>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</si>
  <si>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</si>
  <si>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</si>
  <si>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</si>
  <si>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</si>
  <si>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</si>
  <si>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</si>
  <si>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</si>
  <si>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</si>
  <si>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</si>
  <si>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</si>
  <si>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</si>
  <si>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</si>
  <si>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</si>
  <si>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</si>
  <si>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</si>
  <si>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</si>
  <si>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</si>
  <si>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</si>
  <si>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</si>
  <si>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</si>
  <si>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</si>
  <si>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</si>
  <si>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</si>
  <si>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</si>
  <si>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</si>
  <si>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</si>
  <si>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</si>
  <si>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</si>
  <si>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</si>
  <si>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</si>
  <si>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</si>
  <si>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</si>
  <si>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</si>
  <si>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</si>
  <si>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</si>
  <si>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</si>
  <si>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</si>
  <si>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</si>
  <si>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</si>
  <si>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</si>
  <si>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</si>
  <si>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</si>
  <si>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</si>
  <si>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</si>
  <si>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</si>
  <si>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</si>
  <si>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</si>
  <si>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</si>
  <si>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</si>
  <si>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</si>
  <si>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</si>
  <si>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</si>
  <si>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</si>
  <si>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</si>
  <si>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</si>
  <si>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</si>
  <si>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</si>
  <si>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</si>
  <si>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</si>
  <si>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</si>
  <si>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</si>
  <si>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</si>
  <si>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</si>
  <si>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</si>
  <si>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</si>
  <si>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</si>
  <si>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</si>
  <si>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</si>
  <si>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</si>
  <si>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</si>
  <si>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</si>
  <si>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</si>
  <si>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</si>
  <si>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</si>
  <si>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</si>
  <si>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</si>
  <si>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</si>
  <si>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</si>
  <si>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</si>
  <si>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</si>
  <si>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</si>
  <si>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</si>
  <si>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</si>
  <si>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</si>
  <si>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</si>
  <si>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</si>
  <si>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</si>
  <si>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</si>
  <si>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</si>
  <si>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</si>
  <si>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</si>
  <si>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</si>
  <si>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</si>
  <si>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</si>
  <si>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</si>
  <si>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</si>
  <si>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</si>
  <si>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</si>
  <si>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</si>
  <si>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</si>
  <si>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</si>
  <si>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</si>
  <si>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</si>
  <si>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</si>
  <si>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</si>
  <si>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</si>
  <si>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</si>
  <si>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</si>
  <si>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</si>
  <si>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</si>
  <si>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</si>
  <si>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</si>
  <si>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</si>
  <si>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</si>
  <si>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</si>
  <si>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</si>
  <si>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</si>
  <si>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</si>
  <si>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</si>
  <si>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</si>
  <si>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</si>
  <si>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</si>
  <si>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</si>
  <si>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</si>
  <si>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</si>
  <si>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</si>
  <si>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</si>
  <si>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</si>
  <si>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</si>
  <si>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</si>
  <si>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</si>
  <si>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</si>
  <si>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</si>
  <si>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</si>
  <si>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</si>
  <si>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</si>
  <si>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</si>
  <si>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</si>
  <si>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</si>
  <si>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</si>
  <si>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</si>
  <si>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</si>
  <si>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</si>
  <si>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</si>
  <si>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</si>
  <si>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</si>
  <si>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</si>
  <si>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</si>
  <si>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</si>
  <si>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</si>
  <si>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</si>
  <si>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</si>
  <si>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</si>
  <si>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</si>
  <si>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</si>
  <si>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</si>
  <si>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</si>
  <si>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</si>
  <si>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</si>
  <si>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</si>
  <si>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</si>
  <si>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</si>
  <si>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</si>
  <si>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</si>
  <si>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</si>
  <si>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</si>
  <si>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</si>
  <si>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</si>
  <si>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</si>
  <si>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</si>
  <si>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</si>
  <si>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</si>
  <si>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</si>
  <si>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</si>
  <si>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</si>
  <si>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</si>
  <si>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</si>
  <si>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</si>
  <si>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</si>
  <si>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</si>
  <si>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</si>
  <si>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</si>
  <si>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</si>
  <si>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</si>
  <si>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</si>
  <si>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</si>
  <si>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</si>
  <si>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</si>
  <si>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</si>
  <si>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</si>
  <si>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</si>
  <si>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</si>
  <si>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</si>
  <si>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</si>
  <si>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</si>
  <si>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</si>
  <si>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</si>
  <si>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</si>
  <si>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</si>
  <si>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</si>
  <si>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</si>
  <si>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</si>
  <si>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</si>
  <si>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</si>
  <si>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</si>
  <si>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</si>
  <si>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</si>
  <si>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</si>
  <si>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</si>
  <si>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</si>
  <si>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</si>
  <si>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</si>
  <si>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</si>
  <si>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</si>
  <si>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</si>
  <si>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</si>
  <si>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</si>
  <si>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</si>
  <si>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</si>
  <si>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</si>
  <si>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</si>
  <si>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</si>
  <si>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</si>
  <si>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</si>
  <si>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</si>
  <si>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</si>
  <si>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</si>
  <si>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</si>
  <si>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</si>
  <si>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</si>
  <si>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</si>
  <si>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</si>
  <si>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</si>
  <si>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</si>
  <si>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</si>
  <si>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</si>
  <si>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</si>
  <si>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</si>
  <si>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</si>
  <si>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</si>
  <si>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</si>
  <si>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</si>
  <si>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</si>
  <si>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</si>
  <si>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</si>
  <si>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</si>
  <si>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</si>
  <si>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</si>
  <si>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</si>
  <si>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</si>
  <si>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</si>
  <si>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</si>
  <si>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</si>
  <si>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</si>
  <si>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</si>
  <si>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</si>
  <si>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</si>
  <si>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</si>
  <si>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</si>
  <si>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</si>
  <si>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</si>
  <si>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</si>
  <si>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</si>
  <si>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</si>
  <si>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</si>
  <si>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</si>
  <si>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</si>
  <si>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</si>
  <si>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</si>
  <si>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</si>
  <si>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</si>
  <si>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</si>
  <si>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</si>
  <si>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</si>
  <si>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</si>
  <si>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</si>
  <si>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</si>
  <si>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</si>
  <si>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</si>
  <si>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</si>
  <si>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</si>
  <si>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</si>
  <si>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</si>
  <si>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</si>
  <si>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</si>
  <si>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</si>
  <si>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</si>
  <si>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</si>
  <si>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</si>
  <si>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</si>
  <si>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</si>
  <si>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</si>
  <si>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</si>
  <si>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</si>
  <si>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</si>
  <si>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</si>
  <si>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</si>
  <si>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</si>
  <si>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</si>
  <si>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</si>
  <si>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</si>
  <si>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</si>
  <si>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</si>
  <si>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</si>
  <si>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</si>
  <si>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</si>
  <si>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</si>
  <si>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</si>
  <si>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</si>
  <si>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</si>
  <si>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</si>
  <si>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</si>
  <si>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</si>
  <si>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</si>
  <si>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</si>
  <si>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</si>
  <si>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</si>
  <si>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</si>
  <si>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</si>
  <si>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</si>
  <si>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</si>
  <si>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</si>
  <si>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</si>
  <si>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</si>
  <si>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</si>
  <si>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</si>
  <si>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</si>
  <si>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</si>
  <si>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</si>
  <si>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</si>
  <si>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</si>
  <si>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</si>
  <si>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</si>
  <si>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</si>
  <si>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</si>
  <si>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</si>
  <si>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</si>
  <si>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</si>
  <si>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</si>
  <si>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</si>
  <si>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</si>
  <si>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</si>
  <si>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</si>
  <si>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</si>
  <si>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</si>
  <si>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</si>
  <si>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</si>
  <si>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</si>
  <si>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</si>
  <si>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</si>
  <si>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</si>
  <si>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</si>
  <si>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</si>
  <si>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</si>
  <si>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</si>
  <si>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</si>
  <si>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</si>
  <si>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</si>
  <si>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</si>
  <si>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</si>
  <si>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</si>
  <si>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</si>
  <si>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</si>
  <si>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</si>
  <si>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</si>
  <si>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</si>
  <si>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</si>
  <si>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</si>
  <si>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</si>
  <si>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</si>
  <si>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</si>
  <si>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</si>
  <si>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</si>
  <si>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</si>
  <si>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</si>
  <si>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</si>
  <si>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</si>
  <si>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</si>
  <si>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</si>
  <si>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</si>
  <si>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</si>
  <si>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</si>
  <si>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</si>
  <si>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</si>
  <si>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</si>
  <si>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</si>
  <si>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</si>
  <si>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</si>
  <si>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</si>
  <si>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</si>
  <si>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</si>
  <si>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</si>
  <si>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</si>
  <si>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</si>
  <si>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</si>
  <si>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</si>
  <si>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</si>
  <si>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</si>
  <si>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</si>
  <si>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</si>
  <si>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</si>
  <si>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</si>
  <si>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</si>
  <si>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</si>
  <si>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</si>
  <si>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</si>
  <si>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</si>
  <si>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</si>
  <si>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</si>
  <si>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</si>
  <si>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</si>
  <si>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</si>
  <si>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</si>
  <si>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</si>
  <si>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</si>
  <si>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</si>
  <si>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</si>
  <si>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</si>
  <si>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</si>
  <si>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</si>
  <si>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</si>
  <si>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</si>
  <si>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</si>
  <si>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</si>
  <si>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</si>
  <si>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</si>
  <si>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</si>
  <si>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</si>
  <si>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</si>
  <si>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</si>
  <si>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</si>
  <si>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</si>
  <si>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</si>
  <si>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</si>
  <si>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</si>
  <si>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</si>
  <si>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</si>
  <si>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</si>
  <si>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</si>
  <si>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</si>
  <si>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</si>
  <si>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</si>
  <si>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</si>
  <si>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</si>
  <si>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</si>
  <si>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</si>
  <si>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</si>
  <si>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</si>
  <si>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</si>
  <si>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</si>
  <si>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</si>
  <si>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</si>
  <si>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</si>
  <si>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</si>
  <si>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</si>
  <si>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</si>
  <si>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</si>
  <si>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</si>
  <si>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</si>
  <si>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</si>
  <si>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</si>
  <si>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</si>
  <si>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</si>
  <si>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</si>
  <si>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</si>
  <si>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</si>
  <si>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</si>
  <si>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</si>
  <si>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</si>
  <si>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</si>
  <si>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</si>
  <si>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</si>
  <si>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</si>
  <si>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</si>
  <si>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</si>
  <si>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</si>
  <si>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</si>
  <si>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</si>
  <si>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</si>
  <si>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</si>
  <si>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</si>
  <si>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</si>
  <si>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</si>
  <si>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</si>
  <si>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</si>
  <si>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</si>
  <si>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</si>
  <si>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</si>
  <si>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</si>
  <si>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</si>
  <si>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</si>
  <si>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</si>
  <si>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</si>
  <si>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</si>
  <si>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</si>
  <si>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</si>
  <si>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</si>
  <si>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</si>
  <si>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</si>
  <si>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</si>
  <si>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</si>
  <si>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</si>
  <si>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</si>
  <si>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</si>
  <si>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</si>
  <si>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</si>
  <si>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</si>
  <si>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</si>
  <si>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</si>
  <si>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</si>
  <si>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</si>
  <si>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</si>
  <si>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</si>
  <si>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</si>
  <si>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</si>
  <si>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</si>
  <si>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</si>
  <si>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</si>
  <si>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</si>
  <si>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</si>
  <si>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</si>
  <si>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</si>
  <si>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</si>
  <si>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</si>
  <si>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</si>
  <si>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</si>
  <si>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</si>
  <si>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</si>
  <si>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</si>
  <si>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</si>
  <si>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</si>
  <si>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</si>
  <si>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</si>
  <si>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</si>
  <si>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</si>
  <si>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</si>
  <si>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</si>
  <si>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</si>
  <si>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</si>
  <si>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</si>
  <si>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</si>
  <si>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</si>
  <si>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</si>
  <si>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</si>
  <si>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</si>
  <si>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</si>
  <si>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</si>
  <si>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</si>
  <si>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</si>
  <si>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</si>
  <si>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</si>
  <si>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</si>
  <si>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</si>
  <si>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</si>
  <si>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</si>
  <si>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</si>
  <si>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</si>
  <si>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</si>
  <si>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</si>
  <si>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</si>
  <si>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</si>
  <si>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</si>
  <si>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</si>
  <si>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</si>
  <si>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</si>
  <si>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</si>
  <si>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</si>
  <si>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</si>
  <si>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</si>
  <si>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</si>
  <si>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</si>
  <si>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</si>
  <si>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</si>
  <si>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</si>
  <si>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</si>
  <si>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</si>
  <si>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</si>
  <si>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</si>
  <si>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</si>
  <si>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</si>
  <si>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</si>
  <si>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</si>
  <si>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</si>
  <si>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</si>
  <si>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</si>
  <si>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</si>
  <si>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</si>
  <si>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</si>
  <si>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</si>
  <si>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</si>
  <si>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</si>
  <si>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</si>
  <si>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</si>
  <si>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</si>
  <si>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</si>
  <si>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</si>
  <si>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</si>
  <si>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</si>
  <si>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</si>
  <si>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</si>
  <si>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</si>
  <si>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</si>
  <si>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</si>
  <si>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</si>
  <si>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</si>
  <si>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</si>
  <si>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</si>
  <si>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</si>
  <si>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</si>
  <si>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</si>
  <si>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</si>
  <si>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</si>
  <si>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</si>
  <si>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</si>
  <si>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</si>
  <si>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</si>
  <si>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</si>
  <si>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</si>
  <si>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</si>
  <si>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</si>
  <si>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</si>
  <si>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</si>
  <si>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</si>
  <si>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</si>
  <si>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</si>
  <si>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</si>
  <si>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</si>
  <si>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</si>
  <si>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</si>
  <si>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</si>
  <si>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</si>
  <si>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</si>
  <si>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</si>
  <si>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</si>
  <si>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</si>
  <si>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</si>
  <si>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</si>
  <si>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</si>
  <si>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</si>
  <si>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</si>
  <si>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</si>
  <si>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</si>
  <si>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</si>
  <si>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</si>
  <si>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</si>
  <si>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</si>
  <si>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</si>
  <si>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</si>
  <si>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</si>
  <si>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</si>
  <si>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</si>
  <si>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</si>
  <si>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</si>
  <si>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</si>
  <si>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</si>
  <si>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</si>
  <si>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</si>
  <si>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</si>
  <si>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</si>
  <si>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</si>
  <si>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</si>
  <si>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</si>
  <si>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</si>
  <si>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</si>
  <si>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</si>
  <si>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</si>
  <si>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</si>
  <si>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</si>
  <si>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</si>
  <si>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</si>
  <si>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</si>
  <si>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</si>
  <si>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</si>
  <si>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</si>
  <si>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</si>
  <si>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</si>
  <si>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</si>
  <si>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</si>
  <si>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</si>
  <si>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</si>
  <si>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</si>
  <si>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</si>
  <si>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</si>
  <si>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</si>
  <si>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</si>
  <si>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</si>
  <si>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</si>
  <si>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</si>
  <si>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</si>
  <si>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</si>
  <si>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</si>
  <si>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</si>
  <si>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</si>
  <si>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</si>
  <si>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</si>
  <si>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</si>
  <si>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</si>
  <si>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</si>
  <si>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</si>
  <si>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</si>
  <si>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</si>
  <si>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</si>
  <si>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</si>
  <si>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</si>
  <si>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</si>
  <si>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</si>
  <si>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</si>
  <si>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</si>
  <si>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</si>
  <si>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</si>
  <si>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</si>
  <si>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</si>
  <si>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</si>
  <si>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</si>
  <si>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</si>
  <si>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</si>
  <si>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</si>
  <si>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</si>
  <si>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</si>
  <si>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</si>
  <si>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</si>
  <si>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</si>
  <si>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</si>
  <si>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</si>
  <si>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</si>
  <si>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</si>
  <si>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</si>
  <si>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</si>
  <si>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</si>
  <si>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</si>
  <si>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</si>
  <si>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</si>
  <si>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</si>
  <si>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</si>
  <si>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</si>
  <si>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</si>
  <si>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</si>
  <si>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</si>
  <si>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</si>
  <si>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</si>
  <si>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</si>
  <si>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</si>
  <si>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</si>
  <si>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</si>
  <si>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</si>
  <si>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</si>
  <si>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</si>
  <si>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</si>
  <si>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</si>
  <si>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</si>
  <si>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</si>
  <si>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</si>
  <si>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</si>
  <si>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</si>
  <si>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</si>
  <si>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</si>
  <si>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</si>
  <si>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</si>
  <si>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</si>
  <si>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</si>
  <si>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</si>
  <si>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</si>
  <si>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</si>
  <si>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</si>
  <si>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</si>
  <si>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</si>
  <si>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</si>
  <si>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</si>
  <si>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</si>
  <si>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</si>
  <si>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</si>
  <si>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</si>
  <si>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</si>
  <si>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</si>
  <si>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</si>
  <si>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</si>
  <si>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</si>
  <si>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</si>
  <si>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</si>
  <si>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</si>
  <si>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</si>
  <si>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</si>
  <si>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</si>
  <si>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</si>
  <si>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</si>
  <si>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</si>
  <si>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</si>
  <si>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</si>
  <si>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</si>
  <si>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</si>
  <si>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</si>
  <si>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</si>
  <si>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</si>
  <si>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</si>
  <si>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</si>
  <si>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</si>
  <si>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</si>
  <si>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</si>
  <si>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</si>
  <si>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</si>
  <si>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</si>
  <si>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</si>
  <si>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</si>
  <si>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</si>
  <si>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</si>
  <si>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</si>
  <si>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</si>
  <si>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</si>
  <si>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</si>
  <si>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</si>
  <si>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</si>
  <si>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</si>
  <si>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</si>
  <si>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</si>
  <si>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</si>
  <si>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</si>
  <si>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</si>
  <si>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</si>
  <si>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</si>
  <si>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</si>
  <si>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</si>
  <si>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</si>
  <si>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</si>
  <si>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</si>
  <si>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</si>
  <si>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</si>
  <si>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</si>
  <si>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</si>
  <si>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</si>
  <si>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</si>
  <si>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</si>
  <si>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</si>
  <si>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</si>
  <si>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</si>
  <si>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</si>
  <si>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</si>
  <si>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</si>
  <si>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</si>
  <si>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</si>
  <si>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</si>
  <si>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</si>
  <si>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</si>
  <si>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</si>
  <si>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</si>
  <si>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</si>
  <si>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</si>
  <si>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</si>
  <si>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</si>
  <si>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</si>
  <si>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</si>
  <si>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</si>
  <si>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</si>
  <si>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</si>
  <si>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</si>
  <si>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</si>
  <si>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</si>
  <si>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</si>
  <si>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</si>
  <si>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</si>
  <si>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</si>
  <si>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</si>
  <si>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</si>
  <si>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</si>
  <si>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</si>
  <si>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</si>
  <si>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</si>
  <si>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</si>
  <si>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</si>
  <si>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</si>
  <si>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</si>
  <si>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</si>
  <si>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</si>
  <si>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</si>
  <si>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</si>
  <si>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</si>
  <si>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</si>
  <si>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</si>
  <si>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</si>
  <si>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</si>
  <si>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</si>
  <si>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</si>
  <si>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</si>
  <si>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</si>
  <si>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</si>
  <si>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</si>
  <si>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</si>
  <si>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</si>
  <si>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</si>
  <si>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</si>
  <si>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</si>
  <si>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</si>
  <si>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</si>
  <si>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</si>
  <si>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</si>
  <si>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</si>
  <si>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</si>
  <si>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</si>
  <si>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</si>
  <si>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</si>
  <si>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</si>
  <si>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</si>
  <si>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</si>
  <si>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</si>
  <si>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</si>
  <si>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</si>
  <si>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</si>
  <si>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</si>
  <si>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</si>
  <si>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</si>
  <si>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</si>
  <si>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</si>
  <si>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</si>
  <si>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</si>
  <si>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</si>
  <si>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</si>
  <si>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</si>
  <si>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</si>
  <si>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</si>
  <si>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</si>
  <si>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</si>
  <si>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</si>
  <si>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</si>
  <si>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</si>
  <si>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</si>
  <si>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</si>
  <si>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</si>
  <si>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</si>
  <si>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</si>
  <si>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</si>
  <si>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</si>
  <si>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</si>
  <si>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</si>
  <si>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</si>
  <si>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</si>
  <si>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</si>
  <si>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</si>
  <si>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</si>
  <si>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</si>
  <si>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</si>
  <si>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</si>
  <si>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</si>
  <si>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</si>
  <si>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</si>
  <si>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</si>
  <si>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</si>
  <si>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</si>
  <si>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</si>
  <si>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</si>
  <si>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</si>
  <si>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</si>
  <si>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</si>
  <si>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</si>
  <si>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</si>
  <si>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</si>
  <si>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</si>
  <si>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</si>
  <si>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</si>
  <si>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</si>
  <si>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</si>
  <si>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</si>
  <si>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</si>
  <si>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</si>
  <si>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</si>
  <si>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</si>
  <si>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</si>
  <si>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</si>
  <si>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</si>
  <si>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</si>
  <si>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</si>
  <si>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</si>
  <si>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</si>
  <si>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</si>
  <si>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</si>
  <si>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</si>
  <si>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</si>
  <si>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</si>
  <si>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</si>
  <si>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</si>
  <si>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</si>
  <si>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</si>
  <si>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</si>
  <si>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</si>
  <si>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</si>
  <si>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</si>
  <si>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</si>
  <si>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</si>
  <si>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</si>
  <si>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</si>
  <si>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</si>
  <si>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</si>
  <si>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</si>
  <si>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</si>
  <si>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</si>
  <si>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</si>
  <si>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</si>
  <si>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</si>
  <si>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</si>
  <si>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</si>
  <si>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</si>
  <si>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</si>
  <si>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</si>
  <si>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</si>
  <si>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</si>
  <si>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</si>
  <si>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</si>
  <si>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</si>
  <si>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</si>
  <si>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</si>
  <si>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</si>
  <si>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</si>
  <si>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</si>
  <si>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</si>
  <si>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</si>
  <si>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</si>
  <si>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</si>
  <si>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</si>
  <si>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</si>
  <si>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</si>
  <si>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</si>
  <si>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</si>
  <si>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</si>
  <si>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</si>
  <si>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</si>
  <si>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</si>
  <si>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</si>
  <si>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</si>
  <si>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</si>
  <si>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</si>
  <si>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</si>
  <si>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</si>
  <si>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</si>
  <si>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</si>
  <si>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</si>
  <si>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</si>
  <si>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</si>
  <si>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</si>
  <si>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</si>
  <si>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</si>
  <si>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</si>
  <si>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</si>
  <si>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</si>
  <si>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</si>
  <si>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</si>
  <si>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</si>
  <si>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</si>
  <si>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</si>
  <si>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</si>
  <si>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</si>
  <si>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</si>
  <si>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</si>
  <si>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</si>
  <si>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</si>
  <si>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</si>
  <si>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</si>
  <si>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</si>
  <si>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</si>
  <si>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</si>
  <si>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</si>
  <si>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</si>
  <si>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</si>
  <si>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</si>
  <si>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</si>
  <si>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</si>
  <si>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</si>
  <si>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</si>
  <si>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</si>
  <si>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</si>
  <si>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</si>
  <si>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</si>
  <si>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</si>
  <si>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</si>
  <si>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</si>
  <si>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</si>
  <si>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</si>
  <si>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</si>
  <si>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</si>
  <si>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</si>
  <si>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</si>
  <si>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</si>
  <si>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</si>
  <si>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</si>
  <si>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</si>
  <si>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</si>
  <si>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</si>
  <si>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</si>
  <si>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</si>
  <si>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</si>
  <si>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</si>
  <si>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</si>
  <si>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</si>
  <si>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</si>
  <si>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</si>
  <si>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</si>
  <si>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</si>
  <si>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</si>
  <si>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</si>
  <si>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</si>
  <si>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</si>
  <si>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</si>
  <si>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</si>
  <si>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</si>
  <si>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</si>
  <si>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</si>
  <si>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</si>
  <si>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</si>
  <si>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</si>
  <si>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</si>
  <si>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</si>
  <si>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</si>
  <si>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</si>
  <si>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</si>
  <si>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</si>
  <si>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</si>
  <si>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</si>
  <si>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</si>
  <si>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</si>
  <si>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</si>
  <si>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</si>
  <si>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</si>
  <si>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</si>
  <si>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</si>
  <si>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</si>
  <si>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</si>
  <si>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</si>
  <si>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</si>
  <si>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</si>
  <si>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</si>
  <si>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</si>
  <si>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</si>
  <si>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</si>
  <si>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</si>
  <si>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</si>
  <si>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</si>
  <si>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</si>
  <si>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</si>
  <si>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</si>
  <si>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</si>
  <si>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</si>
  <si>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</si>
  <si>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</si>
  <si>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</si>
  <si>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</si>
  <si>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</si>
  <si>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</si>
  <si>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</si>
  <si>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</si>
  <si>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</si>
  <si>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</si>
  <si>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</si>
  <si>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</si>
  <si>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</si>
  <si>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</si>
  <si>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</si>
  <si>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</si>
  <si>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</si>
  <si>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</si>
  <si>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</si>
  <si>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</si>
  <si>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</si>
  <si>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</si>
  <si>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</si>
  <si>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</si>
  <si>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</si>
  <si>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</si>
  <si>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</si>
  <si>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</si>
  <si>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</si>
  <si>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</si>
  <si>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</si>
  <si>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</si>
  <si>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</si>
  <si>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</si>
  <si>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</si>
  <si>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</si>
  <si>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</si>
  <si>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</si>
  <si>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</si>
  <si>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</si>
  <si>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</si>
  <si>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</si>
  <si>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</si>
  <si>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</si>
  <si>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</si>
  <si>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</si>
  <si>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</si>
  <si>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</si>
  <si>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</si>
  <si>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</si>
  <si>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</si>
  <si>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</si>
  <si>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</si>
  <si>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</si>
  <si>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</si>
  <si>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</si>
  <si>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</si>
  <si>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</si>
  <si>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</si>
  <si>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</si>
  <si>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</si>
  <si>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</si>
  <si>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</si>
  <si>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</si>
  <si>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</si>
  <si>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</si>
  <si>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</si>
  <si>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</si>
  <si>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</si>
  <si>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</si>
  <si>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</si>
  <si>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</si>
  <si>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</si>
  <si>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</si>
  <si>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</si>
  <si>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</si>
  <si>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</si>
  <si>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</si>
  <si>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</si>
  <si>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</si>
  <si>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</si>
  <si>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</si>
  <si>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</si>
  <si>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</si>
  <si>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</si>
  <si>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</si>
  <si>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</si>
  <si>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</si>
  <si>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</si>
  <si>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</si>
  <si>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</si>
  <si>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</si>
  <si>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</si>
  <si>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</si>
  <si>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</si>
  <si>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</si>
  <si>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</si>
  <si>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</si>
  <si>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</si>
  <si>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</si>
  <si>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</si>
  <si>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</si>
  <si>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</si>
  <si>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</si>
  <si>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</si>
  <si>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</si>
  <si>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</si>
  <si>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</si>
  <si>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</si>
  <si>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</si>
  <si>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</si>
  <si>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</si>
  <si>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</si>
  <si>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</si>
  <si>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</si>
  <si>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</si>
  <si>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</si>
  <si>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</si>
  <si>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</si>
  <si>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</si>
  <si>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</si>
  <si>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</si>
  <si>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</si>
  <si>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</si>
  <si>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</si>
  <si>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</si>
  <si>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</si>
  <si>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</si>
  <si>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</si>
  <si>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</si>
  <si>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</si>
  <si>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</si>
  <si>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</si>
  <si>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</si>
  <si>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</si>
  <si>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</si>
  <si>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</si>
  <si>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</si>
  <si>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</si>
  <si>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</si>
  <si>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</si>
  <si>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</si>
  <si>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</si>
  <si>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</si>
  <si>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</si>
  <si>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</si>
  <si>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</si>
  <si>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</si>
  <si>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</si>
  <si>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</si>
  <si>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</si>
  <si>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</si>
  <si>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</si>
  <si>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</si>
  <si>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</si>
  <si>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</si>
  <si>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</si>
  <si>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</si>
  <si>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</si>
  <si>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</si>
  <si>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</si>
  <si>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</si>
  <si>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</si>
  <si>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</si>
  <si>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</si>
  <si>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</si>
  <si>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</si>
  <si>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</si>
  <si>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</si>
  <si>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</si>
  <si>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</si>
  <si>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</si>
  <si>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</si>
  <si>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</si>
  <si>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</si>
  <si>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</si>
  <si>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</si>
  <si>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</si>
  <si>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</si>
  <si>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</si>
  <si>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</si>
  <si>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</si>
  <si>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</si>
  <si>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</si>
  <si>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</si>
  <si>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</si>
  <si>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</si>
  <si>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</si>
  <si>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</si>
  <si>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</si>
  <si>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</si>
  <si>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</si>
  <si>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</si>
  <si>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</si>
  <si>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</si>
  <si>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</si>
  <si>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</si>
  <si>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</si>
  <si>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</si>
  <si>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</si>
  <si>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</si>
  <si>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</si>
  <si>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</si>
  <si>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</si>
  <si>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</si>
  <si>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</si>
  <si>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</si>
  <si>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</si>
  <si>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</si>
  <si>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</si>
  <si>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</si>
  <si>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</si>
  <si>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</si>
  <si>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</si>
  <si>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</si>
  <si>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</si>
  <si>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</si>
  <si>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</si>
  <si>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</si>
  <si>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</si>
  <si>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</si>
  <si>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</si>
  <si>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</si>
  <si>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</si>
  <si>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</si>
  <si>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</si>
  <si>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</si>
  <si>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</si>
  <si>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</si>
  <si>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</si>
  <si>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</si>
  <si>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</si>
  <si>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</si>
  <si>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</si>
  <si>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</si>
  <si>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</si>
  <si>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</si>
  <si>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</si>
  <si>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</si>
  <si>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</si>
  <si>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</si>
  <si>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</si>
  <si>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</si>
  <si>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</si>
  <si>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</si>
  <si>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</si>
  <si>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</si>
  <si>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</si>
  <si>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</si>
  <si>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</si>
  <si>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</si>
  <si>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</si>
  <si>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</si>
  <si>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</si>
  <si>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</si>
  <si>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</si>
  <si>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</si>
  <si>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</si>
  <si>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</si>
  <si>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</si>
  <si>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</si>
  <si>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</si>
  <si>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</si>
  <si>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</si>
  <si>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</si>
  <si>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</si>
  <si>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</si>
  <si>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</si>
  <si>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</si>
  <si>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</si>
  <si>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</si>
  <si>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</si>
  <si>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</si>
  <si>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</si>
  <si>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</si>
  <si>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</si>
  <si>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</si>
  <si>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</si>
  <si>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</si>
  <si>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</si>
  <si>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</si>
  <si>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</si>
  <si>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</si>
  <si>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</si>
  <si>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</si>
  <si>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</si>
  <si>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</si>
  <si>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</si>
  <si>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</si>
  <si>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</si>
  <si>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</si>
  <si>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</si>
  <si>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</si>
  <si>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</si>
  <si>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</si>
  <si>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</si>
  <si>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</si>
  <si>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</si>
  <si>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</si>
  <si>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</si>
  <si>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</si>
  <si>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</si>
  <si>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</si>
  <si>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</si>
  <si>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</si>
  <si>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</si>
  <si>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</si>
  <si>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</si>
  <si>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</si>
  <si>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</si>
  <si>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</si>
  <si>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</si>
  <si>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</si>
  <si>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</si>
  <si>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</si>
  <si>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</si>
  <si>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</si>
  <si>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</si>
  <si>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</si>
  <si>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</si>
  <si>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</si>
  <si>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</si>
  <si>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</si>
  <si>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</si>
  <si>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</si>
  <si>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</si>
  <si>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</si>
  <si>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</si>
  <si>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</si>
  <si>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</si>
  <si>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</si>
  <si>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</si>
  <si>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</si>
  <si>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</si>
  <si>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</si>
  <si>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</si>
  <si>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</si>
  <si>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</si>
  <si>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</si>
  <si>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</si>
  <si>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</si>
  <si>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</si>
  <si>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</si>
  <si>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</si>
  <si>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</si>
  <si>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</si>
  <si>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</si>
  <si>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</si>
  <si>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</si>
  <si>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</si>
  <si>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</si>
  <si>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</si>
  <si>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</si>
  <si>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</si>
  <si>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</si>
  <si>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</si>
  <si>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</si>
  <si>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</si>
  <si>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</si>
  <si>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</si>
  <si>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</si>
  <si>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</si>
  <si>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</si>
  <si>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</si>
  <si>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</si>
  <si>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</si>
  <si>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</si>
  <si>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</si>
  <si>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</si>
  <si>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</si>
  <si>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</si>
  <si>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</si>
  <si>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</si>
  <si>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</si>
  <si>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</si>
  <si>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</si>
  <si>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</si>
  <si>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</si>
  <si>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</si>
  <si>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</si>
  <si>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</si>
  <si>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</si>
  <si>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</si>
  <si>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</si>
  <si>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</si>
  <si>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</si>
  <si>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</si>
  <si>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</si>
  <si>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</si>
  <si>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</si>
  <si>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</si>
  <si>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</si>
  <si>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</si>
  <si>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</si>
  <si>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</si>
  <si>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</si>
  <si>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</si>
  <si>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</si>
  <si>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</si>
  <si>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</si>
  <si>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</si>
  <si>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</si>
  <si>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</si>
  <si>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</si>
  <si>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</si>
  <si>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</si>
  <si>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</si>
  <si>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</si>
  <si>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</si>
  <si>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</si>
  <si>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</si>
  <si>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</si>
  <si>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</si>
  <si>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</si>
  <si>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</si>
  <si>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</si>
  <si>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</si>
  <si>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</si>
  <si>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</si>
  <si>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</si>
  <si>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</si>
  <si>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</si>
  <si>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</si>
  <si>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</si>
  <si>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</si>
  <si>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</si>
  <si>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</si>
  <si>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</si>
  <si>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</si>
  <si>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</si>
  <si>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</si>
  <si>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</si>
  <si>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</si>
  <si>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</si>
  <si>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</si>
  <si>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</si>
  <si>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</si>
  <si>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</si>
  <si>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</si>
  <si>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</si>
  <si>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</si>
  <si>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</si>
  <si>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</si>
  <si>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</si>
  <si>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</si>
  <si>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</si>
  <si>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</si>
  <si>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</si>
  <si>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</si>
  <si>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</si>
  <si>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</si>
  <si>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</si>
  <si>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</si>
  <si>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</si>
  <si>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</si>
  <si>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</si>
  <si>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</si>
  <si>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</si>
  <si>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</si>
  <si>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</si>
  <si>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</si>
  <si>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</si>
  <si>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</si>
  <si>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</si>
  <si>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</si>
  <si>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</si>
  <si>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</si>
  <si>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</si>
  <si>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</si>
  <si>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</si>
  <si>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</si>
  <si>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</si>
  <si>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</si>
  <si>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</si>
  <si>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</si>
  <si>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</si>
  <si>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</si>
  <si>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</si>
  <si>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</si>
  <si>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</si>
  <si>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</si>
  <si>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</si>
  <si>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</si>
  <si>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</si>
  <si>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</si>
  <si>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</si>
  <si>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</si>
  <si>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</si>
  <si>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</si>
  <si>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</si>
  <si>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</si>
  <si>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</si>
  <si>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</si>
  <si>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</si>
  <si>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</si>
  <si>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</si>
  <si>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</si>
  <si>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</si>
  <si>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</si>
  <si>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</si>
  <si>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</si>
  <si>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</si>
  <si>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</si>
  <si>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</si>
  <si>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</si>
  <si>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</si>
  <si>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</si>
  <si>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</si>
  <si>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</si>
  <si>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</si>
  <si>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</si>
  <si>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</si>
  <si>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</si>
  <si>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</si>
  <si>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</si>
  <si>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</si>
  <si>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</si>
  <si>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</si>
  <si>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</si>
  <si>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</si>
  <si>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</si>
  <si>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</si>
  <si>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</si>
  <si>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</si>
  <si>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</si>
  <si>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</si>
  <si>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</si>
  <si>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</si>
  <si>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</si>
  <si>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</si>
  <si>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</si>
  <si>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</si>
  <si>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</si>
  <si>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</si>
  <si>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</si>
  <si>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</si>
  <si>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</si>
  <si>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</si>
  <si>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</si>
  <si>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</si>
  <si>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</si>
  <si>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</si>
  <si>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</si>
  <si>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</si>
  <si>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</si>
  <si>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</si>
  <si>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</si>
  <si>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</si>
  <si>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</si>
  <si>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</si>
  <si>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</si>
  <si>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</si>
  <si>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</si>
  <si>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</si>
  <si>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</si>
  <si>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</si>
  <si>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</si>
  <si>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</si>
  <si>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</si>
  <si>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</si>
  <si>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</si>
  <si>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</si>
  <si>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</si>
  <si>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</si>
  <si>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</si>
  <si>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</si>
  <si>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</si>
  <si>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</si>
  <si>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</si>
  <si>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</si>
  <si>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</si>
  <si>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</si>
  <si>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</si>
  <si>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</si>
  <si>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</si>
  <si>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</si>
  <si>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</si>
  <si>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</si>
  <si>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</si>
  <si>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</si>
  <si>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</si>
  <si>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</si>
  <si>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</si>
  <si>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</si>
  <si>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</si>
  <si>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</si>
  <si>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</si>
  <si>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</si>
  <si>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</si>
  <si>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</si>
  <si>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</si>
  <si>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</si>
  <si>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</si>
  <si>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</si>
  <si>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</si>
  <si>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</si>
  <si>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</si>
  <si>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</si>
  <si>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</si>
  <si>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</si>
  <si>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</si>
  <si>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</si>
  <si>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</si>
  <si>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</si>
  <si>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</si>
  <si>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</si>
  <si>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</si>
  <si>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</si>
  <si>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</si>
  <si>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</si>
  <si>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</si>
  <si>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</si>
  <si>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</si>
  <si>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</si>
  <si>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</si>
  <si>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</si>
  <si>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</si>
  <si>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</si>
  <si>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</si>
  <si>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</si>
  <si>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</si>
  <si>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</si>
  <si>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</si>
  <si>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</si>
  <si>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</si>
  <si>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</si>
  <si>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</si>
  <si>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</si>
  <si>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</si>
  <si>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</si>
  <si>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</si>
  <si>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</si>
  <si>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</si>
  <si>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</si>
  <si>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</si>
  <si>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</si>
  <si>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</si>
  <si>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</si>
  <si>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</si>
  <si>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</si>
  <si>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</si>
  <si>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</si>
  <si>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</si>
  <si>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</si>
  <si>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</si>
  <si>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</si>
  <si>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</si>
  <si>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</si>
  <si>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</si>
  <si>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</si>
  <si>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</si>
  <si>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</si>
  <si>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</si>
  <si>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</si>
  <si>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</si>
  <si>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</si>
  <si>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</si>
  <si>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</si>
  <si>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</si>
  <si>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</si>
  <si>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</si>
  <si>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</si>
  <si>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</si>
  <si>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</si>
  <si>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</si>
  <si>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</si>
  <si>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</si>
  <si>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</si>
  <si>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</si>
  <si>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</si>
  <si>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</si>
  <si>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</si>
  <si>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</si>
  <si>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</si>
  <si>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</si>
  <si>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</si>
  <si>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</si>
  <si>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</si>
  <si>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</si>
  <si>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</si>
  <si>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</si>
  <si>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</si>
  <si>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</si>
  <si>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</si>
  <si>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</si>
  <si>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</si>
  <si>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</si>
  <si>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</si>
  <si>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</si>
  <si>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</si>
  <si>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</si>
  <si>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</si>
  <si>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</si>
  <si>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</si>
  <si>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</si>
  <si>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</si>
  <si>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</si>
  <si>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</si>
  <si>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</si>
  <si>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</si>
  <si>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</si>
  <si>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</si>
  <si>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</si>
  <si>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</si>
  <si>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</si>
  <si>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</si>
  <si>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</si>
  <si>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</si>
  <si>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</si>
  <si>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</si>
  <si>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</si>
  <si>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</si>
  <si>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</si>
  <si>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</si>
  <si>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</si>
  <si>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</si>
  <si>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</si>
  <si>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</si>
  <si>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</si>
  <si>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</si>
  <si>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</si>
  <si>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</si>
  <si>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</si>
  <si>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</si>
  <si>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</si>
  <si>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</si>
  <si>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</si>
  <si>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</si>
  <si>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</si>
  <si>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</si>
  <si>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</si>
  <si>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</si>
  <si>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</si>
  <si>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</si>
  <si>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</si>
  <si>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</si>
  <si>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</si>
  <si>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</si>
  <si>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</si>
  <si>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</si>
  <si>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</si>
  <si>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</si>
  <si>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</si>
  <si>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</si>
  <si>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</si>
  <si>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</si>
  <si>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</si>
  <si>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</si>
  <si>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</si>
  <si>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</si>
  <si>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</si>
  <si>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</si>
  <si>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</si>
  <si>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</si>
  <si>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</si>
  <si>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</si>
  <si>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</si>
  <si>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</si>
  <si>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</si>
  <si>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</si>
  <si>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</si>
  <si>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</si>
  <si>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</si>
  <si>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</si>
  <si>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</si>
  <si>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</si>
  <si>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</si>
  <si>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</si>
  <si>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</si>
  <si>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</si>
  <si>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</si>
  <si>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</si>
  <si>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</si>
  <si>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</si>
  <si>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</si>
  <si>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</si>
  <si>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</si>
  <si>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</si>
  <si>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</si>
  <si>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</si>
  <si>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</si>
  <si>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</si>
  <si>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</si>
  <si>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</si>
  <si>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</si>
  <si>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</si>
  <si>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</si>
  <si>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</si>
  <si>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</si>
  <si>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</si>
  <si>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</si>
  <si>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</si>
  <si>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</si>
  <si>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</si>
  <si>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</si>
  <si>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</si>
  <si>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</si>
  <si>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</si>
  <si>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</si>
  <si>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</si>
  <si>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</si>
  <si>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</si>
  <si>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</si>
  <si>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</si>
  <si>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</si>
  <si>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</si>
  <si>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</si>
  <si>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</si>
  <si>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</si>
  <si>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</si>
  <si>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</si>
  <si>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</si>
  <si>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</si>
  <si>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</si>
  <si>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</si>
  <si>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</si>
  <si>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</si>
  <si>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</si>
  <si>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</si>
  <si>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</si>
  <si>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</si>
  <si>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</si>
  <si>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</si>
  <si>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</si>
  <si>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</si>
  <si>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</si>
  <si>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</si>
  <si>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</si>
  <si>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</si>
  <si>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</si>
  <si>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</si>
  <si>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</si>
  <si>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</si>
  <si>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</si>
  <si>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</si>
  <si>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</si>
  <si>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</si>
  <si>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</si>
  <si>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</si>
  <si>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</si>
  <si>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</si>
  <si>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</si>
  <si>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</si>
  <si>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</si>
  <si>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</si>
  <si>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</si>
  <si>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</si>
  <si>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</si>
  <si>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</si>
  <si>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</si>
  <si>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</si>
  <si>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</si>
  <si>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</si>
  <si>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</si>
  <si>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</si>
  <si>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</si>
  <si>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</si>
  <si>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</si>
  <si>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</si>
  <si>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</si>
  <si>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</si>
  <si>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</si>
  <si>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</si>
  <si>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</si>
  <si>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</si>
  <si>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</si>
  <si>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</si>
  <si>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</si>
  <si>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</si>
  <si>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</si>
  <si>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</si>
  <si>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</si>
  <si>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</si>
  <si>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</si>
  <si>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</si>
  <si>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</si>
  <si>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</si>
  <si>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</si>
  <si>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</si>
  <si>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</si>
  <si>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</si>
  <si>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</si>
  <si>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</si>
  <si>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</si>
  <si>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</si>
  <si>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</si>
  <si>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</si>
  <si>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</si>
  <si>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</si>
  <si>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</si>
  <si>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</si>
  <si>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</si>
  <si>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</si>
  <si>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</si>
  <si>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</si>
  <si>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</si>
  <si>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</si>
  <si>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</si>
  <si>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</si>
  <si>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</si>
  <si>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</si>
  <si>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</si>
  <si>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</si>
  <si>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</si>
  <si>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</si>
  <si>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</si>
  <si>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</si>
  <si>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</si>
  <si>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</si>
  <si>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</si>
  <si>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</si>
  <si>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</si>
  <si>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</si>
  <si>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</si>
  <si>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</si>
  <si>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</si>
  <si>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</si>
  <si>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</si>
  <si>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</si>
  <si>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</si>
  <si>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</si>
  <si>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</si>
  <si>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</si>
  <si>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</si>
  <si>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</si>
  <si>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</si>
  <si>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</si>
  <si>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</si>
  <si>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</si>
  <si>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</si>
  <si>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</si>
  <si>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</si>
  <si>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</si>
  <si>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</si>
  <si>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</si>
  <si>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</si>
  <si>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</si>
  <si>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</si>
  <si>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</si>
  <si>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</si>
  <si>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</si>
  <si>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</si>
  <si>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</si>
  <si>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</si>
  <si>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</si>
  <si>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</si>
  <si>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</si>
  <si>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</si>
  <si>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</si>
  <si>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</si>
  <si>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</si>
  <si>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</si>
  <si>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</si>
  <si>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</si>
  <si>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</si>
  <si>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</si>
  <si>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</si>
  <si>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</si>
  <si>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</si>
  <si>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</si>
  <si>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</si>
  <si>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</si>
  <si>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</si>
  <si>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</si>
  <si>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</si>
  <si>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</si>
  <si>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</si>
  <si>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</si>
  <si>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</si>
  <si>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</si>
  <si>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</si>
  <si>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</si>
  <si>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</si>
  <si>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</si>
  <si>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</si>
  <si>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</si>
  <si>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</si>
  <si>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</si>
  <si>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</si>
  <si>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</si>
  <si>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</si>
  <si>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</si>
  <si>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</si>
  <si>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</si>
  <si>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</si>
  <si>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</si>
  <si>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</si>
  <si>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</si>
  <si>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</si>
  <si>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</si>
  <si>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</si>
  <si>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</si>
  <si>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</si>
  <si>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</si>
  <si>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</si>
  <si>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</si>
  <si>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</si>
  <si>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</si>
  <si>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</si>
  <si>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</si>
  <si>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</si>
  <si>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</si>
  <si>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</si>
  <si>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</si>
  <si>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</si>
  <si>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</si>
  <si>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</si>
  <si>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</si>
  <si>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</si>
  <si>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</si>
  <si>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</si>
  <si>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</si>
  <si>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</si>
  <si>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</si>
  <si>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</si>
  <si>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</si>
  <si>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</si>
  <si>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</si>
  <si>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</si>
  <si>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</si>
  <si>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</si>
  <si>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</si>
  <si>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</si>
  <si>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</si>
  <si>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</si>
  <si>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</si>
  <si>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</si>
  <si>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</si>
  <si>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</si>
  <si>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</si>
  <si>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</si>
  <si>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</si>
  <si>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</si>
  <si>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</si>
  <si>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</si>
  <si>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</si>
  <si>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</si>
  <si>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</si>
  <si>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</si>
  <si>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</si>
  <si>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</si>
  <si>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</si>
  <si>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</si>
  <si>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</si>
  <si>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</si>
  <si>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</si>
  <si>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</si>
  <si>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</si>
  <si>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</si>
  <si>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</si>
  <si>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</si>
  <si>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</si>
  <si>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</si>
  <si>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</si>
  <si>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</si>
  <si>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</si>
  <si>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</si>
  <si>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</si>
  <si>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</si>
  <si>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</si>
  <si>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</si>
  <si>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</si>
  <si>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</si>
  <si>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</si>
  <si>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</si>
  <si>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</si>
  <si>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</si>
  <si>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</si>
  <si>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</si>
  <si>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</si>
  <si>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</si>
  <si>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</si>
  <si>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</si>
  <si>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</si>
  <si>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</si>
  <si>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</si>
  <si>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</si>
  <si>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</si>
  <si>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</si>
  <si>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</si>
  <si>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</si>
  <si>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</si>
  <si>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</si>
  <si>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</si>
  <si>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</si>
  <si>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</si>
  <si>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</si>
  <si>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</si>
  <si>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</si>
  <si>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</si>
  <si>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</si>
  <si>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</si>
  <si>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</si>
  <si>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</si>
  <si>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</si>
  <si>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</si>
  <si>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</si>
  <si>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</si>
  <si>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</si>
  <si>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</si>
  <si>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</si>
  <si>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</si>
  <si>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</si>
  <si>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</si>
  <si>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</si>
  <si>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</si>
  <si>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</si>
  <si>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</si>
  <si>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</si>
  <si>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</si>
  <si>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</si>
  <si>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</si>
  <si>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</si>
  <si>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</si>
  <si>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</si>
  <si>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</si>
  <si>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</si>
  <si>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</si>
  <si>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</si>
  <si>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</si>
  <si>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</si>
  <si>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</si>
  <si>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</si>
  <si>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</si>
  <si>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</si>
  <si>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</si>
  <si>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</si>
  <si>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</si>
  <si>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</si>
  <si>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</si>
  <si>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</si>
  <si>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</si>
  <si>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</si>
  <si>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</si>
  <si>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</si>
  <si>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</si>
  <si>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</si>
  <si>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</si>
  <si>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</si>
  <si>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</si>
  <si>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</si>
  <si>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</si>
  <si>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</si>
  <si>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</si>
  <si>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</si>
  <si>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</si>
  <si>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</si>
  <si>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</si>
  <si>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</si>
  <si>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</si>
  <si>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</si>
  <si>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</si>
  <si>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</si>
  <si>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</si>
  <si>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</si>
  <si>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</si>
  <si>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</si>
  <si>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</si>
  <si>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</si>
  <si>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</si>
  <si>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</si>
  <si>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</si>
  <si>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</si>
  <si>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</si>
  <si>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</si>
  <si>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</si>
  <si>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</si>
  <si>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</si>
  <si>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</si>
  <si>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</si>
  <si>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</si>
  <si>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</si>
  <si>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</si>
  <si>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</si>
  <si>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</si>
  <si>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</si>
  <si>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</si>
  <si>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</si>
  <si>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</si>
  <si>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</si>
  <si>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</si>
  <si>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</si>
  <si>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</si>
  <si>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</si>
  <si>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</si>
  <si>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</si>
  <si>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</si>
  <si>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</si>
  <si>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</si>
  <si>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</si>
  <si>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</si>
  <si>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</si>
  <si>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</si>
  <si>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</si>
  <si>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</si>
  <si>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</si>
  <si>
    <t>C49SZX20250045EC</t>
  </si>
  <si>
    <t>仟朝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</si>
</sst>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_-* #,##0_-;\-* #,##0_-;_-* &quot;-&quot;??_-;_-@_-"/>
    <numFmt numFmtId="173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</sheetNames>
    <sheetDataSet>
      <sheetData sheetId="0"/>
      <sheetData sheetId="1">
        <row r="1"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C49SZX20250045EC</v>
          </cell>
          <cell r="Y2619">
            <v>370000</v>
          </cell>
          <cell r="AG2619" t="str">
            <v>DDP DG</v>
          </cell>
        </row>
        <row r="2620">
          <cell r="C2620" t="str">
            <v>C49SZX20250045EC</v>
          </cell>
          <cell r="Y2620">
            <v>370000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8">
          <cell r="C2648"/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4001" totalsRowShown="0" headerRowDxfId="83" dataDxfId="81" headerRowBorderDxfId="82" tableBorderDxfId="80">
  <autoFilter ref="A1:AU4001" xr:uid="{A45583E2-F1E3-414A-85B7-FCF03CE7C6FC}"/>
  <tableColumns count="47">
    <tableColumn id="1" xr3:uid="{AAE9CE7A-6EE5-684B-BD8B-6FB306BD4AA2}" name="FY_Contract" dataDxfId="79"/>
    <tableColumn id="2" xr3:uid="{6DD04691-AC56-2D44-8010-202EFF160852}" name="Contract_Yr" dataDxfId="78"/>
    <tableColumn id="3" xr3:uid="{5DA8E0A0-39FB-BB4F-8D7D-511A2970B9E7}" name="Contract_Month" dataDxfId="77"/>
    <tableColumn id="41" xr3:uid="{2ACA8F28-14CE-5F4D-B426-8592D3E37B68}" name="FQ(Contract)" dataDxfId="76"/>
    <tableColumn id="4" xr3:uid="{EAA0CFF9-B844-6E4F-AE8E-FDFAF111D1EA}" name="FY_INV" dataDxfId="75"/>
    <tableColumn id="5" xr3:uid="{1925BE00-6C62-5C40-8C03-E61BE8CBFBDA}" name="Inv_Yr" dataDxfId="74"/>
    <tableColumn id="6" xr3:uid="{CE663C22-ACEB-1F44-89EA-16CBA3F75EE8}" name="Inv_Month" dataDxfId="73"/>
    <tableColumn id="7" xr3:uid="{FA7DE3F2-58FD-5A4B-98EA-C85A23C795DD}" name="Contract Cancelled_x000a_Month(due to YAMAHA delivery)" dataDxfId="72"/>
    <tableColumn id="8" xr3:uid="{E9D14EAF-764F-7948-AA3A-467F3CA849CA}" name="FQ(Invoice)" dataDxfId="71"/>
    <tableColumn id="9" xr3:uid="{80BEA84F-85F1-EF45-B44A-E7A29335712A}" name="Contract_No." dataDxfId="70"/>
    <tableColumn id="10" xr3:uid="{1A61F2DF-64BD-CE4F-9A6D-6D912C9FCD60}" name="Customer_Name" dataDxfId="69"/>
    <tableColumn id="42" xr3:uid="{CEBF68FB-82CA-C241-B227-C6C1FCCABFE1}" name="Ordered_Items" dataDxfId="68"/>
    <tableColumn id="12" xr3:uid="{58A21035-FFFC-FE4D-932C-573A25109147}" name="BRAND" dataDxfId="67"/>
    <tableColumn id="13" xr3:uid="{0BD97201-BE7C-5947-A031-9B9E32363AEC}" name="Item Qty" dataDxfId="66"/>
    <tableColumn id="14" xr3:uid="{CD8B0CF5-AC6D-9C44-823D-894FA3996830}" name="QTY(Feeder/ Nozzle/Accessories)" dataDxfId="65"/>
    <tableColumn id="15" xr3:uid="{D596FB67-9716-E34E-83F3-E9B087FC9D78}" name="Product_Type" dataDxfId="64"/>
    <tableColumn id="16" xr3:uid="{3755E707-C533-EB4B-B691-9D181F5F4D00}" name="New_Customer" dataDxfId="63"/>
    <tableColumn id="17" xr3:uid="{38980276-396A-2741-9309-A7FAC3105339}" name="COST_CENTRE" dataDxfId="62"/>
    <tableColumn id="18" xr3:uid="{D808C100-E07E-1043-B266-076B2B30BB2D}" name="Region" dataDxfId="61"/>
    <tableColumn id="19" xr3:uid="{0D51CAF2-B0C9-B347-8B82-CABB6DF0A0FF}" name="Location" dataDxfId="60"/>
    <tableColumn id="20" xr3:uid="{54FB57A7-B461-1742-9E6E-62E4E17CCB33}" name="Territeries" dataDxfId="59"/>
    <tableColumn id="21" xr3:uid="{32EA7D3E-9A57-1346-833B-BCC6DE2B9CDA}" name="Salesman" dataDxfId="58"/>
    <tableColumn id="22" xr3:uid="{2B115E8E-C749-874C-A1EA-00343DFA4914}" name="Curr" dataDxfId="57"/>
    <tableColumn id="23" xr3:uid="{C8303ADB-7A05-B644-A090-0C48B3042F89}" name="Contract Unit Price" dataDxfId="56"/>
    <tableColumn id="24" xr3:uid="{5BE49477-DF64-D049-96E2-6CAD890E2EA4}" name="VAT" dataDxfId="55"/>
    <tableColumn id="25" xr3:uid="{3D797418-8B29-A649-8BC4-E04C6619DE2E}" name="Signed Contract Amt" dataDxfId="54"/>
    <tableColumn id="26" xr3:uid="{476E64A9-124A-9548-85A7-6108450DFAAF}" name="Rate" dataDxfId="53"/>
    <tableColumn id="27" xr3:uid="{8FCA62EF-C920-A146-90F6-505F525E7A60}" name="Before tax Inv Amt (HKD)" dataDxfId="52"/>
    <tableColumn id="28" xr3:uid="{4EF416A5-534F-F543-AE13-B9B0B589096F}" name="G.P.  (HKD)" dataDxfId="51"/>
    <tableColumn id="29" xr3:uid="{BD20A655-677C-B84F-A51A-041C90BF7E67}" name="G.P. %" dataDxfId="50"/>
    <tableColumn id="30" xr3:uid="{242FB1B0-5A85-CD4B-A9E1-126C07CDA70F}" name="New Customer Qty" dataDxfId="49"/>
    <tableColumn id="31" xr3:uid="{58F4A1A1-47C9-1E43-8A95-625FF6547678}" name="New Customer Qty(Contract month)" dataDxfId="48"/>
    <tableColumn id="32" xr3:uid="{F3D4DEEC-53C2-6349-9CE2-E268DD946B2A}" name="Signed Contract Qty" dataDxfId="47"/>
    <tableColumn id="33" xr3:uid="{C8185536-B203-AA45-B0E4-36800B70926F}" name="Invoiced Contract Qty" dataDxfId="46"/>
    <tableColumn id="34" xr3:uid="{1EC37648-CC4C-C142-A616-BA9753252F28}" name="INVOICE  AMOUNT HKD of month" dataDxfId="45"/>
    <tableColumn id="35" xr3:uid="{5F4522B6-EAD9-F04E-A867-6287622DEAF3}" name="GP ( HKD) of month" dataDxfId="44"/>
    <tableColumn id="36" xr3:uid="{6AA1D995-9017-FB4E-A3AB-C846363DF78E}" name="GP%_of_month" dataDxfId="43"/>
    <tableColumn id="37" xr3:uid="{F4748927-DC9C-454F-8008-8C1DE3849D97}" name="INV NO." dataDxfId="42"/>
    <tableColumn id="38" xr3:uid="{B17BF2DE-1699-AC4A-ACB4-8EF428F40280}" name="ISSUED INV_x000a_AMOUNT_x000a_" dataDxfId="41"/>
    <tableColumn id="39" xr3:uid="{455EA308-FF47-914C-8AA3-88C9FDBB59F1}" name="S/N" dataDxfId="40"/>
    <tableColumn id="40" xr3:uid="{AF10112C-DE0C-CE4E-9895-A3798FA91332}" name="Remarks" dataDxfId="39"/>
    <tableColumn id="11" xr3:uid="{924118CF-3456-B642-A0DE-075C50629FEE}" name="INV YR&amp;MONTH" dataDxfId="38">
      <calculatedColumnFormula>IF(F2="","",F2&amp;G2)</calculatedColumnFormula>
    </tableColumn>
    <tableColumn id="43" xr3:uid="{EF9680DE-D49E-A147-8E74-0FBC400753FC}" name="INV YR&amp;MONTH&amp;CUR" dataDxfId="37">
      <calculatedColumnFormula>IF(W2="","",F2&amp;G2&amp;W2)</calculatedColumnFormula>
    </tableColumn>
    <tableColumn id="45" xr3:uid="{447CD2C3-FCAB-1146-B89C-8D8D9D128FC5}" name="BRAND_Details" dataDxfId="36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5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4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3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6"/>
  <sheetViews>
    <sheetView tabSelected="1" zoomScale="70" zoomScaleNormal="70" workbookViewId="0">
      <pane ySplit="1" topLeftCell="A3975" activePane="bottomLeft" state="frozen"/>
      <selection activeCell="L1" sqref="L1"/>
      <selection pane="bottomLeft" activeCell="AU4001" sqref="AU400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customWidth="1"/>
    <col min="22" max="22" width="12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3743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3750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3744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3744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3744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3745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3745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3745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3746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3746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3746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3746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3746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3746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3746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3744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3751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3746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3745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3746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3746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3746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3745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3745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3744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3744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3745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3745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3745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3745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3745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3745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3745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3745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3751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3744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3746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3745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3745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3745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3745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3744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3746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3744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3746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3746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3746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3746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3744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3744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3746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3746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3746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3746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3746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3746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3744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3744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3746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3745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3745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3745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3746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3746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3751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3751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3751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3751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30033846.584070798</v>
      </c>
      <c r="AJ80" s="19">
        <f t="shared" si="24"/>
        <v>3534936.4750884958</v>
      </c>
      <c r="AK80" s="20">
        <f t="shared" si="25"/>
        <v>0.11769842618039268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3745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3746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3746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3746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3746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3746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3746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3746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3746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3746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3746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3746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3746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3746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3746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3746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3746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3746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3746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3746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3746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3746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3746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3746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3751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3745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3746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3746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3745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3744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3744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3751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3751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3744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3744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3744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3744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3744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3746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3746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3746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3746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3746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3746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3745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3746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3744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si="40"/>
        <v>20319282.700884953</v>
      </c>
      <c r="AJ134" s="27">
        <f t="shared" si="41"/>
        <v>2408851.9638623013</v>
      </c>
      <c r="AK134" s="28">
        <f t="shared" ref="AK134:AK197" si="57">IF(AJ134&gt;0,AJ134/AI134,"")</f>
        <v>0.11855004919821259</v>
      </c>
      <c r="AL134" s="24"/>
      <c r="AM134" s="24"/>
      <c r="AN134" s="24"/>
      <c r="AO134" s="24"/>
      <c r="AP134" s="28" t="str">
        <f t="shared" ref="AP134:AP197" si="58">IF(F134="","",F134&amp;G134)</f>
        <v>20244</v>
      </c>
      <c r="AQ134" s="28" t="str">
        <f t="shared" ref="AQ134:AQ197" si="59">IF(W134="","",F134&amp;G134&amp;W134)</f>
        <v>20244RMB</v>
      </c>
      <c r="AR134" s="206" t="str">
        <f t="shared" ref="AR134:AR197" si="60">IFERROR(IF(AND(M134="YAMAHA", R134="C28"), "YAMAHA_Non_Mounter", IF(AND(M134="YAMAHA", R134="C49"), "YAMAHA_Mounter", M134)),"")</f>
        <v>YAMAHA_Mounter</v>
      </c>
      <c r="AS134" s="22">
        <f t="shared" ref="AS134:AS197" si="61">IFERROR(IF(OR(G134="TBA", G134=""), "", DATEDIF(DATE(B134, C134, 1), DATE(F134, G134, 1), "M")),"")</f>
        <v>1</v>
      </c>
      <c r="AT134" s="24" t="str">
        <f t="shared" ref="AT134:AT197" si="62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20319282.700884953</v>
      </c>
      <c r="AJ135" s="27">
        <f t="shared" si="41"/>
        <v>2408851.9638623013</v>
      </c>
      <c r="AK135" s="28">
        <f t="shared" si="57"/>
        <v>0.11855004919821259</v>
      </c>
      <c r="AL135" s="24"/>
      <c r="AM135" s="24"/>
      <c r="AN135" s="24"/>
      <c r="AO135" s="24"/>
      <c r="AP135" s="28" t="str">
        <f t="shared" si="58"/>
        <v>20244</v>
      </c>
      <c r="AQ135" s="28" t="str">
        <f t="shared" si="59"/>
        <v>20244RMB</v>
      </c>
      <c r="AR135" s="206" t="str">
        <f t="shared" si="60"/>
        <v>YAMAHA_Mounter</v>
      </c>
      <c r="AS135" s="22">
        <f t="shared" si="61"/>
        <v>1</v>
      </c>
      <c r="AT135" s="24" t="str">
        <f t="shared" si="62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7"/>
        <v>0.12581216063459488</v>
      </c>
      <c r="AL136" s="17"/>
      <c r="AM136" s="17"/>
      <c r="AN136" s="17"/>
      <c r="AO136" s="17"/>
      <c r="AP136" s="28" t="str">
        <f t="shared" si="58"/>
        <v>20209</v>
      </c>
      <c r="AQ136" s="28" t="str">
        <f t="shared" si="59"/>
        <v>20209RMB</v>
      </c>
      <c r="AR136" s="206" t="str">
        <f t="shared" si="60"/>
        <v>YAMAHA_Mounter</v>
      </c>
      <c r="AS136" s="22">
        <f t="shared" si="61"/>
        <v>1</v>
      </c>
      <c r="AT136" s="24" t="str">
        <f t="shared" si="62"/>
        <v>0-3 months</v>
      </c>
      <c r="AU136" s="22" t="s">
        <v>3744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3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499582152.5142017</v>
      </c>
      <c r="AJ137" s="19">
        <f t="shared" si="41"/>
        <v>59520528.679470733</v>
      </c>
      <c r="AK137" s="20">
        <f t="shared" si="57"/>
        <v>0.11914062257814291</v>
      </c>
      <c r="AL137" s="17"/>
      <c r="AM137" s="17"/>
      <c r="AN137" s="17"/>
      <c r="AO137" s="17"/>
      <c r="AP137" s="28" t="str">
        <f t="shared" si="58"/>
        <v>CancelCancel</v>
      </c>
      <c r="AQ137" s="28" t="str">
        <f t="shared" si="59"/>
        <v>CancelCancelRMB</v>
      </c>
      <c r="AR137" s="206" t="str">
        <f t="shared" si="60"/>
        <v>YAMAHA_Mounter</v>
      </c>
      <c r="AS137" s="22" t="str">
        <f t="shared" si="61"/>
        <v/>
      </c>
      <c r="AT137" s="24" t="str">
        <f t="shared" si="62"/>
        <v/>
      </c>
      <c r="AU137" s="22" t="s">
        <v>3751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3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499582152.5142017</v>
      </c>
      <c r="AJ138" s="19">
        <f t="shared" si="41"/>
        <v>59520528.679470733</v>
      </c>
      <c r="AK138" s="20">
        <f t="shared" si="57"/>
        <v>0.11914062257814291</v>
      </c>
      <c r="AL138" s="17"/>
      <c r="AM138" s="17"/>
      <c r="AN138" s="17"/>
      <c r="AO138" s="17"/>
      <c r="AP138" s="28" t="str">
        <f t="shared" si="58"/>
        <v>CancelCancel</v>
      </c>
      <c r="AQ138" s="28" t="str">
        <f t="shared" si="59"/>
        <v>CancelCancelJPY</v>
      </c>
      <c r="AR138" s="206" t="str">
        <f t="shared" si="60"/>
        <v>YAMAHA_Mounter</v>
      </c>
      <c r="AS138" s="22" t="str">
        <f t="shared" si="61"/>
        <v/>
      </c>
      <c r="AT138" s="24" t="str">
        <f t="shared" si="62"/>
        <v/>
      </c>
      <c r="AU138" s="22" t="s">
        <v>3745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3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499582152.5142017</v>
      </c>
      <c r="AJ139" s="19">
        <f t="shared" si="41"/>
        <v>59520528.679470733</v>
      </c>
      <c r="AK139" s="20">
        <f t="shared" si="57"/>
        <v>0.11914062257814291</v>
      </c>
      <c r="AL139" s="17"/>
      <c r="AM139" s="17"/>
      <c r="AN139" s="17"/>
      <c r="AO139" s="17"/>
      <c r="AP139" s="28" t="str">
        <f t="shared" si="58"/>
        <v>CancelCancel</v>
      </c>
      <c r="AQ139" s="28" t="str">
        <f t="shared" si="59"/>
        <v>CancelCancelJPY</v>
      </c>
      <c r="AR139" s="206" t="str">
        <f t="shared" si="60"/>
        <v>YAMAHA_Mounter</v>
      </c>
      <c r="AS139" s="22" t="str">
        <f t="shared" si="61"/>
        <v/>
      </c>
      <c r="AT139" s="24" t="str">
        <f t="shared" si="62"/>
        <v/>
      </c>
      <c r="AU139" s="22" t="s">
        <v>3745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3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499582152.5142017</v>
      </c>
      <c r="AJ140" s="19">
        <f t="shared" si="41"/>
        <v>59520528.679470733</v>
      </c>
      <c r="AK140" s="20">
        <f t="shared" si="57"/>
        <v>0.11914062257814291</v>
      </c>
      <c r="AL140" s="17"/>
      <c r="AM140" s="17"/>
      <c r="AN140" s="17"/>
      <c r="AO140" s="17"/>
      <c r="AP140" s="28" t="str">
        <f t="shared" si="58"/>
        <v>CancelCancel</v>
      </c>
      <c r="AQ140" s="28" t="str">
        <f t="shared" si="59"/>
        <v>CancelCancelJPY</v>
      </c>
      <c r="AR140" s="206" t="str">
        <f t="shared" si="60"/>
        <v>YAMAHA_Mounter</v>
      </c>
      <c r="AS140" s="22" t="str">
        <f t="shared" si="61"/>
        <v/>
      </c>
      <c r="AT140" s="24" t="str">
        <f t="shared" si="62"/>
        <v/>
      </c>
      <c r="AU140" s="22" t="s">
        <v>3745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3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499582152.5142017</v>
      </c>
      <c r="AJ141" s="19">
        <f t="shared" si="41"/>
        <v>59520528.679470733</v>
      </c>
      <c r="AK141" s="20">
        <f t="shared" si="57"/>
        <v>0.11914062257814291</v>
      </c>
      <c r="AL141" s="17"/>
      <c r="AM141" s="17"/>
      <c r="AN141" s="17"/>
      <c r="AO141" s="17"/>
      <c r="AP141" s="28" t="str">
        <f t="shared" si="58"/>
        <v>CancelCancel</v>
      </c>
      <c r="AQ141" s="28" t="str">
        <f t="shared" si="59"/>
        <v>CancelCancelJPY</v>
      </c>
      <c r="AR141" s="206" t="str">
        <f t="shared" si="60"/>
        <v>YAMAHA_Mounter</v>
      </c>
      <c r="AS141" s="22" t="str">
        <f t="shared" si="61"/>
        <v/>
      </c>
      <c r="AT141" s="24" t="str">
        <f t="shared" si="62"/>
        <v/>
      </c>
      <c r="AU141" s="22" t="s">
        <v>3745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3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499582152.5142017</v>
      </c>
      <c r="AJ142" s="19">
        <f t="shared" si="41"/>
        <v>59520528.679470733</v>
      </c>
      <c r="AK142" s="20">
        <f t="shared" si="57"/>
        <v>0.11914062257814291</v>
      </c>
      <c r="AL142" s="17"/>
      <c r="AM142" s="17"/>
      <c r="AN142" s="17"/>
      <c r="AO142" s="17"/>
      <c r="AP142" s="28" t="str">
        <f t="shared" si="58"/>
        <v>CancelCancel</v>
      </c>
      <c r="AQ142" s="28" t="str">
        <f t="shared" si="59"/>
        <v>CancelCancelRMB</v>
      </c>
      <c r="AR142" s="206" t="str">
        <f t="shared" si="60"/>
        <v>YAMAHA_Mounter</v>
      </c>
      <c r="AS142" s="22" t="str">
        <f t="shared" si="61"/>
        <v/>
      </c>
      <c r="AT142" s="24" t="str">
        <f t="shared" si="62"/>
        <v/>
      </c>
      <c r="AU142" s="22" t="s">
        <v>3744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3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499582152.5142017</v>
      </c>
      <c r="AJ143" s="19">
        <f t="shared" si="41"/>
        <v>59520528.679470733</v>
      </c>
      <c r="AK143" s="20">
        <f t="shared" si="57"/>
        <v>0.11914062257814291</v>
      </c>
      <c r="AL143" s="17"/>
      <c r="AM143" s="17"/>
      <c r="AN143" s="17"/>
      <c r="AO143" s="17"/>
      <c r="AP143" s="28" t="str">
        <f t="shared" si="58"/>
        <v>CancelCancel</v>
      </c>
      <c r="AQ143" s="28" t="str">
        <f t="shared" si="59"/>
        <v>CancelCancelRMB</v>
      </c>
      <c r="AR143" s="206" t="str">
        <f t="shared" si="60"/>
        <v>YAMAHA_Mounter</v>
      </c>
      <c r="AS143" s="22" t="str">
        <f t="shared" si="61"/>
        <v/>
      </c>
      <c r="AT143" s="24" t="str">
        <f t="shared" si="62"/>
        <v/>
      </c>
      <c r="AU143" s="22" t="s">
        <v>3744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3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7"/>
        <v>0.12272431622253084</v>
      </c>
      <c r="AL144" s="17"/>
      <c r="AM144" s="17"/>
      <c r="AN144" s="17"/>
      <c r="AO144" s="17"/>
      <c r="AP144" s="28" t="str">
        <f t="shared" si="58"/>
        <v>202311</v>
      </c>
      <c r="AQ144" s="28" t="str">
        <f t="shared" si="59"/>
        <v>202311RMB</v>
      </c>
      <c r="AR144" s="206" t="str">
        <f t="shared" si="60"/>
        <v>YAMAHA_Mounter</v>
      </c>
      <c r="AS144" s="22">
        <f t="shared" si="61"/>
        <v>4</v>
      </c>
      <c r="AT144" s="24" t="str">
        <f t="shared" si="62"/>
        <v>4-6 months</v>
      </c>
      <c r="AU144" s="22" t="s">
        <v>3751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3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7"/>
        <v>0.12272431622253084</v>
      </c>
      <c r="AL145" s="17"/>
      <c r="AM145" s="17"/>
      <c r="AN145" s="17"/>
      <c r="AO145" s="17"/>
      <c r="AP145" s="28" t="str">
        <f t="shared" si="58"/>
        <v>202311</v>
      </c>
      <c r="AQ145" s="28" t="str">
        <f t="shared" si="59"/>
        <v>202311RMB</v>
      </c>
      <c r="AR145" s="206" t="str">
        <f t="shared" si="60"/>
        <v>YAMAHA_Mounter</v>
      </c>
      <c r="AS145" s="22">
        <f t="shared" si="61"/>
        <v>4</v>
      </c>
      <c r="AT145" s="24" t="str">
        <f t="shared" si="62"/>
        <v>4-6 months</v>
      </c>
      <c r="AU145" s="22" t="s">
        <v>3751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499582152.5142017</v>
      </c>
      <c r="AJ146" s="19">
        <f t="shared" si="41"/>
        <v>59520528.679470733</v>
      </c>
      <c r="AK146" s="20">
        <f t="shared" si="57"/>
        <v>0.11914062257814291</v>
      </c>
      <c r="AL146" s="17"/>
      <c r="AM146" s="17"/>
      <c r="AN146" s="17"/>
      <c r="AO146" s="17"/>
      <c r="AP146" s="28" t="str">
        <f t="shared" si="58"/>
        <v>CancelCancel</v>
      </c>
      <c r="AQ146" s="28" t="str">
        <f t="shared" si="59"/>
        <v>CancelCancelRMB</v>
      </c>
      <c r="AR146" s="206" t="str">
        <f t="shared" si="60"/>
        <v>YAMAHA_Mounter</v>
      </c>
      <c r="AS146" s="22" t="str">
        <f t="shared" si="61"/>
        <v/>
      </c>
      <c r="AT146" s="24" t="str">
        <f t="shared" si="62"/>
        <v/>
      </c>
      <c r="AU146" s="22" t="s">
        <v>3744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7"/>
        <v>0.1278167874546958</v>
      </c>
      <c r="AL147" s="17"/>
      <c r="AM147" s="17"/>
      <c r="AN147" s="17"/>
      <c r="AO147" s="17"/>
      <c r="AP147" s="28" t="str">
        <f t="shared" si="58"/>
        <v>20224</v>
      </c>
      <c r="AQ147" s="28" t="str">
        <f t="shared" si="59"/>
        <v>20224JPY</v>
      </c>
      <c r="AR147" s="206" t="str">
        <f t="shared" si="60"/>
        <v>YAMAHA_Mounter</v>
      </c>
      <c r="AS147" s="22">
        <f t="shared" si="61"/>
        <v>10</v>
      </c>
      <c r="AT147" s="24" t="str">
        <f t="shared" si="62"/>
        <v>&gt; 6 months</v>
      </c>
      <c r="AU147" s="22" t="s">
        <v>3745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7"/>
        <v>0.14353007902118958</v>
      </c>
      <c r="AL148" s="17"/>
      <c r="AM148" s="17"/>
      <c r="AN148" s="17"/>
      <c r="AO148" s="17"/>
      <c r="AP148" s="28" t="str">
        <f t="shared" si="58"/>
        <v>20228</v>
      </c>
      <c r="AQ148" s="28" t="str">
        <f t="shared" si="59"/>
        <v>20228JPY</v>
      </c>
      <c r="AR148" s="206" t="str">
        <f t="shared" si="60"/>
        <v>YAMAHA_Mounter</v>
      </c>
      <c r="AS148" s="22">
        <f t="shared" si="61"/>
        <v>14</v>
      </c>
      <c r="AT148" s="24" t="str">
        <f t="shared" si="62"/>
        <v>&gt; 6 months</v>
      </c>
      <c r="AU148" s="22" t="s">
        <v>3745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7"/>
        <v>0.10493974908778378</v>
      </c>
      <c r="AL149" s="17"/>
      <c r="AM149" s="17"/>
      <c r="AN149" s="17"/>
      <c r="AO149" s="17"/>
      <c r="AP149" s="28" t="str">
        <f t="shared" si="58"/>
        <v>201911</v>
      </c>
      <c r="AQ149" s="28" t="str">
        <f t="shared" si="59"/>
        <v>201911RMB</v>
      </c>
      <c r="AR149" s="206" t="str">
        <f t="shared" si="60"/>
        <v>YAMAHA_Mounter</v>
      </c>
      <c r="AS149" s="22">
        <f t="shared" si="61"/>
        <v>0</v>
      </c>
      <c r="AT149" s="24" t="str">
        <f t="shared" si="62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7"/>
        <v>0.13676937682988152</v>
      </c>
      <c r="AL150" s="17"/>
      <c r="AM150" s="17"/>
      <c r="AN150" s="17"/>
      <c r="AO150" s="17"/>
      <c r="AP150" s="28" t="str">
        <f t="shared" si="58"/>
        <v>20204</v>
      </c>
      <c r="AQ150" s="28" t="str">
        <f t="shared" si="59"/>
        <v>20204RMB</v>
      </c>
      <c r="AR150" s="206" t="str">
        <f t="shared" si="60"/>
        <v>YAMAHA_Mounter</v>
      </c>
      <c r="AS150" s="22">
        <f t="shared" si="61"/>
        <v>1</v>
      </c>
      <c r="AT150" s="24" t="str">
        <f t="shared" si="62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7"/>
        <v>0.13676937682988152</v>
      </c>
      <c r="AL151" s="17"/>
      <c r="AM151" s="17"/>
      <c r="AN151" s="17"/>
      <c r="AO151" s="17"/>
      <c r="AP151" s="28" t="str">
        <f t="shared" si="58"/>
        <v>20204</v>
      </c>
      <c r="AQ151" s="28" t="str">
        <f t="shared" si="59"/>
        <v>20204RMB</v>
      </c>
      <c r="AR151" s="206" t="str">
        <f t="shared" si="60"/>
        <v>YAMAHA_Mounter</v>
      </c>
      <c r="AS151" s="22">
        <f t="shared" si="61"/>
        <v>0</v>
      </c>
      <c r="AT151" s="24" t="str">
        <f t="shared" si="62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7"/>
        <v>0.14353007902118958</v>
      </c>
      <c r="AL152" s="17"/>
      <c r="AM152" s="17"/>
      <c r="AN152" s="17"/>
      <c r="AO152" s="17"/>
      <c r="AP152" s="28" t="str">
        <f t="shared" si="58"/>
        <v>20228</v>
      </c>
      <c r="AQ152" s="28" t="str">
        <f t="shared" si="59"/>
        <v>20228RMB</v>
      </c>
      <c r="AR152" s="206" t="str">
        <f t="shared" si="60"/>
        <v>YAMAHA_Mounter</v>
      </c>
      <c r="AS152" s="22">
        <f t="shared" si="61"/>
        <v>0</v>
      </c>
      <c r="AT152" s="24" t="str">
        <f t="shared" si="62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7"/>
        <v>0.13203962224416277</v>
      </c>
      <c r="AL153" s="17"/>
      <c r="AM153" s="17"/>
      <c r="AN153" s="17"/>
      <c r="AO153" s="17"/>
      <c r="AP153" s="28" t="str">
        <f t="shared" si="58"/>
        <v>201812</v>
      </c>
      <c r="AQ153" s="28" t="str">
        <f t="shared" si="59"/>
        <v>201812RMB</v>
      </c>
      <c r="AR153" s="206" t="str">
        <f t="shared" si="60"/>
        <v>YAMAHA_Mounter</v>
      </c>
      <c r="AS153" s="22">
        <f t="shared" si="61"/>
        <v>6</v>
      </c>
      <c r="AT153" s="24" t="str">
        <f t="shared" si="62"/>
        <v>4-6 months</v>
      </c>
      <c r="AU153" s="22" t="s">
        <v>3744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7"/>
        <v>0.13314606898547499</v>
      </c>
      <c r="AL154" s="17"/>
      <c r="AM154" s="17"/>
      <c r="AN154" s="17"/>
      <c r="AO154" s="17"/>
      <c r="AP154" s="28" t="str">
        <f t="shared" si="58"/>
        <v>20187</v>
      </c>
      <c r="AQ154" s="28" t="str">
        <f t="shared" si="59"/>
        <v>20187RMB</v>
      </c>
      <c r="AR154" s="206" t="str">
        <f t="shared" si="60"/>
        <v>YAMAHA_Mounter</v>
      </c>
      <c r="AS154" s="22">
        <f t="shared" si="61"/>
        <v>3</v>
      </c>
      <c r="AT154" s="24" t="str">
        <f t="shared" si="62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7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8"/>
        <v>20184</v>
      </c>
      <c r="AQ155" s="28" t="str">
        <f t="shared" si="59"/>
        <v>20184RMB</v>
      </c>
      <c r="AR155" s="206" t="str">
        <f t="shared" si="60"/>
        <v>YAMAHA_Mounter</v>
      </c>
      <c r="AS155" s="22">
        <f t="shared" si="61"/>
        <v>0</v>
      </c>
      <c r="AT155" s="24" t="str">
        <f t="shared" si="62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7"/>
        <v>0.141215124388995</v>
      </c>
      <c r="AL156" s="17"/>
      <c r="AM156" s="17"/>
      <c r="AN156" s="17"/>
      <c r="AO156" s="17"/>
      <c r="AP156" s="28" t="str">
        <f t="shared" si="58"/>
        <v>20215</v>
      </c>
      <c r="AQ156" s="28" t="str">
        <f t="shared" si="59"/>
        <v>20215RMB</v>
      </c>
      <c r="AR156" s="206" t="str">
        <f t="shared" si="60"/>
        <v>YAMAHA_Mounter</v>
      </c>
      <c r="AS156" s="22">
        <f t="shared" si="61"/>
        <v>2</v>
      </c>
      <c r="AT156" s="24" t="str">
        <f t="shared" si="62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7"/>
        <v>0.1494810557466355</v>
      </c>
      <c r="AL157" s="17"/>
      <c r="AM157" s="17"/>
      <c r="AN157" s="17"/>
      <c r="AO157" s="17"/>
      <c r="AP157" s="28" t="str">
        <f t="shared" si="58"/>
        <v>20217</v>
      </c>
      <c r="AQ157" s="28" t="str">
        <f t="shared" si="59"/>
        <v>20217RMB</v>
      </c>
      <c r="AR157" s="206" t="str">
        <f t="shared" si="60"/>
        <v>YAMAHA_Mounter</v>
      </c>
      <c r="AS157" s="22">
        <f t="shared" si="61"/>
        <v>3</v>
      </c>
      <c r="AT157" s="24" t="str">
        <f t="shared" si="62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7"/>
        <v>0.14268518919984163</v>
      </c>
      <c r="AL158" s="17"/>
      <c r="AM158" s="17"/>
      <c r="AN158" s="17"/>
      <c r="AO158" s="17"/>
      <c r="AP158" s="28" t="str">
        <f t="shared" si="58"/>
        <v>202212</v>
      </c>
      <c r="AQ158" s="28" t="str">
        <f t="shared" si="59"/>
        <v>202212RMB</v>
      </c>
      <c r="AR158" s="206" t="str">
        <f t="shared" si="60"/>
        <v>YAMAHA_Mounter</v>
      </c>
      <c r="AS158" s="22">
        <f t="shared" si="61"/>
        <v>0</v>
      </c>
      <c r="AT158" s="24" t="str">
        <f t="shared" si="62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7"/>
        <v>0.11855004919821259</v>
      </c>
      <c r="AL159" s="24"/>
      <c r="AM159" s="24"/>
      <c r="AN159" s="24"/>
      <c r="AO159" s="24"/>
      <c r="AP159" s="28" t="str">
        <f t="shared" si="58"/>
        <v>20244</v>
      </c>
      <c r="AQ159" s="28" t="str">
        <f t="shared" si="59"/>
        <v>20244RMB</v>
      </c>
      <c r="AR159" s="206" t="str">
        <f t="shared" si="60"/>
        <v>YAMAHA_Mounter</v>
      </c>
      <c r="AS159" s="22">
        <f t="shared" si="61"/>
        <v>1</v>
      </c>
      <c r="AT159" s="24" t="str">
        <f t="shared" si="62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499582152.5142017</v>
      </c>
      <c r="AJ160" s="19">
        <f t="shared" si="41"/>
        <v>59520528.679470733</v>
      </c>
      <c r="AK160" s="20">
        <f t="shared" si="57"/>
        <v>0.11914062257814291</v>
      </c>
      <c r="AL160" s="17"/>
      <c r="AM160" s="17"/>
      <c r="AN160" s="17"/>
      <c r="AO160" s="17"/>
      <c r="AP160" s="28" t="str">
        <f t="shared" si="58"/>
        <v>CancelCancel</v>
      </c>
      <c r="AQ160" s="28" t="str">
        <f t="shared" si="59"/>
        <v>CancelCancelRMB</v>
      </c>
      <c r="AR160" s="206" t="str">
        <f t="shared" si="60"/>
        <v>YAMAHA_Mounter</v>
      </c>
      <c r="AS160" s="22" t="str">
        <f t="shared" si="61"/>
        <v/>
      </c>
      <c r="AT160" s="24" t="str">
        <f t="shared" si="62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7"/>
        <v>0.141215124388995</v>
      </c>
      <c r="AL161" s="17"/>
      <c r="AM161" s="17"/>
      <c r="AN161" s="17"/>
      <c r="AO161" s="17"/>
      <c r="AP161" s="28" t="str">
        <f t="shared" si="58"/>
        <v>20215</v>
      </c>
      <c r="AQ161" s="28" t="str">
        <f t="shared" si="59"/>
        <v>20215RMB</v>
      </c>
      <c r="AR161" s="206" t="str">
        <f t="shared" si="60"/>
        <v>YAMAHA_Mounter</v>
      </c>
      <c r="AS161" s="22">
        <f t="shared" si="61"/>
        <v>2</v>
      </c>
      <c r="AT161" s="24" t="str">
        <f t="shared" si="62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7"/>
        <v>0.141215124388995</v>
      </c>
      <c r="AL162" s="17"/>
      <c r="AM162" s="17"/>
      <c r="AN162" s="17"/>
      <c r="AO162" s="17"/>
      <c r="AP162" s="28" t="str">
        <f t="shared" si="58"/>
        <v>20215</v>
      </c>
      <c r="AQ162" s="28" t="str">
        <f t="shared" si="59"/>
        <v>20215RMB</v>
      </c>
      <c r="AR162" s="206" t="str">
        <f t="shared" si="60"/>
        <v>YAMAHA_Mounter</v>
      </c>
      <c r="AS162" s="22">
        <f t="shared" si="61"/>
        <v>1</v>
      </c>
      <c r="AT162" s="24" t="str">
        <f t="shared" si="62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7"/>
        <v>0.1517070412191521</v>
      </c>
      <c r="AL163" s="17"/>
      <c r="AM163" s="17"/>
      <c r="AN163" s="17"/>
      <c r="AO163" s="17"/>
      <c r="AP163" s="28" t="str">
        <f t="shared" si="58"/>
        <v>202112</v>
      </c>
      <c r="AQ163" s="28" t="str">
        <f t="shared" si="59"/>
        <v>202112RMB</v>
      </c>
      <c r="AR163" s="206" t="str">
        <f t="shared" si="60"/>
        <v>YAMAHA_Mounter</v>
      </c>
      <c r="AS163" s="22">
        <f t="shared" si="61"/>
        <v>0</v>
      </c>
      <c r="AT163" s="24" t="str">
        <f t="shared" si="62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7"/>
        <v>0.14613378412599562</v>
      </c>
      <c r="AL164" s="17"/>
      <c r="AM164" s="17"/>
      <c r="AN164" s="17"/>
      <c r="AO164" s="17"/>
      <c r="AP164" s="28" t="str">
        <f t="shared" si="58"/>
        <v>20227</v>
      </c>
      <c r="AQ164" s="28" t="str">
        <f t="shared" si="59"/>
        <v>20227RMB</v>
      </c>
      <c r="AR164" s="206" t="str">
        <f t="shared" si="60"/>
        <v>YAMAHA_Mounter</v>
      </c>
      <c r="AS164" s="22">
        <f t="shared" si="61"/>
        <v>1</v>
      </c>
      <c r="AT164" s="24" t="str">
        <f t="shared" si="62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7"/>
        <v>0.11939782416131177</v>
      </c>
      <c r="AL165" s="17"/>
      <c r="AM165" s="17"/>
      <c r="AN165" s="17"/>
      <c r="AO165" s="17"/>
      <c r="AP165" s="28" t="str">
        <f t="shared" si="58"/>
        <v>20194</v>
      </c>
      <c r="AQ165" s="28" t="str">
        <f t="shared" si="59"/>
        <v>20194RMB</v>
      </c>
      <c r="AR165" s="206" t="str">
        <f t="shared" si="60"/>
        <v>YAMAHA_Mounter</v>
      </c>
      <c r="AS165" s="22">
        <f t="shared" si="61"/>
        <v>1</v>
      </c>
      <c r="AT165" s="24" t="str">
        <f t="shared" si="62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7"/>
        <v>0.12142827497242578</v>
      </c>
      <c r="AL166" s="17"/>
      <c r="AM166" s="17"/>
      <c r="AN166" s="17"/>
      <c r="AO166" s="17"/>
      <c r="AP166" s="28" t="str">
        <f t="shared" si="58"/>
        <v>202010</v>
      </c>
      <c r="AQ166" s="28" t="str">
        <f t="shared" si="59"/>
        <v>202010RMB</v>
      </c>
      <c r="AR166" s="206" t="str">
        <f t="shared" si="60"/>
        <v>YAMAHA_Mounter</v>
      </c>
      <c r="AS166" s="22">
        <f t="shared" si="61"/>
        <v>2</v>
      </c>
      <c r="AT166" s="24" t="str">
        <f t="shared" si="62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7"/>
        <v>0.12496215328889679</v>
      </c>
      <c r="AL167" s="17"/>
      <c r="AM167" s="17"/>
      <c r="AN167" s="17"/>
      <c r="AO167" s="17"/>
      <c r="AP167" s="28" t="str">
        <f t="shared" si="58"/>
        <v>202011</v>
      </c>
      <c r="AQ167" s="28" t="str">
        <f t="shared" si="59"/>
        <v>202011RMB</v>
      </c>
      <c r="AR167" s="206" t="str">
        <f t="shared" si="60"/>
        <v>YAMAHA_Mounter</v>
      </c>
      <c r="AS167" s="22">
        <f t="shared" si="61"/>
        <v>3</v>
      </c>
      <c r="AT167" s="24" t="str">
        <f t="shared" si="62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7"/>
        <v>0.13214055370740244</v>
      </c>
      <c r="AL168" s="17"/>
      <c r="AM168" s="17"/>
      <c r="AN168" s="17"/>
      <c r="AO168" s="17"/>
      <c r="AP168" s="28" t="str">
        <f t="shared" si="58"/>
        <v>20184</v>
      </c>
      <c r="AQ168" s="28" t="str">
        <f t="shared" si="59"/>
        <v>20184RMB</v>
      </c>
      <c r="AR168" s="206" t="str">
        <f t="shared" si="60"/>
        <v>YAMAHA_Mounter</v>
      </c>
      <c r="AS168" s="22">
        <f t="shared" si="61"/>
        <v>5</v>
      </c>
      <c r="AT168" s="24" t="str">
        <f t="shared" si="62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7"/>
        <v>0.13756645766163331</v>
      </c>
      <c r="AL169" s="17"/>
      <c r="AM169" s="17"/>
      <c r="AN169" s="17"/>
      <c r="AO169" s="17"/>
      <c r="AP169" s="28" t="str">
        <f t="shared" si="58"/>
        <v>20201</v>
      </c>
      <c r="AQ169" s="28" t="str">
        <f t="shared" si="59"/>
        <v>20201RMB</v>
      </c>
      <c r="AR169" s="206" t="str">
        <f t="shared" si="60"/>
        <v>YAMAHA_Mounter</v>
      </c>
      <c r="AS169" s="22">
        <f t="shared" si="61"/>
        <v>1</v>
      </c>
      <c r="AT169" s="24" t="str">
        <f t="shared" si="62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7"/>
        <v>0.13756645766163331</v>
      </c>
      <c r="AL170" s="17"/>
      <c r="AM170" s="17"/>
      <c r="AN170" s="17"/>
      <c r="AO170" s="17"/>
      <c r="AP170" s="28" t="str">
        <f t="shared" si="58"/>
        <v>20201</v>
      </c>
      <c r="AQ170" s="28" t="str">
        <f t="shared" si="59"/>
        <v>20201RMB</v>
      </c>
      <c r="AR170" s="206" t="str">
        <f t="shared" si="60"/>
        <v>YAMAHA_Mounter</v>
      </c>
      <c r="AS170" s="22">
        <f t="shared" si="61"/>
        <v>1</v>
      </c>
      <c r="AT170" s="24" t="str">
        <f t="shared" si="62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7"/>
        <v>0.13676937682988152</v>
      </c>
      <c r="AL171" s="17"/>
      <c r="AM171" s="17"/>
      <c r="AN171" s="17"/>
      <c r="AO171" s="17"/>
      <c r="AP171" s="28" t="str">
        <f t="shared" si="58"/>
        <v>20204</v>
      </c>
      <c r="AQ171" s="28" t="str">
        <f t="shared" si="59"/>
        <v>20204RMB</v>
      </c>
      <c r="AR171" s="206" t="str">
        <f t="shared" si="60"/>
        <v>YAMAHA_Mounter</v>
      </c>
      <c r="AS171" s="22">
        <f t="shared" si="61"/>
        <v>0</v>
      </c>
      <c r="AT171" s="24" t="str">
        <f t="shared" si="62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7"/>
        <v>0.1428734525728621</v>
      </c>
      <c r="AL172" s="17"/>
      <c r="AM172" s="17"/>
      <c r="AN172" s="17"/>
      <c r="AO172" s="17"/>
      <c r="AP172" s="28" t="str">
        <f t="shared" si="58"/>
        <v>201811</v>
      </c>
      <c r="AQ172" s="28" t="str">
        <f t="shared" si="59"/>
        <v>201811RMB</v>
      </c>
      <c r="AR172" s="206" t="str">
        <f t="shared" si="60"/>
        <v>YAMAHA_Mounter</v>
      </c>
      <c r="AS172" s="22">
        <f t="shared" si="61"/>
        <v>5</v>
      </c>
      <c r="AT172" s="24" t="str">
        <f t="shared" si="62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7"/>
        <v>0.12032530077218917</v>
      </c>
      <c r="AL173" s="17"/>
      <c r="AM173" s="17"/>
      <c r="AN173" s="17"/>
      <c r="AO173" s="17"/>
      <c r="AP173" s="28" t="str">
        <f t="shared" si="58"/>
        <v>20239</v>
      </c>
      <c r="AQ173" s="28" t="str">
        <f t="shared" si="59"/>
        <v>20239RMB</v>
      </c>
      <c r="AR173" s="206" t="str">
        <f t="shared" si="60"/>
        <v>YAMAHA_Mounter</v>
      </c>
      <c r="AS173" s="22">
        <f t="shared" si="61"/>
        <v>4</v>
      </c>
      <c r="AT173" s="24" t="str">
        <f t="shared" si="62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7"/>
        <v>0.12032530077218917</v>
      </c>
      <c r="AL174" s="17"/>
      <c r="AM174" s="17"/>
      <c r="AN174" s="17"/>
      <c r="AO174" s="17"/>
      <c r="AP174" s="28" t="str">
        <f t="shared" si="58"/>
        <v>20239</v>
      </c>
      <c r="AQ174" s="28" t="str">
        <f t="shared" si="59"/>
        <v>20239RMB</v>
      </c>
      <c r="AR174" s="206" t="str">
        <f t="shared" si="60"/>
        <v>YAMAHA_Mounter</v>
      </c>
      <c r="AS174" s="22">
        <f t="shared" si="61"/>
        <v>4</v>
      </c>
      <c r="AT174" s="24" t="str">
        <f t="shared" si="62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7"/>
        <v>0.12032530077218917</v>
      </c>
      <c r="AL175" s="17"/>
      <c r="AM175" s="17"/>
      <c r="AN175" s="17"/>
      <c r="AO175" s="17"/>
      <c r="AP175" s="28" t="str">
        <f t="shared" si="58"/>
        <v>20239</v>
      </c>
      <c r="AQ175" s="28" t="str">
        <f t="shared" si="59"/>
        <v>20239RMB</v>
      </c>
      <c r="AR175" s="206" t="str">
        <f t="shared" si="60"/>
        <v>YAMAHA_Mounter</v>
      </c>
      <c r="AS175" s="22">
        <f t="shared" si="61"/>
        <v>4</v>
      </c>
      <c r="AT175" s="24" t="str">
        <f t="shared" si="62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7"/>
        <v>0.12032530077218917</v>
      </c>
      <c r="AL176" s="17"/>
      <c r="AM176" s="17"/>
      <c r="AN176" s="17"/>
      <c r="AO176" s="17"/>
      <c r="AP176" s="28" t="str">
        <f t="shared" si="58"/>
        <v>20239</v>
      </c>
      <c r="AQ176" s="28" t="str">
        <f t="shared" si="59"/>
        <v>20239RMB</v>
      </c>
      <c r="AR176" s="206" t="str">
        <f t="shared" si="60"/>
        <v>YAMAHA_Mounter</v>
      </c>
      <c r="AS176" s="22">
        <f t="shared" si="61"/>
        <v>4</v>
      </c>
      <c r="AT176" s="24" t="str">
        <f t="shared" si="62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7"/>
        <v>0.12032530077218917</v>
      </c>
      <c r="AL177" s="17"/>
      <c r="AM177" s="17"/>
      <c r="AN177" s="17"/>
      <c r="AO177" s="17"/>
      <c r="AP177" s="28" t="str">
        <f t="shared" si="58"/>
        <v>20239</v>
      </c>
      <c r="AQ177" s="28" t="str">
        <f t="shared" si="59"/>
        <v>20239RMB</v>
      </c>
      <c r="AR177" s="206" t="str">
        <f t="shared" si="60"/>
        <v>LOCAL SUPPLIER</v>
      </c>
      <c r="AS177" s="22">
        <f t="shared" si="61"/>
        <v>4</v>
      </c>
      <c r="AT177" s="24" t="str">
        <f t="shared" si="62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4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5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7"/>
        <v>0.12032530077218917</v>
      </c>
      <c r="AL178" s="17"/>
      <c r="AM178" s="17"/>
      <c r="AN178" s="17"/>
      <c r="AO178" s="17"/>
      <c r="AP178" s="28" t="str">
        <f t="shared" si="58"/>
        <v>20239</v>
      </c>
      <c r="AQ178" s="28" t="str">
        <f t="shared" si="59"/>
        <v>20239RMB</v>
      </c>
      <c r="AR178" s="206" t="str">
        <f t="shared" si="60"/>
        <v>YAMAHA_Non_Mounter</v>
      </c>
      <c r="AS178" s="22">
        <f t="shared" si="61"/>
        <v>4</v>
      </c>
      <c r="AT178" s="24" t="str">
        <f t="shared" si="62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4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5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7"/>
        <v>0.12032530077218917</v>
      </c>
      <c r="AL179" s="17"/>
      <c r="AM179" s="17"/>
      <c r="AN179" s="17"/>
      <c r="AO179" s="17"/>
      <c r="AP179" s="28" t="str">
        <f t="shared" si="58"/>
        <v>20239</v>
      </c>
      <c r="AQ179" s="28" t="str">
        <f t="shared" si="59"/>
        <v>20239RMB</v>
      </c>
      <c r="AR179" s="206" t="str">
        <f t="shared" si="60"/>
        <v>YAMAHA_Non_Mounter</v>
      </c>
      <c r="AS179" s="22">
        <f t="shared" si="61"/>
        <v>4</v>
      </c>
      <c r="AT179" s="24" t="str">
        <f t="shared" si="62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4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5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7"/>
        <v>0.12032530077218917</v>
      </c>
      <c r="AL180" s="17"/>
      <c r="AM180" s="17"/>
      <c r="AN180" s="17"/>
      <c r="AO180" s="17"/>
      <c r="AP180" s="28" t="str">
        <f t="shared" si="58"/>
        <v>20239</v>
      </c>
      <c r="AQ180" s="28" t="str">
        <f t="shared" si="59"/>
        <v>20239RMB</v>
      </c>
      <c r="AR180" s="206" t="str">
        <f t="shared" si="60"/>
        <v>HELLER</v>
      </c>
      <c r="AS180" s="22">
        <f t="shared" si="61"/>
        <v>4</v>
      </c>
      <c r="AT180" s="24" t="str">
        <f t="shared" si="62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4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5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7"/>
        <v>0.12032530077218917</v>
      </c>
      <c r="AL181" s="17"/>
      <c r="AM181" s="17"/>
      <c r="AN181" s="17"/>
      <c r="AO181" s="17"/>
      <c r="AP181" s="28" t="str">
        <f t="shared" si="58"/>
        <v>20239</v>
      </c>
      <c r="AQ181" s="28" t="str">
        <f t="shared" si="59"/>
        <v>20239RMB</v>
      </c>
      <c r="AR181" s="206" t="str">
        <f t="shared" si="60"/>
        <v>PEMTRON</v>
      </c>
      <c r="AS181" s="22">
        <f t="shared" si="61"/>
        <v>4</v>
      </c>
      <c r="AT181" s="24" t="str">
        <f t="shared" si="62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4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5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7"/>
        <v>0.12032530077218917</v>
      </c>
      <c r="AL182" s="17"/>
      <c r="AM182" s="17"/>
      <c r="AN182" s="17"/>
      <c r="AO182" s="17"/>
      <c r="AP182" s="28" t="str">
        <f t="shared" si="58"/>
        <v>20239</v>
      </c>
      <c r="AQ182" s="28" t="str">
        <f t="shared" si="59"/>
        <v>20239RMB</v>
      </c>
      <c r="AR182" s="206" t="str">
        <f t="shared" si="60"/>
        <v>LOCAL SUPPLIER</v>
      </c>
      <c r="AS182" s="22">
        <f t="shared" si="61"/>
        <v>1</v>
      </c>
      <c r="AT182" s="24" t="str">
        <f t="shared" si="62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4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5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20319282.700884953</v>
      </c>
      <c r="AJ183" s="27">
        <f t="shared" si="41"/>
        <v>2408851.9638623013</v>
      </c>
      <c r="AK183" s="28">
        <f t="shared" si="57"/>
        <v>0.11855004919821259</v>
      </c>
      <c r="AL183" s="24"/>
      <c r="AM183" s="24"/>
      <c r="AN183" s="24"/>
      <c r="AO183" s="24"/>
      <c r="AP183" s="28" t="str">
        <f t="shared" si="58"/>
        <v>20244</v>
      </c>
      <c r="AQ183" s="28" t="str">
        <f t="shared" si="59"/>
        <v>20244RMB</v>
      </c>
      <c r="AR183" s="206" t="str">
        <f t="shared" si="60"/>
        <v>YAMAHA_Mounter</v>
      </c>
      <c r="AS183" s="22">
        <f t="shared" si="61"/>
        <v>1</v>
      </c>
      <c r="AT183" s="24" t="str">
        <f t="shared" si="62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4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5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40"/>
        <v>20319282.700884953</v>
      </c>
      <c r="AJ184" s="27">
        <f t="shared" si="41"/>
        <v>2408851.9638623013</v>
      </c>
      <c r="AK184" s="28">
        <f t="shared" si="57"/>
        <v>0.11855004919821259</v>
      </c>
      <c r="AL184" s="24"/>
      <c r="AM184" s="24"/>
      <c r="AN184" s="24"/>
      <c r="AO184" s="24"/>
      <c r="AP184" s="28" t="str">
        <f t="shared" si="58"/>
        <v>20244</v>
      </c>
      <c r="AQ184" s="28" t="str">
        <f t="shared" si="59"/>
        <v>20244RMB</v>
      </c>
      <c r="AR184" s="206" t="str">
        <f t="shared" si="60"/>
        <v>YAMAHA_Mounter</v>
      </c>
      <c r="AS184" s="22">
        <f t="shared" si="61"/>
        <v>1</v>
      </c>
      <c r="AT184" s="24" t="str">
        <f t="shared" si="62"/>
        <v>0-3 months</v>
      </c>
      <c r="AU184" s="22" t="s">
        <v>3751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4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5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20319282.700884953</v>
      </c>
      <c r="AJ185" s="27">
        <f t="shared" si="41"/>
        <v>2408851.9638623013</v>
      </c>
      <c r="AK185" s="28">
        <f t="shared" si="57"/>
        <v>0.11855004919821259</v>
      </c>
      <c r="AL185" s="24"/>
      <c r="AM185" s="24"/>
      <c r="AN185" s="24"/>
      <c r="AO185" s="24"/>
      <c r="AP185" s="28" t="str">
        <f t="shared" si="58"/>
        <v>20244</v>
      </c>
      <c r="AQ185" s="28" t="str">
        <f t="shared" si="59"/>
        <v>20244RMB</v>
      </c>
      <c r="AR185" s="206" t="str">
        <f t="shared" si="60"/>
        <v>YAMAHA_Mounter</v>
      </c>
      <c r="AS185" s="22">
        <f t="shared" si="61"/>
        <v>1</v>
      </c>
      <c r="AT185" s="24" t="str">
        <f t="shared" si="62"/>
        <v>0-3 months</v>
      </c>
      <c r="AU185" s="22" t="s">
        <v>3751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7"/>
        <v>0.12943785838163113</v>
      </c>
      <c r="AL186" s="17"/>
      <c r="AM186" s="17"/>
      <c r="AN186" s="17"/>
      <c r="AO186" s="17"/>
      <c r="AP186" s="28" t="str">
        <f t="shared" si="58"/>
        <v>20199</v>
      </c>
      <c r="AQ186" s="28" t="str">
        <f t="shared" si="59"/>
        <v>20199RMB</v>
      </c>
      <c r="AR186" s="206" t="str">
        <f t="shared" si="60"/>
        <v>YAMAHA_Mounter</v>
      </c>
      <c r="AS186" s="22">
        <f t="shared" si="61"/>
        <v>0</v>
      </c>
      <c r="AT186" s="24" t="str">
        <f t="shared" si="62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7"/>
        <v>0.12943785838163113</v>
      </c>
      <c r="AL187" s="17"/>
      <c r="AM187" s="17"/>
      <c r="AN187" s="17"/>
      <c r="AO187" s="17"/>
      <c r="AP187" s="28" t="str">
        <f t="shared" si="58"/>
        <v>20199</v>
      </c>
      <c r="AQ187" s="28" t="str">
        <f t="shared" si="59"/>
        <v>20199RMB</v>
      </c>
      <c r="AR187" s="206" t="str">
        <f t="shared" si="60"/>
        <v>YAMAHA_Mounter</v>
      </c>
      <c r="AS187" s="22">
        <f t="shared" si="61"/>
        <v>0</v>
      </c>
      <c r="AT187" s="24" t="str">
        <f t="shared" si="62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7"/>
        <v>0.13679824337660537</v>
      </c>
      <c r="AL188" s="17"/>
      <c r="AM188" s="17"/>
      <c r="AN188" s="17"/>
      <c r="AO188" s="17"/>
      <c r="AP188" s="28" t="str">
        <f t="shared" si="58"/>
        <v>20216</v>
      </c>
      <c r="AQ188" s="28" t="str">
        <f t="shared" si="59"/>
        <v>20216RMB</v>
      </c>
      <c r="AR188" s="206" t="str">
        <f t="shared" si="60"/>
        <v>YAMAHA_Mounter</v>
      </c>
      <c r="AS188" s="22">
        <f t="shared" si="61"/>
        <v>2</v>
      </c>
      <c r="AT188" s="24" t="str">
        <f t="shared" si="62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7"/>
        <v>0.13679824337660537</v>
      </c>
      <c r="AL189" s="17"/>
      <c r="AM189" s="17"/>
      <c r="AN189" s="17"/>
      <c r="AO189" s="17"/>
      <c r="AP189" s="28" t="str">
        <f t="shared" si="58"/>
        <v>20216</v>
      </c>
      <c r="AQ189" s="28" t="str">
        <f t="shared" si="59"/>
        <v>20216RMB</v>
      </c>
      <c r="AR189" s="206" t="str">
        <f t="shared" si="60"/>
        <v>YAMAHA_Mounter</v>
      </c>
      <c r="AS189" s="22">
        <f t="shared" si="61"/>
        <v>2</v>
      </c>
      <c r="AT189" s="24" t="str">
        <f t="shared" si="62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7"/>
        <v>0.13679824337660537</v>
      </c>
      <c r="AL190" s="17"/>
      <c r="AM190" s="17"/>
      <c r="AN190" s="17"/>
      <c r="AO190" s="17"/>
      <c r="AP190" s="28" t="str">
        <f t="shared" si="58"/>
        <v>20216</v>
      </c>
      <c r="AQ190" s="28" t="str">
        <f t="shared" si="59"/>
        <v>20216RMB</v>
      </c>
      <c r="AR190" s="206" t="str">
        <f t="shared" si="60"/>
        <v>YAMAHA_Mounter</v>
      </c>
      <c r="AS190" s="22">
        <f t="shared" si="61"/>
        <v>2</v>
      </c>
      <c r="AT190" s="24" t="str">
        <f t="shared" si="62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7"/>
        <v>0.13679824337660537</v>
      </c>
      <c r="AL191" s="17"/>
      <c r="AM191" s="17"/>
      <c r="AN191" s="17"/>
      <c r="AO191" s="17"/>
      <c r="AP191" s="28" t="str">
        <f t="shared" si="58"/>
        <v>20216</v>
      </c>
      <c r="AQ191" s="28" t="str">
        <f t="shared" si="59"/>
        <v>20216RMB</v>
      </c>
      <c r="AR191" s="206" t="str">
        <f t="shared" si="60"/>
        <v>PEMTRON</v>
      </c>
      <c r="AS191" s="22">
        <f t="shared" si="61"/>
        <v>3</v>
      </c>
      <c r="AT191" s="24" t="str">
        <f t="shared" si="62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7"/>
        <v>0.14045056209911663</v>
      </c>
      <c r="AL192" s="17"/>
      <c r="AM192" s="17"/>
      <c r="AN192" s="17"/>
      <c r="AO192" s="17"/>
      <c r="AP192" s="28" t="str">
        <f t="shared" si="58"/>
        <v>20219</v>
      </c>
      <c r="AQ192" s="28" t="str">
        <f t="shared" si="59"/>
        <v>20219RMB</v>
      </c>
      <c r="AR192" s="206" t="str">
        <f t="shared" si="60"/>
        <v>PEMTRON</v>
      </c>
      <c r="AS192" s="22">
        <f t="shared" si="61"/>
        <v>2</v>
      </c>
      <c r="AT192" s="24" t="str">
        <f t="shared" si="62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7"/>
        <v>0.10337772614862238</v>
      </c>
      <c r="AL193" s="17"/>
      <c r="AM193" s="17"/>
      <c r="AN193" s="17"/>
      <c r="AO193" s="17"/>
      <c r="AP193" s="28" t="str">
        <f t="shared" si="58"/>
        <v>20191</v>
      </c>
      <c r="AQ193" s="28" t="str">
        <f t="shared" si="59"/>
        <v>20191RMB</v>
      </c>
      <c r="AR193" s="206" t="str">
        <f t="shared" si="60"/>
        <v>YAMAHA_Mounter</v>
      </c>
      <c r="AS193" s="22">
        <f t="shared" si="61"/>
        <v>4</v>
      </c>
      <c r="AT193" s="24" t="str">
        <f t="shared" si="62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7"/>
        <v>0.10337772614862238</v>
      </c>
      <c r="AL194" s="17"/>
      <c r="AM194" s="17"/>
      <c r="AN194" s="17"/>
      <c r="AO194" s="17"/>
      <c r="AP194" s="28" t="str">
        <f t="shared" si="58"/>
        <v>20191</v>
      </c>
      <c r="AQ194" s="28" t="str">
        <f t="shared" si="59"/>
        <v>20191RMB</v>
      </c>
      <c r="AR194" s="206" t="str">
        <f t="shared" si="60"/>
        <v>YAMAHA_Mounter</v>
      </c>
      <c r="AS194" s="22">
        <f t="shared" si="61"/>
        <v>4</v>
      </c>
      <c r="AT194" s="24" t="str">
        <f t="shared" si="62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7"/>
        <v>0.12367325186825515</v>
      </c>
      <c r="AL195" s="17"/>
      <c r="AM195" s="17"/>
      <c r="AN195" s="17"/>
      <c r="AO195" s="17"/>
      <c r="AP195" s="28" t="str">
        <f t="shared" si="58"/>
        <v>20211</v>
      </c>
      <c r="AQ195" s="28" t="str">
        <f t="shared" si="59"/>
        <v>20211RMB</v>
      </c>
      <c r="AR195" s="206" t="str">
        <f t="shared" si="60"/>
        <v>YAMAHA_Mounter</v>
      </c>
      <c r="AS195" s="22">
        <f t="shared" si="61"/>
        <v>2</v>
      </c>
      <c r="AT195" s="24" t="str">
        <f t="shared" si="62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7"/>
        <v>0.12367325186825515</v>
      </c>
      <c r="AL196" s="17"/>
      <c r="AM196" s="17"/>
      <c r="AN196" s="17"/>
      <c r="AO196" s="17"/>
      <c r="AP196" s="28" t="str">
        <f t="shared" si="58"/>
        <v>20211</v>
      </c>
      <c r="AQ196" s="28" t="str">
        <f t="shared" si="59"/>
        <v>20211RMB</v>
      </c>
      <c r="AR196" s="206" t="str">
        <f t="shared" si="60"/>
        <v>YAMAHA_Mounter</v>
      </c>
      <c r="AS196" s="22">
        <f t="shared" si="61"/>
        <v>2</v>
      </c>
      <c r="AT196" s="24" t="str">
        <f t="shared" si="62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7"/>
        <v>0.14353007902118958</v>
      </c>
      <c r="AL197" s="17"/>
      <c r="AM197" s="17"/>
      <c r="AN197" s="17"/>
      <c r="AO197" s="17"/>
      <c r="AP197" s="28" t="str">
        <f t="shared" si="58"/>
        <v>20228</v>
      </c>
      <c r="AQ197" s="28" t="str">
        <f t="shared" si="59"/>
        <v>20228RMB</v>
      </c>
      <c r="AR197" s="206" t="str">
        <f t="shared" si="60"/>
        <v>YAMAHA_Mounter</v>
      </c>
      <c r="AS197" s="22">
        <f t="shared" si="61"/>
        <v>3</v>
      </c>
      <c r="AT197" s="24" t="str">
        <f t="shared" si="62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6">IF(AJ198&gt;0,AJ198/AI198,"")</f>
        <v>0.12367325186825515</v>
      </c>
      <c r="AL198" s="17"/>
      <c r="AM198" s="17"/>
      <c r="AN198" s="17"/>
      <c r="AO198" s="17"/>
      <c r="AP198" s="28" t="str">
        <f t="shared" ref="AP198:AP261" si="77">IF(F198="","",F198&amp;G198)</f>
        <v>20211</v>
      </c>
      <c r="AQ198" s="28" t="str">
        <f t="shared" ref="AQ198:AQ261" si="78">IF(W198="","",F198&amp;G198&amp;W198)</f>
        <v>20211RMB</v>
      </c>
      <c r="AR198" s="206" t="str">
        <f t="shared" ref="AR198:AR261" si="79">IFERROR(IF(AND(M198="YAMAHA", R198="C28"), "YAMAHA_Non_Mounter", IF(AND(M198="YAMAHA", R198="C49"), "YAMAHA_Mounter", M198)),"")</f>
        <v>YAMAHA_Non_Mounter</v>
      </c>
      <c r="AS198" s="22">
        <f t="shared" ref="AS198:AS261" si="80">IFERROR(IF(OR(G198="TBA", G198=""), "", DATEDIF(DATE(B198, C198, 1), DATE(F198, G198, 1), "M")),"")</f>
        <v>2</v>
      </c>
      <c r="AT198" s="24" t="str">
        <f t="shared" ref="AT198:AT261" si="81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2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6"/>
        <v>0.15166211427595458</v>
      </c>
      <c r="AL199" s="17"/>
      <c r="AM199" s="17"/>
      <c r="AN199" s="17"/>
      <c r="AO199" s="17"/>
      <c r="AP199" s="28" t="str">
        <f t="shared" si="77"/>
        <v>202211</v>
      </c>
      <c r="AQ199" s="28" t="str">
        <f t="shared" si="78"/>
        <v>202211RMB</v>
      </c>
      <c r="AR199" s="206" t="str">
        <f t="shared" si="79"/>
        <v>YAMAHA_Non_Mounter</v>
      </c>
      <c r="AS199" s="22">
        <f t="shared" si="80"/>
        <v>2</v>
      </c>
      <c r="AT199" s="24" t="str">
        <f t="shared" si="81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3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2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6"/>
        <v>0.12272431622253084</v>
      </c>
      <c r="AL200" s="17"/>
      <c r="AM200" s="17"/>
      <c r="AN200" s="17"/>
      <c r="AO200" s="17"/>
      <c r="AP200" s="28" t="str">
        <f t="shared" si="77"/>
        <v>202311</v>
      </c>
      <c r="AQ200" s="28" t="str">
        <f t="shared" si="78"/>
        <v>202311RMB</v>
      </c>
      <c r="AR200" s="206" t="str">
        <f t="shared" si="79"/>
        <v>YAMAHA_Mounter</v>
      </c>
      <c r="AS200" s="22">
        <f t="shared" si="80"/>
        <v>0</v>
      </c>
      <c r="AT200" s="24" t="str">
        <f t="shared" si="81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3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2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23146578.081415929</v>
      </c>
      <c r="AJ201" s="19">
        <f t="shared" si="67"/>
        <v>2745231.3889985834</v>
      </c>
      <c r="AK201" s="20">
        <f t="shared" si="76"/>
        <v>0.11860204041143742</v>
      </c>
      <c r="AL201" s="17"/>
      <c r="AM201" s="17"/>
      <c r="AN201" s="17"/>
      <c r="AO201" s="17"/>
      <c r="AP201" s="28" t="str">
        <f t="shared" si="77"/>
        <v>20241</v>
      </c>
      <c r="AQ201" s="28" t="str">
        <f t="shared" si="78"/>
        <v>20241RMB</v>
      </c>
      <c r="AR201" s="206" t="str">
        <f t="shared" si="79"/>
        <v>YAMAHA_Non_Mounter</v>
      </c>
      <c r="AS201" s="22">
        <f t="shared" si="80"/>
        <v>2</v>
      </c>
      <c r="AT201" s="24" t="str">
        <f t="shared" si="81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3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2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23146578.081415929</v>
      </c>
      <c r="AJ202" s="19">
        <f t="shared" si="67"/>
        <v>2745231.3889985834</v>
      </c>
      <c r="AK202" s="20">
        <f t="shared" si="76"/>
        <v>0.11860204041143742</v>
      </c>
      <c r="AL202" s="17"/>
      <c r="AM202" s="17"/>
      <c r="AN202" s="17"/>
      <c r="AO202" s="17"/>
      <c r="AP202" s="28" t="str">
        <f t="shared" si="77"/>
        <v>20241</v>
      </c>
      <c r="AQ202" s="28" t="str">
        <f t="shared" si="78"/>
        <v>20241RMB</v>
      </c>
      <c r="AR202" s="206" t="str">
        <f t="shared" si="79"/>
        <v>YAMAHA_Non_Mounter</v>
      </c>
      <c r="AS202" s="22">
        <f t="shared" si="80"/>
        <v>2</v>
      </c>
      <c r="AT202" s="24" t="str">
        <f t="shared" si="81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3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2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6"/>
        <v>0.11947637120066472</v>
      </c>
      <c r="AL203" s="24"/>
      <c r="AM203" s="24"/>
      <c r="AN203" s="24"/>
      <c r="AO203" s="24"/>
      <c r="AP203" s="28" t="str">
        <f t="shared" si="77"/>
        <v>202312</v>
      </c>
      <c r="AQ203" s="28" t="str">
        <f t="shared" si="78"/>
        <v>202312RMB</v>
      </c>
      <c r="AR203" s="206" t="str">
        <f t="shared" si="79"/>
        <v>YAMAHA_Mounter</v>
      </c>
      <c r="AS203" s="22">
        <f t="shared" si="80"/>
        <v>0</v>
      </c>
      <c r="AT203" s="24" t="str">
        <f t="shared" si="81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3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2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6"/>
        <v>0.11947637120066472</v>
      </c>
      <c r="AL204" s="24"/>
      <c r="AM204" s="24"/>
      <c r="AN204" s="24"/>
      <c r="AO204" s="24"/>
      <c r="AP204" s="28" t="str">
        <f t="shared" si="77"/>
        <v>202312</v>
      </c>
      <c r="AQ204" s="28" t="str">
        <f t="shared" si="78"/>
        <v>202312RMB</v>
      </c>
      <c r="AR204" s="206" t="str">
        <f t="shared" si="79"/>
        <v>YAMAHA_Mounter</v>
      </c>
      <c r="AS204" s="22">
        <f t="shared" si="80"/>
        <v>0</v>
      </c>
      <c r="AT204" s="24" t="str">
        <f t="shared" si="81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3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2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66"/>
        <v>20319282.700884953</v>
      </c>
      <c r="AJ205" s="27">
        <f t="shared" si="67"/>
        <v>2408851.9638623013</v>
      </c>
      <c r="AK205" s="28">
        <f t="shared" si="76"/>
        <v>0.11855004919821259</v>
      </c>
      <c r="AL205" s="24"/>
      <c r="AM205" s="24"/>
      <c r="AN205" s="24"/>
      <c r="AO205" s="24"/>
      <c r="AP205" s="28" t="str">
        <f t="shared" si="77"/>
        <v>20244</v>
      </c>
      <c r="AQ205" s="28" t="str">
        <f t="shared" si="78"/>
        <v>20244RMB</v>
      </c>
      <c r="AR205" s="206" t="str">
        <f t="shared" si="79"/>
        <v>YAMAHA_Mounter</v>
      </c>
      <c r="AS205" s="22">
        <f t="shared" si="80"/>
        <v>1</v>
      </c>
      <c r="AT205" s="24" t="str">
        <f t="shared" si="81"/>
        <v>0-3 months</v>
      </c>
      <c r="AU205" s="22" t="s">
        <v>3751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3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2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6"/>
        <v>0.11855004919821259</v>
      </c>
      <c r="AL206" s="24"/>
      <c r="AM206" s="24"/>
      <c r="AN206" s="24"/>
      <c r="AO206" s="24"/>
      <c r="AP206" s="28" t="str">
        <f t="shared" si="77"/>
        <v>20244</v>
      </c>
      <c r="AQ206" s="28" t="str">
        <f t="shared" si="78"/>
        <v>20244JPY</v>
      </c>
      <c r="AR206" s="206" t="str">
        <f t="shared" si="79"/>
        <v>YAMAHA_Mounter</v>
      </c>
      <c r="AS206" s="22">
        <f t="shared" si="80"/>
        <v>1</v>
      </c>
      <c r="AT206" s="24" t="str">
        <f t="shared" si="81"/>
        <v>0-3 months</v>
      </c>
      <c r="AU206" s="22" t="s">
        <v>3745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6"/>
        <v>0.14613378412599562</v>
      </c>
      <c r="AL207" s="17"/>
      <c r="AM207" s="17"/>
      <c r="AN207" s="17"/>
      <c r="AO207" s="17"/>
      <c r="AP207" s="28" t="str">
        <f t="shared" si="77"/>
        <v>20227</v>
      </c>
      <c r="AQ207" s="28" t="str">
        <f t="shared" si="78"/>
        <v>20227RMB</v>
      </c>
      <c r="AR207" s="206" t="str">
        <f t="shared" si="79"/>
        <v>YAMAHA_Mounter</v>
      </c>
      <c r="AS207" s="22">
        <f t="shared" si="80"/>
        <v>1</v>
      </c>
      <c r="AT207" s="24" t="str">
        <f t="shared" si="81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6"/>
        <v>0.13676937682988152</v>
      </c>
      <c r="AL208" s="17"/>
      <c r="AM208" s="17"/>
      <c r="AN208" s="17"/>
      <c r="AO208" s="17"/>
      <c r="AP208" s="28" t="str">
        <f t="shared" si="77"/>
        <v>20204</v>
      </c>
      <c r="AQ208" s="28" t="str">
        <f t="shared" si="78"/>
        <v>20204RMB</v>
      </c>
      <c r="AR208" s="206" t="str">
        <f t="shared" si="79"/>
        <v>YAMAHA_Mounter</v>
      </c>
      <c r="AS208" s="22">
        <f t="shared" si="80"/>
        <v>5</v>
      </c>
      <c r="AT208" s="24" t="str">
        <f t="shared" si="81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6"/>
        <v>0.13676937682988152</v>
      </c>
      <c r="AL209" s="17"/>
      <c r="AM209" s="17"/>
      <c r="AN209" s="17"/>
      <c r="AO209" s="17"/>
      <c r="AP209" s="28" t="str">
        <f t="shared" si="77"/>
        <v>20204</v>
      </c>
      <c r="AQ209" s="28" t="str">
        <f t="shared" si="78"/>
        <v>20204RMB</v>
      </c>
      <c r="AR209" s="206" t="str">
        <f t="shared" si="79"/>
        <v>YAMAHA_Mounter</v>
      </c>
      <c r="AS209" s="22">
        <f t="shared" si="80"/>
        <v>5</v>
      </c>
      <c r="AT209" s="24" t="str">
        <f t="shared" si="81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6"/>
        <v>0.13214055370740244</v>
      </c>
      <c r="AL210" s="17"/>
      <c r="AM210" s="17"/>
      <c r="AN210" s="17"/>
      <c r="AO210" s="17"/>
      <c r="AP210" s="28" t="str">
        <f t="shared" si="77"/>
        <v>20184</v>
      </c>
      <c r="AQ210" s="28" t="str">
        <f t="shared" si="78"/>
        <v>20184RMB</v>
      </c>
      <c r="AR210" s="206" t="str">
        <f t="shared" si="79"/>
        <v>YAMAHA_Mounter</v>
      </c>
      <c r="AS210" s="22">
        <f t="shared" si="80"/>
        <v>0</v>
      </c>
      <c r="AT210" s="24" t="str">
        <f t="shared" si="81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6"/>
        <v>0.12496215328889679</v>
      </c>
      <c r="AL211" s="17"/>
      <c r="AM211" s="17"/>
      <c r="AN211" s="17"/>
      <c r="AO211" s="17"/>
      <c r="AP211" s="28" t="str">
        <f t="shared" si="77"/>
        <v>202011</v>
      </c>
      <c r="AQ211" s="28" t="str">
        <f t="shared" si="78"/>
        <v>202011RMB</v>
      </c>
      <c r="AR211" s="206" t="str">
        <f t="shared" si="79"/>
        <v>YAMAHA_Mounter</v>
      </c>
      <c r="AS211" s="22">
        <f t="shared" si="80"/>
        <v>0</v>
      </c>
      <c r="AT211" s="24" t="str">
        <f t="shared" si="81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6"/>
        <v>0.12367325186825515</v>
      </c>
      <c r="AL212" s="17"/>
      <c r="AM212" s="17"/>
      <c r="AN212" s="17"/>
      <c r="AO212" s="17"/>
      <c r="AP212" s="28" t="str">
        <f t="shared" si="77"/>
        <v>20211</v>
      </c>
      <c r="AQ212" s="28" t="str">
        <f t="shared" si="78"/>
        <v>20211RMB</v>
      </c>
      <c r="AR212" s="206" t="str">
        <f t="shared" si="79"/>
        <v>YAMAHA_Mounter</v>
      </c>
      <c r="AS212" s="22">
        <f t="shared" si="80"/>
        <v>2</v>
      </c>
      <c r="AT212" s="24" t="str">
        <f t="shared" si="81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6"/>
        <v>0.12367325186825515</v>
      </c>
      <c r="AL213" s="17"/>
      <c r="AM213" s="17"/>
      <c r="AN213" s="17"/>
      <c r="AO213" s="17"/>
      <c r="AP213" s="28" t="str">
        <f t="shared" si="77"/>
        <v>20211</v>
      </c>
      <c r="AQ213" s="28" t="str">
        <f t="shared" si="78"/>
        <v>20211RMB</v>
      </c>
      <c r="AR213" s="206" t="str">
        <f t="shared" si="79"/>
        <v>YAMAHA_Mounter</v>
      </c>
      <c r="AS213" s="22">
        <f t="shared" si="80"/>
        <v>2</v>
      </c>
      <c r="AT213" s="24" t="str">
        <f t="shared" si="81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6"/>
        <v>0.11467191436184473</v>
      </c>
      <c r="AL214" s="17"/>
      <c r="AM214" s="17"/>
      <c r="AN214" s="17"/>
      <c r="AO214" s="17"/>
      <c r="AP214" s="28" t="str">
        <f t="shared" si="77"/>
        <v>20196</v>
      </c>
      <c r="AQ214" s="28" t="str">
        <f t="shared" si="78"/>
        <v>20196RMB</v>
      </c>
      <c r="AR214" s="206" t="str">
        <f t="shared" si="79"/>
        <v>YAMAHA_Mounter</v>
      </c>
      <c r="AS214" s="22">
        <f t="shared" si="80"/>
        <v>0</v>
      </c>
      <c r="AT214" s="24" t="str">
        <f t="shared" si="81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6"/>
        <v>0.11467191436184473</v>
      </c>
      <c r="AL215" s="17"/>
      <c r="AM215" s="17"/>
      <c r="AN215" s="17"/>
      <c r="AO215" s="17"/>
      <c r="AP215" s="28" t="str">
        <f t="shared" si="77"/>
        <v>20196</v>
      </c>
      <c r="AQ215" s="28" t="str">
        <f t="shared" si="78"/>
        <v>20196RMB</v>
      </c>
      <c r="AR215" s="206" t="str">
        <f t="shared" si="79"/>
        <v>YAMAHA_Mounter</v>
      </c>
      <c r="AS215" s="22">
        <f t="shared" si="80"/>
        <v>0</v>
      </c>
      <c r="AT215" s="24" t="str">
        <f t="shared" si="81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6"/>
        <v>0.12100160608478869</v>
      </c>
      <c r="AL216" s="17"/>
      <c r="AM216" s="17"/>
      <c r="AN216" s="17"/>
      <c r="AO216" s="17"/>
      <c r="AP216" s="28" t="str">
        <f t="shared" si="77"/>
        <v>202310</v>
      </c>
      <c r="AQ216" s="28" t="str">
        <f t="shared" si="78"/>
        <v>202310RMB</v>
      </c>
      <c r="AR216" s="206" t="str">
        <f t="shared" si="79"/>
        <v>SOLDERSTAR</v>
      </c>
      <c r="AS216" s="22">
        <f t="shared" si="80"/>
        <v>1</v>
      </c>
      <c r="AT216" s="24" t="str">
        <f t="shared" si="81"/>
        <v>0-3 months</v>
      </c>
      <c r="AU216" s="22" t="s">
        <v>3751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66"/>
        <v>20319282.700884953</v>
      </c>
      <c r="AJ217" s="27">
        <f t="shared" si="67"/>
        <v>2408851.9638623013</v>
      </c>
      <c r="AK217" s="28">
        <f t="shared" si="76"/>
        <v>0.11855004919821259</v>
      </c>
      <c r="AL217" s="24"/>
      <c r="AM217" s="24"/>
      <c r="AN217" s="24"/>
      <c r="AO217" s="24"/>
      <c r="AP217" s="28" t="str">
        <f t="shared" si="77"/>
        <v>20244</v>
      </c>
      <c r="AQ217" s="28" t="str">
        <f t="shared" si="78"/>
        <v>20244JPY</v>
      </c>
      <c r="AR217" s="206" t="str">
        <f t="shared" si="79"/>
        <v>YAMAHA_Mounter</v>
      </c>
      <c r="AS217" s="22">
        <f t="shared" si="80"/>
        <v>1</v>
      </c>
      <c r="AT217" s="24" t="str">
        <f t="shared" si="81"/>
        <v>0-3 months</v>
      </c>
      <c r="AU217" s="22" t="s">
        <v>3745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6"/>
        <v>0.141215124388995</v>
      </c>
      <c r="AL218" s="17"/>
      <c r="AM218" s="17"/>
      <c r="AN218" s="17"/>
      <c r="AO218" s="17"/>
      <c r="AP218" s="28" t="str">
        <f t="shared" si="77"/>
        <v>20215</v>
      </c>
      <c r="AQ218" s="28" t="str">
        <f t="shared" si="78"/>
        <v>20215RMB</v>
      </c>
      <c r="AR218" s="206" t="str">
        <f t="shared" si="79"/>
        <v>YAMAHA_Mounter</v>
      </c>
      <c r="AS218" s="22">
        <f t="shared" si="80"/>
        <v>1</v>
      </c>
      <c r="AT218" s="24" t="str">
        <f t="shared" si="81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6"/>
        <v>0.141215124388995</v>
      </c>
      <c r="AL219" s="17"/>
      <c r="AM219" s="17"/>
      <c r="AN219" s="17"/>
      <c r="AO219" s="17"/>
      <c r="AP219" s="28" t="str">
        <f t="shared" si="77"/>
        <v>20215</v>
      </c>
      <c r="AQ219" s="28" t="str">
        <f t="shared" si="78"/>
        <v>20215RMB</v>
      </c>
      <c r="AR219" s="206" t="str">
        <f t="shared" si="79"/>
        <v>YAMAHA_Mounter</v>
      </c>
      <c r="AS219" s="22">
        <f t="shared" si="80"/>
        <v>1</v>
      </c>
      <c r="AT219" s="24" t="str">
        <f t="shared" si="81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6"/>
        <v>0.14353007902118958</v>
      </c>
      <c r="AL220" s="17"/>
      <c r="AM220" s="17"/>
      <c r="AN220" s="17"/>
      <c r="AO220" s="17"/>
      <c r="AP220" s="28" t="str">
        <f t="shared" si="77"/>
        <v>20228</v>
      </c>
      <c r="AQ220" s="28" t="str">
        <f t="shared" si="78"/>
        <v>20228RMB</v>
      </c>
      <c r="AR220" s="206" t="str">
        <f t="shared" si="79"/>
        <v>YAMAHA_Mounter</v>
      </c>
      <c r="AS220" s="22">
        <f t="shared" si="80"/>
        <v>2</v>
      </c>
      <c r="AT220" s="24" t="str">
        <f t="shared" si="81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6"/>
        <v>0.11947637120066472</v>
      </c>
      <c r="AL221" s="24"/>
      <c r="AM221" s="24"/>
      <c r="AN221" s="24"/>
      <c r="AO221" s="24"/>
      <c r="AP221" s="28" t="str">
        <f t="shared" si="77"/>
        <v>202312</v>
      </c>
      <c r="AQ221" s="28" t="str">
        <f t="shared" si="78"/>
        <v>202312RMB</v>
      </c>
      <c r="AR221" s="206" t="str">
        <f t="shared" si="79"/>
        <v>YAMAHA_Mounter</v>
      </c>
      <c r="AS221" s="22">
        <f t="shared" si="80"/>
        <v>0</v>
      </c>
      <c r="AT221" s="24" t="str">
        <f t="shared" si="81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21241742.157380536</v>
      </c>
      <c r="AJ222" s="27">
        <f t="shared" si="67"/>
        <v>2987081.1613773629</v>
      </c>
      <c r="AK222" s="28">
        <f t="shared" si="76"/>
        <v>0.14062317201884914</v>
      </c>
      <c r="AL222" s="24"/>
      <c r="AM222" s="24"/>
      <c r="AN222" s="24"/>
      <c r="AO222" s="24"/>
      <c r="AP222" s="28" t="str">
        <f t="shared" si="77"/>
        <v>20243</v>
      </c>
      <c r="AQ222" s="28" t="str">
        <f t="shared" si="78"/>
        <v>20243RMB</v>
      </c>
      <c r="AR222" s="206" t="str">
        <f t="shared" si="79"/>
        <v>YAMAHA_Non_Mounter</v>
      </c>
      <c r="AS222" s="22">
        <f t="shared" si="80"/>
        <v>0</v>
      </c>
      <c r="AT222" s="24" t="str">
        <f t="shared" si="81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66"/>
        <v>20319282.700884953</v>
      </c>
      <c r="AJ223" s="27">
        <f t="shared" si="67"/>
        <v>2408851.9638623013</v>
      </c>
      <c r="AK223" s="28">
        <f t="shared" si="76"/>
        <v>0.11855004919821259</v>
      </c>
      <c r="AL223" s="24"/>
      <c r="AM223" s="24"/>
      <c r="AN223" s="24"/>
      <c r="AO223" s="24"/>
      <c r="AP223" s="28" t="str">
        <f t="shared" si="77"/>
        <v>20244</v>
      </c>
      <c r="AQ223" s="28" t="str">
        <f t="shared" si="78"/>
        <v>20244JPY</v>
      </c>
      <c r="AR223" s="206" t="str">
        <f t="shared" si="79"/>
        <v>YAMAHA_Mounter</v>
      </c>
      <c r="AS223" s="22">
        <f t="shared" si="80"/>
        <v>1</v>
      </c>
      <c r="AT223" s="24" t="str">
        <f t="shared" si="81"/>
        <v>0-3 months</v>
      </c>
      <c r="AU223" s="22" t="s">
        <v>3745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6"/>
        <v>0.10468355339185161</v>
      </c>
      <c r="AL224" s="17"/>
      <c r="AM224" s="17"/>
      <c r="AN224" s="17"/>
      <c r="AO224" s="17"/>
      <c r="AP224" s="28" t="str">
        <f t="shared" si="77"/>
        <v>20198</v>
      </c>
      <c r="AQ224" s="28" t="str">
        <f t="shared" si="78"/>
        <v>20198RMB</v>
      </c>
      <c r="AR224" s="206" t="str">
        <f t="shared" si="79"/>
        <v>YAMAHA_Mounter</v>
      </c>
      <c r="AS224" s="22">
        <f t="shared" si="80"/>
        <v>0</v>
      </c>
      <c r="AT224" s="24" t="str">
        <f t="shared" si="81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6"/>
        <v>0.1737753782153679</v>
      </c>
      <c r="AL225" s="17"/>
      <c r="AM225" s="17"/>
      <c r="AN225" s="17"/>
      <c r="AO225" s="17"/>
      <c r="AP225" s="28" t="str">
        <f t="shared" si="77"/>
        <v>202210</v>
      </c>
      <c r="AQ225" s="28" t="str">
        <f t="shared" si="78"/>
        <v>202210RMB</v>
      </c>
      <c r="AR225" s="206" t="str">
        <f t="shared" si="79"/>
        <v>HELLER</v>
      </c>
      <c r="AS225" s="22">
        <f t="shared" si="80"/>
        <v>5</v>
      </c>
      <c r="AT225" s="24" t="str">
        <f t="shared" si="81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6"/>
        <v>0.1413884065477731</v>
      </c>
      <c r="AL226" s="17"/>
      <c r="AM226" s="17"/>
      <c r="AN226" s="17"/>
      <c r="AO226" s="17"/>
      <c r="AP226" s="28" t="str">
        <f t="shared" si="77"/>
        <v>20236</v>
      </c>
      <c r="AQ226" s="28" t="str">
        <f t="shared" si="78"/>
        <v>20236RMB</v>
      </c>
      <c r="AR226" s="206" t="str">
        <f t="shared" si="79"/>
        <v>YAMAHA_Mounter</v>
      </c>
      <c r="AS226" s="22">
        <f t="shared" si="80"/>
        <v>2</v>
      </c>
      <c r="AT226" s="24" t="str">
        <f t="shared" si="81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6"/>
        <v>0.1413884065477731</v>
      </c>
      <c r="AL227" s="17"/>
      <c r="AM227" s="17"/>
      <c r="AN227" s="17"/>
      <c r="AO227" s="17"/>
      <c r="AP227" s="28" t="str">
        <f t="shared" si="77"/>
        <v>20236</v>
      </c>
      <c r="AQ227" s="28" t="str">
        <f t="shared" si="78"/>
        <v>20236RMB</v>
      </c>
      <c r="AR227" s="206" t="str">
        <f t="shared" si="79"/>
        <v>YAMAHA_Mounter</v>
      </c>
      <c r="AS227" s="22">
        <f t="shared" si="80"/>
        <v>2</v>
      </c>
      <c r="AT227" s="24" t="str">
        <f t="shared" si="81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6"/>
        <v>0.12817220069617921</v>
      </c>
      <c r="AL228" s="17"/>
      <c r="AM228" s="17"/>
      <c r="AN228" s="17"/>
      <c r="AO228" s="17"/>
      <c r="AP228" s="28" t="str">
        <f t="shared" si="77"/>
        <v>20188</v>
      </c>
      <c r="AQ228" s="28" t="str">
        <f t="shared" si="78"/>
        <v>20188RMB</v>
      </c>
      <c r="AR228" s="206" t="str">
        <f t="shared" si="79"/>
        <v>HELLER</v>
      </c>
      <c r="AS228" s="22">
        <f t="shared" si="80"/>
        <v>2</v>
      </c>
      <c r="AT228" s="24" t="str">
        <f t="shared" si="81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6"/>
        <v>0.12327425538313459</v>
      </c>
      <c r="AL229" s="17"/>
      <c r="AM229" s="17"/>
      <c r="AN229" s="17"/>
      <c r="AO229" s="17"/>
      <c r="AP229" s="28" t="str">
        <f t="shared" si="77"/>
        <v>20237</v>
      </c>
      <c r="AQ229" s="28" t="str">
        <f t="shared" si="78"/>
        <v>20237RMB</v>
      </c>
      <c r="AR229" s="206" t="str">
        <f t="shared" si="79"/>
        <v>SOLDERSTAR</v>
      </c>
      <c r="AS229" s="22">
        <f t="shared" si="80"/>
        <v>2</v>
      </c>
      <c r="AT229" s="24" t="str">
        <f t="shared" si="81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4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6"/>
        <v>0.12565028406083667</v>
      </c>
      <c r="AL230" s="17"/>
      <c r="AM230" s="17"/>
      <c r="AN230" s="17"/>
      <c r="AO230" s="17"/>
      <c r="AP230" s="28" t="str">
        <f t="shared" si="77"/>
        <v>20213</v>
      </c>
      <c r="AQ230" s="28" t="str">
        <f t="shared" si="78"/>
        <v>20213RMB</v>
      </c>
      <c r="AR230" s="206" t="str">
        <f t="shared" si="79"/>
        <v>YAMAHA_Mounter</v>
      </c>
      <c r="AS230" s="22">
        <f t="shared" si="80"/>
        <v>2</v>
      </c>
      <c r="AT230" s="24" t="str">
        <f t="shared" si="81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4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6"/>
        <v>0.1677639900359808</v>
      </c>
      <c r="AL231" s="17"/>
      <c r="AM231" s="17"/>
      <c r="AN231" s="17"/>
      <c r="AO231" s="17"/>
      <c r="AP231" s="28" t="str">
        <f t="shared" si="77"/>
        <v>20235</v>
      </c>
      <c r="AQ231" s="28" t="str">
        <f t="shared" si="78"/>
        <v>20235RMB</v>
      </c>
      <c r="AR231" s="206" t="str">
        <f t="shared" si="79"/>
        <v>YAMAHA_Mounter</v>
      </c>
      <c r="AS231" s="22">
        <f t="shared" si="80"/>
        <v>2</v>
      </c>
      <c r="AT231" s="24" t="str">
        <f t="shared" si="81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4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6"/>
        <v>0.1677639900359808</v>
      </c>
      <c r="AL232" s="17"/>
      <c r="AM232" s="17"/>
      <c r="AN232" s="17"/>
      <c r="AO232" s="17"/>
      <c r="AP232" s="28" t="str">
        <f t="shared" si="77"/>
        <v>20235</v>
      </c>
      <c r="AQ232" s="28" t="str">
        <f t="shared" si="78"/>
        <v>20235RMB</v>
      </c>
      <c r="AR232" s="206" t="str">
        <f t="shared" si="79"/>
        <v>YAMAHA_Mounter</v>
      </c>
      <c r="AS232" s="22">
        <f t="shared" si="80"/>
        <v>2</v>
      </c>
      <c r="AT232" s="24" t="str">
        <f t="shared" si="81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4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6"/>
        <v>0.1677639900359808</v>
      </c>
      <c r="AL233" s="17"/>
      <c r="AM233" s="17"/>
      <c r="AN233" s="17"/>
      <c r="AO233" s="17"/>
      <c r="AP233" s="28" t="str">
        <f t="shared" si="77"/>
        <v>20235</v>
      </c>
      <c r="AQ233" s="28" t="str">
        <f t="shared" si="78"/>
        <v>20235RMB</v>
      </c>
      <c r="AR233" s="206" t="str">
        <f t="shared" si="79"/>
        <v>YAMAHA_Mounter</v>
      </c>
      <c r="AS233" s="22">
        <f t="shared" si="80"/>
        <v>2</v>
      </c>
      <c r="AT233" s="24" t="str">
        <f t="shared" si="81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4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6"/>
        <v>0.1677639900359808</v>
      </c>
      <c r="AL234" s="17"/>
      <c r="AM234" s="17"/>
      <c r="AN234" s="17"/>
      <c r="AO234" s="17"/>
      <c r="AP234" s="28" t="str">
        <f t="shared" si="77"/>
        <v>20235</v>
      </c>
      <c r="AQ234" s="28" t="str">
        <f t="shared" si="78"/>
        <v>20235RMB</v>
      </c>
      <c r="AR234" s="206" t="str">
        <f t="shared" si="79"/>
        <v>YAMAHA_Mounter</v>
      </c>
      <c r="AS234" s="22">
        <f t="shared" si="80"/>
        <v>2</v>
      </c>
      <c r="AT234" s="24" t="str">
        <f t="shared" si="81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4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6"/>
        <v>0.14030125523967318</v>
      </c>
      <c r="AL235" s="17"/>
      <c r="AM235" s="17"/>
      <c r="AN235" s="17"/>
      <c r="AO235" s="17"/>
      <c r="AP235" s="28" t="str">
        <f t="shared" si="77"/>
        <v>20233</v>
      </c>
      <c r="AQ235" s="28" t="str">
        <f t="shared" si="78"/>
        <v>20233RMB</v>
      </c>
      <c r="AR235" s="206" t="str">
        <f t="shared" si="79"/>
        <v>YAMAHA_Mounter</v>
      </c>
      <c r="AS235" s="22">
        <f t="shared" si="80"/>
        <v>3</v>
      </c>
      <c r="AT235" s="24" t="str">
        <f t="shared" si="81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4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6"/>
        <v>0.14030125523967318</v>
      </c>
      <c r="AL236" s="17"/>
      <c r="AM236" s="17"/>
      <c r="AN236" s="17"/>
      <c r="AO236" s="17"/>
      <c r="AP236" s="28" t="str">
        <f t="shared" si="77"/>
        <v>20233</v>
      </c>
      <c r="AQ236" s="28" t="str">
        <f t="shared" si="78"/>
        <v>20233RMB</v>
      </c>
      <c r="AR236" s="206" t="str">
        <f t="shared" si="79"/>
        <v>YAMAHA_Mounter</v>
      </c>
      <c r="AS236" s="22">
        <f t="shared" si="80"/>
        <v>3</v>
      </c>
      <c r="AT236" s="24" t="str">
        <f t="shared" si="81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4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6"/>
        <v>0.12968149510667554</v>
      </c>
      <c r="AL237" s="17"/>
      <c r="AM237" s="17"/>
      <c r="AN237" s="17"/>
      <c r="AO237" s="17"/>
      <c r="AP237" s="28" t="str">
        <f t="shared" si="77"/>
        <v>20221</v>
      </c>
      <c r="AQ237" s="28" t="str">
        <f t="shared" si="78"/>
        <v>20221RMB</v>
      </c>
      <c r="AR237" s="206" t="str">
        <f t="shared" si="79"/>
        <v>HELLER</v>
      </c>
      <c r="AS237" s="22">
        <f t="shared" si="80"/>
        <v>2</v>
      </c>
      <c r="AT237" s="24" t="str">
        <f t="shared" si="81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6"/>
        <v>0.12637545201985867</v>
      </c>
      <c r="AL238" s="17"/>
      <c r="AM238" s="17"/>
      <c r="AN238" s="17"/>
      <c r="AO238" s="17"/>
      <c r="AP238" s="28" t="str">
        <f t="shared" si="77"/>
        <v>20189</v>
      </c>
      <c r="AQ238" s="28" t="str">
        <f t="shared" si="78"/>
        <v>20189JPY</v>
      </c>
      <c r="AR238" s="206" t="str">
        <f t="shared" si="79"/>
        <v>YAMAHA_Mounter</v>
      </c>
      <c r="AS238" s="22">
        <f t="shared" si="80"/>
        <v>5</v>
      </c>
      <c r="AT238" s="24" t="str">
        <f t="shared" si="81"/>
        <v>4-6 months</v>
      </c>
      <c r="AU238" s="22" t="s">
        <v>3745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6"/>
        <v>0.12637545201985867</v>
      </c>
      <c r="AL239" s="17"/>
      <c r="AM239" s="17"/>
      <c r="AN239" s="17"/>
      <c r="AO239" s="17"/>
      <c r="AP239" s="28" t="str">
        <f t="shared" si="77"/>
        <v>20189</v>
      </c>
      <c r="AQ239" s="28" t="str">
        <f t="shared" si="78"/>
        <v>20189JPY</v>
      </c>
      <c r="AR239" s="206" t="str">
        <f t="shared" si="79"/>
        <v>YAMAHA_Mounter</v>
      </c>
      <c r="AS239" s="22">
        <f t="shared" si="80"/>
        <v>5</v>
      </c>
      <c r="AT239" s="24" t="str">
        <f t="shared" si="81"/>
        <v>4-6 months</v>
      </c>
      <c r="AU239" s="22" t="s">
        <v>3745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499582152.5142017</v>
      </c>
      <c r="AJ240" s="19">
        <f t="shared" si="67"/>
        <v>59520528.679470733</v>
      </c>
      <c r="AK240" s="20">
        <f t="shared" si="76"/>
        <v>0.11914062257814291</v>
      </c>
      <c r="AL240" s="17"/>
      <c r="AM240" s="17"/>
      <c r="AN240" s="17"/>
      <c r="AO240" s="17"/>
      <c r="AP240" s="28" t="str">
        <f t="shared" si="77"/>
        <v>CancelCancel</v>
      </c>
      <c r="AQ240" s="28" t="str">
        <f t="shared" si="78"/>
        <v>CancelCancelJPY</v>
      </c>
      <c r="AR240" s="206" t="str">
        <f t="shared" si="79"/>
        <v>YAMAHA_Mounter</v>
      </c>
      <c r="AS240" s="22" t="str">
        <f t="shared" si="80"/>
        <v/>
      </c>
      <c r="AT240" s="24" t="str">
        <f t="shared" si="81"/>
        <v/>
      </c>
      <c r="AU240" s="22" t="s">
        <v>3745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499582152.5142017</v>
      </c>
      <c r="AJ241" s="19">
        <f t="shared" si="67"/>
        <v>59520528.679470733</v>
      </c>
      <c r="AK241" s="20">
        <f t="shared" si="76"/>
        <v>0.11914062257814291</v>
      </c>
      <c r="AL241" s="17"/>
      <c r="AM241" s="17"/>
      <c r="AN241" s="17"/>
      <c r="AO241" s="17"/>
      <c r="AP241" s="28" t="str">
        <f t="shared" si="77"/>
        <v>CancelCancel</v>
      </c>
      <c r="AQ241" s="28" t="str">
        <f t="shared" si="78"/>
        <v>CancelCancelJPY</v>
      </c>
      <c r="AR241" s="206" t="str">
        <f t="shared" si="79"/>
        <v>YAMAHA_Mounter</v>
      </c>
      <c r="AS241" s="22" t="str">
        <f t="shared" si="80"/>
        <v/>
      </c>
      <c r="AT241" s="24" t="str">
        <f t="shared" si="81"/>
        <v/>
      </c>
      <c r="AU241" s="22" t="s">
        <v>3745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6"/>
        <v>0.1214858095774925</v>
      </c>
      <c r="AL242" s="17"/>
      <c r="AM242" s="17"/>
      <c r="AN242" s="17"/>
      <c r="AO242" s="17"/>
      <c r="AP242" s="28" t="str">
        <f t="shared" si="77"/>
        <v>202012</v>
      </c>
      <c r="AQ242" s="28" t="str">
        <f t="shared" si="78"/>
        <v>202012RMB</v>
      </c>
      <c r="AR242" s="206" t="str">
        <f t="shared" si="79"/>
        <v>YAMAHA_Mounter</v>
      </c>
      <c r="AS242" s="22">
        <f t="shared" si="80"/>
        <v>2</v>
      </c>
      <c r="AT242" s="24" t="str">
        <f t="shared" si="81"/>
        <v>0-3 months</v>
      </c>
      <c r="AU242" s="22" t="s">
        <v>3744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6"/>
        <v>0.1214858095774925</v>
      </c>
      <c r="AL243" s="17"/>
      <c r="AM243" s="17"/>
      <c r="AN243" s="17"/>
      <c r="AO243" s="17"/>
      <c r="AP243" s="28" t="str">
        <f t="shared" si="77"/>
        <v>202012</v>
      </c>
      <c r="AQ243" s="28" t="str">
        <f t="shared" si="78"/>
        <v>202012RMB</v>
      </c>
      <c r="AR243" s="206" t="str">
        <f t="shared" si="79"/>
        <v>YAMAHA_Mounter</v>
      </c>
      <c r="AS243" s="22">
        <f t="shared" si="80"/>
        <v>2</v>
      </c>
      <c r="AT243" s="24" t="str">
        <f t="shared" si="81"/>
        <v>0-3 months</v>
      </c>
      <c r="AU243" s="22" t="s">
        <v>3744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6"/>
        <v>0.1214858095774925</v>
      </c>
      <c r="AL244" s="17"/>
      <c r="AM244" s="17"/>
      <c r="AN244" s="17"/>
      <c r="AO244" s="17"/>
      <c r="AP244" s="28" t="str">
        <f t="shared" si="77"/>
        <v>202012</v>
      </c>
      <c r="AQ244" s="28" t="str">
        <f t="shared" si="78"/>
        <v>202012RMB</v>
      </c>
      <c r="AR244" s="206" t="str">
        <f t="shared" si="79"/>
        <v>YAMAHA_Mounter</v>
      </c>
      <c r="AS244" s="22">
        <f t="shared" si="80"/>
        <v>2</v>
      </c>
      <c r="AT244" s="24" t="str">
        <f t="shared" si="81"/>
        <v>0-3 months</v>
      </c>
      <c r="AU244" s="22" t="s">
        <v>3744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499582152.5142017</v>
      </c>
      <c r="AJ245" s="19">
        <f t="shared" si="67"/>
        <v>59520528.679470733</v>
      </c>
      <c r="AK245" s="20">
        <f t="shared" si="76"/>
        <v>0.11914062257814291</v>
      </c>
      <c r="AL245" s="17"/>
      <c r="AM245" s="17"/>
      <c r="AN245" s="17"/>
      <c r="AO245" s="17"/>
      <c r="AP245" s="28" t="str">
        <f t="shared" si="77"/>
        <v>CancelCancel</v>
      </c>
      <c r="AQ245" s="28" t="str">
        <f t="shared" si="78"/>
        <v>CancelCancelRMB</v>
      </c>
      <c r="AR245" s="206" t="str">
        <f t="shared" si="79"/>
        <v>YAMAHA_Mounter</v>
      </c>
      <c r="AS245" s="22" t="str">
        <f t="shared" si="80"/>
        <v/>
      </c>
      <c r="AT245" s="24" t="str">
        <f t="shared" si="81"/>
        <v/>
      </c>
      <c r="AU245" s="22" t="s">
        <v>3744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499582152.5142017</v>
      </c>
      <c r="AJ246" s="19">
        <f t="shared" si="67"/>
        <v>59520528.679470733</v>
      </c>
      <c r="AK246" s="20">
        <f t="shared" si="76"/>
        <v>0.11914062257814291</v>
      </c>
      <c r="AL246" s="17"/>
      <c r="AM246" s="17"/>
      <c r="AN246" s="17"/>
      <c r="AO246" s="17"/>
      <c r="AP246" s="28" t="str">
        <f t="shared" si="77"/>
        <v>CancelCancel</v>
      </c>
      <c r="AQ246" s="28" t="str">
        <f t="shared" si="78"/>
        <v>CancelCancelRMB</v>
      </c>
      <c r="AR246" s="206" t="str">
        <f t="shared" si="79"/>
        <v>YAMAHA_Mounter</v>
      </c>
      <c r="AS246" s="22" t="str">
        <f t="shared" si="80"/>
        <v/>
      </c>
      <c r="AT246" s="24" t="str">
        <f t="shared" si="81"/>
        <v/>
      </c>
      <c r="AU246" s="22" t="s">
        <v>3744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6"/>
        <v>0.13069290818580451</v>
      </c>
      <c r="AL247" s="17"/>
      <c r="AM247" s="17"/>
      <c r="AN247" s="17"/>
      <c r="AO247" s="17"/>
      <c r="AP247" s="28" t="str">
        <f t="shared" si="77"/>
        <v>20192</v>
      </c>
      <c r="AQ247" s="28" t="str">
        <f t="shared" si="78"/>
        <v>20192JPY</v>
      </c>
      <c r="AR247" s="206" t="str">
        <f t="shared" si="79"/>
        <v>YAMAHA_Mounter</v>
      </c>
      <c r="AS247" s="22">
        <f t="shared" si="80"/>
        <v>8</v>
      </c>
      <c r="AT247" s="24" t="str">
        <f t="shared" si="81"/>
        <v>&gt; 6 months</v>
      </c>
      <c r="AU247" s="22" t="s">
        <v>3745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6"/>
        <v>0.13679824337660537</v>
      </c>
      <c r="AL248" s="17"/>
      <c r="AM248" s="17"/>
      <c r="AN248" s="17"/>
      <c r="AO248" s="17"/>
      <c r="AP248" s="28" t="str">
        <f t="shared" si="77"/>
        <v>20216</v>
      </c>
      <c r="AQ248" s="28" t="str">
        <f t="shared" si="78"/>
        <v>20216JPY</v>
      </c>
      <c r="AR248" s="206" t="str">
        <f t="shared" si="79"/>
        <v>YAMAHA_Mounter</v>
      </c>
      <c r="AS248" s="22">
        <f t="shared" si="80"/>
        <v>2</v>
      </c>
      <c r="AT248" s="24" t="str">
        <f t="shared" si="81"/>
        <v>0-3 months</v>
      </c>
      <c r="AU248" s="22" t="s">
        <v>3745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6"/>
        <v>0.14045056209911663</v>
      </c>
      <c r="AL249" s="17"/>
      <c r="AM249" s="17"/>
      <c r="AN249" s="17"/>
      <c r="AO249" s="17"/>
      <c r="AP249" s="28" t="str">
        <f t="shared" si="77"/>
        <v>20219</v>
      </c>
      <c r="AQ249" s="28" t="str">
        <f t="shared" si="78"/>
        <v>20219RMB</v>
      </c>
      <c r="AR249" s="206" t="str">
        <f t="shared" si="79"/>
        <v>SOLDERSTAR</v>
      </c>
      <c r="AS249" s="22">
        <f t="shared" si="80"/>
        <v>0</v>
      </c>
      <c r="AT249" s="24" t="str">
        <f t="shared" si="81"/>
        <v>0-3 months</v>
      </c>
      <c r="AU249" s="22" t="s">
        <v>3744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30033846.584070798</v>
      </c>
      <c r="AJ250" s="19">
        <f t="shared" si="67"/>
        <v>3534936.4750884958</v>
      </c>
      <c r="AK250" s="20">
        <f t="shared" si="76"/>
        <v>0.11769842618039268</v>
      </c>
      <c r="AL250" s="17"/>
      <c r="AM250" s="17"/>
      <c r="AN250" s="17"/>
      <c r="AO250" s="17"/>
      <c r="AP250" s="28" t="str">
        <f t="shared" si="77"/>
        <v>TBATBA</v>
      </c>
      <c r="AQ250" s="28" t="str">
        <f t="shared" si="78"/>
        <v>TBATBARMB</v>
      </c>
      <c r="AR250" s="206" t="str">
        <f t="shared" si="79"/>
        <v>YAMAHA_Mounter</v>
      </c>
      <c r="AS250" s="22" t="str">
        <f t="shared" si="80"/>
        <v/>
      </c>
      <c r="AT250" s="24" t="str">
        <f t="shared" si="81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6"/>
        <v>0.15670322321692506</v>
      </c>
      <c r="AL251" s="17"/>
      <c r="AM251" s="17"/>
      <c r="AN251" s="17"/>
      <c r="AO251" s="17"/>
      <c r="AP251" s="28" t="str">
        <f t="shared" si="77"/>
        <v>20218</v>
      </c>
      <c r="AQ251" s="28" t="str">
        <f t="shared" si="78"/>
        <v>20218RMB</v>
      </c>
      <c r="AR251" s="206" t="str">
        <f t="shared" si="79"/>
        <v>YAMAHA_Mounter</v>
      </c>
      <c r="AS251" s="22">
        <f t="shared" si="80"/>
        <v>3</v>
      </c>
      <c r="AT251" s="24" t="str">
        <f t="shared" si="81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6"/>
        <v>0.15670322321692506</v>
      </c>
      <c r="AL252" s="17"/>
      <c r="AM252" s="17"/>
      <c r="AN252" s="17"/>
      <c r="AO252" s="17"/>
      <c r="AP252" s="28" t="str">
        <f t="shared" si="77"/>
        <v>20218</v>
      </c>
      <c r="AQ252" s="28" t="str">
        <f t="shared" si="78"/>
        <v>20218RMB</v>
      </c>
      <c r="AR252" s="206" t="str">
        <f t="shared" si="79"/>
        <v>YAMAHA_Mounter</v>
      </c>
      <c r="AS252" s="22">
        <f t="shared" si="80"/>
        <v>3</v>
      </c>
      <c r="AT252" s="24" t="str">
        <f t="shared" si="81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6"/>
        <v>0.15670322321692506</v>
      </c>
      <c r="AL253" s="17"/>
      <c r="AM253" s="17"/>
      <c r="AN253" s="17"/>
      <c r="AO253" s="17"/>
      <c r="AP253" s="28" t="str">
        <f t="shared" si="77"/>
        <v>20218</v>
      </c>
      <c r="AQ253" s="28" t="str">
        <f t="shared" si="78"/>
        <v>20218RMB</v>
      </c>
      <c r="AR253" s="206" t="str">
        <f t="shared" si="79"/>
        <v>YAMAHA_Mounter</v>
      </c>
      <c r="AS253" s="22">
        <f t="shared" si="80"/>
        <v>3</v>
      </c>
      <c r="AT253" s="24" t="str">
        <f t="shared" si="81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6"/>
        <v>0.12581216063459488</v>
      </c>
      <c r="AL254" s="17"/>
      <c r="AM254" s="17"/>
      <c r="AN254" s="17"/>
      <c r="AO254" s="17"/>
      <c r="AP254" s="28" t="str">
        <f t="shared" si="77"/>
        <v>20209</v>
      </c>
      <c r="AQ254" s="28" t="str">
        <f t="shared" si="78"/>
        <v>20209RMB</v>
      </c>
      <c r="AR254" s="206" t="str">
        <f t="shared" si="79"/>
        <v>YAMAHA_Mounter</v>
      </c>
      <c r="AS254" s="22">
        <f t="shared" si="80"/>
        <v>1</v>
      </c>
      <c r="AT254" s="24" t="str">
        <f t="shared" si="81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6"/>
        <v>0.13676937682988152</v>
      </c>
      <c r="AL255" s="17"/>
      <c r="AM255" s="17"/>
      <c r="AN255" s="17"/>
      <c r="AO255" s="17"/>
      <c r="AP255" s="28" t="str">
        <f t="shared" si="77"/>
        <v>20204</v>
      </c>
      <c r="AQ255" s="28" t="str">
        <f t="shared" si="78"/>
        <v>20204RMB</v>
      </c>
      <c r="AR255" s="206" t="str">
        <f t="shared" si="79"/>
        <v>YAMAHA_Mounter</v>
      </c>
      <c r="AS255" s="22">
        <f t="shared" si="80"/>
        <v>0</v>
      </c>
      <c r="AT255" s="24" t="str">
        <f t="shared" si="81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6"/>
        <v>0.13676937682988152</v>
      </c>
      <c r="AL256" s="17"/>
      <c r="AM256" s="17"/>
      <c r="AN256" s="17"/>
      <c r="AO256" s="17"/>
      <c r="AP256" s="28" t="str">
        <f t="shared" si="77"/>
        <v>20204</v>
      </c>
      <c r="AQ256" s="28" t="str">
        <f t="shared" si="78"/>
        <v>20204RMB</v>
      </c>
      <c r="AR256" s="206" t="str">
        <f t="shared" si="79"/>
        <v>YAMAHA_Mounter</v>
      </c>
      <c r="AS256" s="22">
        <f t="shared" si="80"/>
        <v>0</v>
      </c>
      <c r="AT256" s="24" t="str">
        <f t="shared" si="81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5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6"/>
        <v>0.1517070412191521</v>
      </c>
      <c r="AL257" s="17"/>
      <c r="AM257" s="17"/>
      <c r="AN257" s="17"/>
      <c r="AO257" s="17"/>
      <c r="AP257" s="28" t="str">
        <f t="shared" si="77"/>
        <v>202112</v>
      </c>
      <c r="AQ257" s="28" t="str">
        <f t="shared" si="78"/>
        <v>202112RMB</v>
      </c>
      <c r="AR257" s="206" t="str">
        <f t="shared" si="79"/>
        <v>YAMAHA_Non_Mounter</v>
      </c>
      <c r="AS257" s="22">
        <f t="shared" si="80"/>
        <v>6</v>
      </c>
      <c r="AT257" s="24" t="str">
        <f t="shared" si="81"/>
        <v>4-6 months</v>
      </c>
      <c r="AU257" s="22" t="s">
        <v>3751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5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6"/>
        <v>0.1517070412191521</v>
      </c>
      <c r="AL258" s="17"/>
      <c r="AM258" s="17"/>
      <c r="AN258" s="17"/>
      <c r="AO258" s="17"/>
      <c r="AP258" s="28" t="str">
        <f t="shared" si="77"/>
        <v>202112</v>
      </c>
      <c r="AQ258" s="28" t="str">
        <f t="shared" si="78"/>
        <v>202112RMB</v>
      </c>
      <c r="AR258" s="206" t="str">
        <f t="shared" si="79"/>
        <v>YAMAHA_Non_Mounter</v>
      </c>
      <c r="AS258" s="22">
        <f t="shared" si="80"/>
        <v>6</v>
      </c>
      <c r="AT258" s="24" t="str">
        <f t="shared" si="81"/>
        <v>4-6 months</v>
      </c>
      <c r="AU258" s="22" t="s">
        <v>3751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5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6"/>
        <v>0.13676937682988152</v>
      </c>
      <c r="AL259" s="17"/>
      <c r="AM259" s="17"/>
      <c r="AN259" s="17"/>
      <c r="AO259" s="17"/>
      <c r="AP259" s="28" t="str">
        <f t="shared" si="77"/>
        <v>20204</v>
      </c>
      <c r="AQ259" s="28" t="str">
        <f t="shared" si="78"/>
        <v>20204RMB</v>
      </c>
      <c r="AR259" s="206" t="str">
        <f t="shared" si="79"/>
        <v>HELLER</v>
      </c>
      <c r="AS259" s="22">
        <f t="shared" si="80"/>
        <v>1</v>
      </c>
      <c r="AT259" s="24" t="str">
        <f t="shared" si="81"/>
        <v>0-3 months</v>
      </c>
      <c r="AU259" s="22" t="s">
        <v>3744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5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6"/>
        <v>0.14842821680123736</v>
      </c>
      <c r="AL260" s="17"/>
      <c r="AM260" s="17"/>
      <c r="AN260" s="17"/>
      <c r="AO260" s="17"/>
      <c r="AP260" s="28" t="str">
        <f t="shared" si="77"/>
        <v>20214</v>
      </c>
      <c r="AQ260" s="28" t="str">
        <f t="shared" si="78"/>
        <v>20214RMB</v>
      </c>
      <c r="AR260" s="206" t="str">
        <f t="shared" si="79"/>
        <v>HELLER</v>
      </c>
      <c r="AS260" s="22">
        <f t="shared" si="80"/>
        <v>3</v>
      </c>
      <c r="AT260" s="24" t="str">
        <f t="shared" si="81"/>
        <v>0-3 months</v>
      </c>
      <c r="AU260" s="22" t="s">
        <v>3744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5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6"/>
        <v>0.1517070412191521</v>
      </c>
      <c r="AL261" s="17"/>
      <c r="AM261" s="17"/>
      <c r="AN261" s="17"/>
      <c r="AO261" s="17"/>
      <c r="AP261" s="28" t="str">
        <f t="shared" si="77"/>
        <v>202112</v>
      </c>
      <c r="AQ261" s="28" t="str">
        <f t="shared" si="78"/>
        <v>202112RMB</v>
      </c>
      <c r="AR261" s="206" t="str">
        <f t="shared" si="79"/>
        <v>HELLER</v>
      </c>
      <c r="AS261" s="22">
        <f t="shared" si="80"/>
        <v>1</v>
      </c>
      <c r="AT261" s="24" t="str">
        <f t="shared" si="81"/>
        <v>0-3 months</v>
      </c>
      <c r="AU261" s="22" t="s">
        <v>3744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5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6">IF(AJ262&gt;0,AJ262/AI262,"")</f>
        <v>0.1517070412191521</v>
      </c>
      <c r="AL262" s="17"/>
      <c r="AM262" s="17"/>
      <c r="AN262" s="17"/>
      <c r="AO262" s="17"/>
      <c r="AP262" s="28" t="str">
        <f t="shared" ref="AP262:AP325" si="97">IF(F262="","",F262&amp;G262)</f>
        <v>202112</v>
      </c>
      <c r="AQ262" s="28" t="str">
        <f t="shared" ref="AQ262:AQ325" si="98">IF(W262="","",F262&amp;G262&amp;W262)</f>
        <v>202112RMB</v>
      </c>
      <c r="AR262" s="206" t="str">
        <f t="shared" ref="AR262:AR325" si="99">IFERROR(IF(AND(M262="YAMAHA", R262="C28"), "YAMAHA_Non_Mounter", IF(AND(M262="YAMAHA", R262="C49"), "YAMAHA_Mounter", M262)),"")</f>
        <v>HELLER</v>
      </c>
      <c r="AS262" s="22">
        <f t="shared" ref="AS262:AS325" si="100">IFERROR(IF(OR(G262="TBA", G262=""), "", DATEDIF(DATE(B262, C262, 1), DATE(F262, G262, 1), "M")),"")</f>
        <v>1</v>
      </c>
      <c r="AT262" s="24" t="str">
        <f t="shared" ref="AT262:AT325" si="101">IF(ISNUMBER(AS262), IF(AS262&gt;=0, IF(AS262&lt;=3, "0-3 months", IF(AS262&lt;=6, "4-6 months", "&gt; 6 months"))), "")</f>
        <v>0-3 months</v>
      </c>
      <c r="AU262" s="22" t="s">
        <v>3744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5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6"/>
        <v>0.1494810557466355</v>
      </c>
      <c r="AL263" s="17"/>
      <c r="AM263" s="17"/>
      <c r="AN263" s="17"/>
      <c r="AO263" s="17"/>
      <c r="AP263" s="28" t="str">
        <f t="shared" si="97"/>
        <v>20217</v>
      </c>
      <c r="AQ263" s="28" t="str">
        <f t="shared" si="98"/>
        <v>20217JPY</v>
      </c>
      <c r="AR263" s="206" t="str">
        <f t="shared" si="99"/>
        <v>YAMAHA_Mounter</v>
      </c>
      <c r="AS263" s="22">
        <f t="shared" si="100"/>
        <v>2</v>
      </c>
      <c r="AT263" s="24" t="str">
        <f t="shared" si="101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5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6"/>
        <v>0.1494810557466355</v>
      </c>
      <c r="AL264" s="17"/>
      <c r="AM264" s="17"/>
      <c r="AN264" s="17"/>
      <c r="AO264" s="17"/>
      <c r="AP264" s="28" t="str">
        <f t="shared" si="97"/>
        <v>20217</v>
      </c>
      <c r="AQ264" s="28" t="str">
        <f t="shared" si="98"/>
        <v>20217JPY</v>
      </c>
      <c r="AR264" s="206" t="str">
        <f t="shared" si="99"/>
        <v>YAMAHA_Mounter</v>
      </c>
      <c r="AS264" s="22">
        <f t="shared" si="100"/>
        <v>2</v>
      </c>
      <c r="AT264" s="24" t="str">
        <f t="shared" si="101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5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6"/>
        <v>0.1494810557466355</v>
      </c>
      <c r="AL265" s="17"/>
      <c r="AM265" s="17"/>
      <c r="AN265" s="17"/>
      <c r="AO265" s="17"/>
      <c r="AP265" s="28" t="str">
        <f t="shared" si="97"/>
        <v>20217</v>
      </c>
      <c r="AQ265" s="28" t="str">
        <f t="shared" si="98"/>
        <v>20217JPY</v>
      </c>
      <c r="AR265" s="206" t="str">
        <f t="shared" si="99"/>
        <v>YAMAHA_Mounter</v>
      </c>
      <c r="AS265" s="22">
        <f t="shared" si="100"/>
        <v>2</v>
      </c>
      <c r="AT265" s="24" t="str">
        <f t="shared" si="101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5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6"/>
        <v>0.14586180158193709</v>
      </c>
      <c r="AL266" s="17"/>
      <c r="AM266" s="17"/>
      <c r="AN266" s="17"/>
      <c r="AO266" s="17"/>
      <c r="AP266" s="28" t="str">
        <f t="shared" si="97"/>
        <v>20225</v>
      </c>
      <c r="AQ266" s="28" t="str">
        <f t="shared" si="98"/>
        <v>20225JPY</v>
      </c>
      <c r="AR266" s="206" t="str">
        <f t="shared" si="99"/>
        <v>YAMAHA_Mounter</v>
      </c>
      <c r="AS266" s="22">
        <f t="shared" si="100"/>
        <v>12</v>
      </c>
      <c r="AT266" s="24" t="str">
        <f t="shared" si="101"/>
        <v>&gt; 6 months</v>
      </c>
      <c r="AU266" s="22" t="s">
        <v>3746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5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6"/>
        <v>0.14586180158193709</v>
      </c>
      <c r="AL267" s="17"/>
      <c r="AM267" s="17"/>
      <c r="AN267" s="17"/>
      <c r="AO267" s="17"/>
      <c r="AP267" s="28" t="str">
        <f t="shared" si="97"/>
        <v>20225</v>
      </c>
      <c r="AQ267" s="28" t="str">
        <f t="shared" si="98"/>
        <v>20225JPY</v>
      </c>
      <c r="AR267" s="206" t="str">
        <f t="shared" si="99"/>
        <v>YAMAHA_Mounter</v>
      </c>
      <c r="AS267" s="22">
        <f t="shared" si="100"/>
        <v>12</v>
      </c>
      <c r="AT267" s="24" t="str">
        <f t="shared" si="101"/>
        <v>&gt; 6 months</v>
      </c>
      <c r="AU267" s="22" t="s">
        <v>3746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5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6"/>
        <v>0.1214858095774925</v>
      </c>
      <c r="AL268" s="17"/>
      <c r="AM268" s="17"/>
      <c r="AN268" s="17"/>
      <c r="AO268" s="17"/>
      <c r="AP268" s="28" t="str">
        <f t="shared" si="97"/>
        <v>202012</v>
      </c>
      <c r="AQ268" s="28" t="str">
        <f t="shared" si="98"/>
        <v>202012RMB</v>
      </c>
      <c r="AR268" s="206" t="str">
        <f t="shared" si="99"/>
        <v>YAMAHA_Mounter</v>
      </c>
      <c r="AS268" s="22">
        <f t="shared" si="100"/>
        <v>2</v>
      </c>
      <c r="AT268" s="24" t="str">
        <f t="shared" si="101"/>
        <v>0-3 months</v>
      </c>
      <c r="AU268" s="22" t="s">
        <v>3744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5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6"/>
        <v>0.1214858095774925</v>
      </c>
      <c r="AL269" s="17"/>
      <c r="AM269" s="17"/>
      <c r="AN269" s="17"/>
      <c r="AO269" s="17"/>
      <c r="AP269" s="28" t="str">
        <f t="shared" si="97"/>
        <v>202012</v>
      </c>
      <c r="AQ269" s="28" t="str">
        <f t="shared" si="98"/>
        <v>202012RMB</v>
      </c>
      <c r="AR269" s="206" t="str">
        <f t="shared" si="99"/>
        <v>YAMAHA_Mounter</v>
      </c>
      <c r="AS269" s="22">
        <f t="shared" si="100"/>
        <v>2</v>
      </c>
      <c r="AT269" s="24" t="str">
        <f t="shared" si="101"/>
        <v>0-3 months</v>
      </c>
      <c r="AU269" s="22" t="s">
        <v>3744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86"/>
        <v>20319282.700884953</v>
      </c>
      <c r="AJ270" s="27">
        <f t="shared" si="87"/>
        <v>2408851.9638623013</v>
      </c>
      <c r="AK270" s="28">
        <f t="shared" si="96"/>
        <v>0.11855004919821259</v>
      </c>
      <c r="AL270" s="24"/>
      <c r="AM270" s="24"/>
      <c r="AN270" s="24"/>
      <c r="AO270" s="24"/>
      <c r="AP270" s="28" t="str">
        <f t="shared" si="97"/>
        <v>20244</v>
      </c>
      <c r="AQ270" s="28" t="str">
        <f t="shared" si="98"/>
        <v>20244JPY</v>
      </c>
      <c r="AR270" s="206" t="str">
        <f t="shared" si="99"/>
        <v>YAMAHA_Mounter</v>
      </c>
      <c r="AS270" s="22">
        <f t="shared" si="100"/>
        <v>1</v>
      </c>
      <c r="AT270" s="24" t="str">
        <f t="shared" si="101"/>
        <v>0-3 months</v>
      </c>
      <c r="AU270" s="22" t="s">
        <v>3745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20319282.700884953</v>
      </c>
      <c r="AJ271" s="27">
        <f t="shared" si="87"/>
        <v>2408851.9638623013</v>
      </c>
      <c r="AK271" s="28">
        <f t="shared" si="96"/>
        <v>0.11855004919821259</v>
      </c>
      <c r="AL271" s="24"/>
      <c r="AM271" s="24"/>
      <c r="AN271" s="24"/>
      <c r="AO271" s="24"/>
      <c r="AP271" s="28" t="str">
        <f t="shared" si="97"/>
        <v>20244</v>
      </c>
      <c r="AQ271" s="28" t="str">
        <f t="shared" si="98"/>
        <v>20244RMB</v>
      </c>
      <c r="AR271" s="206" t="str">
        <f t="shared" si="99"/>
        <v>YAMAHA_Mounter</v>
      </c>
      <c r="AS271" s="22">
        <f t="shared" si="100"/>
        <v>2</v>
      </c>
      <c r="AT271" s="24" t="str">
        <f t="shared" si="101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6"/>
        <v>0.13071226364205143</v>
      </c>
      <c r="AL272" s="17"/>
      <c r="AM272" s="17"/>
      <c r="AN272" s="17"/>
      <c r="AO272" s="17"/>
      <c r="AP272" s="28" t="str">
        <f t="shared" si="97"/>
        <v>20197</v>
      </c>
      <c r="AQ272" s="28" t="str">
        <f t="shared" si="98"/>
        <v>20197RMB</v>
      </c>
      <c r="AR272" s="206" t="str">
        <f t="shared" si="99"/>
        <v>YAMAHA_Mounter</v>
      </c>
      <c r="AS272" s="22">
        <f t="shared" si="100"/>
        <v>2</v>
      </c>
      <c r="AT272" s="24" t="str">
        <f t="shared" si="101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6"/>
        <v>0.12581216063459488</v>
      </c>
      <c r="AL273" s="17"/>
      <c r="AM273" s="17"/>
      <c r="AN273" s="17"/>
      <c r="AO273" s="17"/>
      <c r="AP273" s="28" t="str">
        <f t="shared" si="97"/>
        <v>20209</v>
      </c>
      <c r="AQ273" s="28" t="str">
        <f t="shared" si="98"/>
        <v>20209RMB</v>
      </c>
      <c r="AR273" s="206" t="str">
        <f t="shared" si="99"/>
        <v>YAMAHA_Mounter</v>
      </c>
      <c r="AS273" s="22">
        <f t="shared" si="100"/>
        <v>1</v>
      </c>
      <c r="AT273" s="24" t="str">
        <f t="shared" si="101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6"/>
        <v>0.13314606898547499</v>
      </c>
      <c r="AL274" s="17"/>
      <c r="AM274" s="17"/>
      <c r="AN274" s="17"/>
      <c r="AO274" s="17"/>
      <c r="AP274" s="28" t="str">
        <f t="shared" si="97"/>
        <v>20187</v>
      </c>
      <c r="AQ274" s="28" t="str">
        <f t="shared" si="98"/>
        <v>20187JPY</v>
      </c>
      <c r="AR274" s="206" t="str">
        <f t="shared" si="99"/>
        <v>YAMAHA_Mounter</v>
      </c>
      <c r="AS274" s="22">
        <f t="shared" si="100"/>
        <v>1</v>
      </c>
      <c r="AT274" s="24" t="str">
        <f t="shared" si="101"/>
        <v>0-3 months</v>
      </c>
      <c r="AU274" s="22" t="s">
        <v>3745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6"/>
        <v>0.1413884065477731</v>
      </c>
      <c r="AL275" s="17"/>
      <c r="AM275" s="17"/>
      <c r="AN275" s="17"/>
      <c r="AO275" s="17"/>
      <c r="AP275" s="28" t="str">
        <f t="shared" si="97"/>
        <v>20236</v>
      </c>
      <c r="AQ275" s="28" t="str">
        <f t="shared" si="98"/>
        <v>20236RMB</v>
      </c>
      <c r="AR275" s="206" t="str">
        <f t="shared" si="99"/>
        <v>YAMAHA_Mounter</v>
      </c>
      <c r="AS275" s="22">
        <f t="shared" si="100"/>
        <v>1</v>
      </c>
      <c r="AT275" s="24" t="str">
        <f t="shared" si="101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6"/>
        <v>0.1413884065477731</v>
      </c>
      <c r="AL276" s="17"/>
      <c r="AM276" s="17"/>
      <c r="AN276" s="17"/>
      <c r="AO276" s="17"/>
      <c r="AP276" s="28" t="str">
        <f t="shared" si="97"/>
        <v>20236</v>
      </c>
      <c r="AQ276" s="28" t="str">
        <f t="shared" si="98"/>
        <v>20236RMB</v>
      </c>
      <c r="AR276" s="206" t="str">
        <f t="shared" si="99"/>
        <v>YAMAHA_Mounter</v>
      </c>
      <c r="AS276" s="22">
        <f t="shared" si="100"/>
        <v>1</v>
      </c>
      <c r="AT276" s="24" t="str">
        <f t="shared" si="101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6"/>
        <v>0.12032530077218917</v>
      </c>
      <c r="AL277" s="17"/>
      <c r="AM277" s="17"/>
      <c r="AN277" s="17"/>
      <c r="AO277" s="17"/>
      <c r="AP277" s="28" t="str">
        <f t="shared" si="97"/>
        <v>20239</v>
      </c>
      <c r="AQ277" s="28" t="str">
        <f t="shared" si="98"/>
        <v>20239RMB</v>
      </c>
      <c r="AR277" s="206" t="str">
        <f t="shared" si="99"/>
        <v>YAMAHA_Mounter</v>
      </c>
      <c r="AS277" s="22">
        <f t="shared" si="100"/>
        <v>0</v>
      </c>
      <c r="AT277" s="24" t="str">
        <f t="shared" si="101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6"/>
        <v>0.14256432557804533</v>
      </c>
      <c r="AL278" s="17"/>
      <c r="AM278" s="17"/>
      <c r="AN278" s="17"/>
      <c r="AO278" s="17"/>
      <c r="AP278" s="28" t="str">
        <f t="shared" si="97"/>
        <v>20207</v>
      </c>
      <c r="AQ278" s="28" t="str">
        <f t="shared" si="98"/>
        <v>20207RMB</v>
      </c>
      <c r="AR278" s="206" t="str">
        <f t="shared" si="99"/>
        <v>HELLER</v>
      </c>
      <c r="AS278" s="22">
        <f t="shared" si="100"/>
        <v>2</v>
      </c>
      <c r="AT278" s="24" t="str">
        <f t="shared" si="101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6"/>
        <v>0.13203962224416277</v>
      </c>
      <c r="AL279" s="17"/>
      <c r="AM279" s="17"/>
      <c r="AN279" s="17"/>
      <c r="AO279" s="17"/>
      <c r="AP279" s="28" t="str">
        <f t="shared" si="97"/>
        <v>201812</v>
      </c>
      <c r="AQ279" s="28" t="str">
        <f t="shared" si="98"/>
        <v>201812RMB</v>
      </c>
      <c r="AR279" s="206" t="str">
        <f t="shared" si="99"/>
        <v>YAMAHA_Mounter</v>
      </c>
      <c r="AS279" s="22">
        <f t="shared" si="100"/>
        <v>4</v>
      </c>
      <c r="AT279" s="24" t="str">
        <f t="shared" si="101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6"/>
        <v>0.14724433143839863</v>
      </c>
      <c r="AL280" s="17"/>
      <c r="AM280" s="17"/>
      <c r="AN280" s="17"/>
      <c r="AO280" s="17"/>
      <c r="AP280" s="28" t="str">
        <f t="shared" si="97"/>
        <v>20193</v>
      </c>
      <c r="AQ280" s="28" t="str">
        <f t="shared" si="98"/>
        <v>20193RMB</v>
      </c>
      <c r="AR280" s="206" t="str">
        <f t="shared" si="99"/>
        <v>LOCAL SUPPLIER</v>
      </c>
      <c r="AS280" s="22">
        <f t="shared" si="100"/>
        <v>0</v>
      </c>
      <c r="AT280" s="24" t="str">
        <f t="shared" si="101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6"/>
        <v>0.14724433143839863</v>
      </c>
      <c r="AL281" s="17"/>
      <c r="AM281" s="17"/>
      <c r="AN281" s="17"/>
      <c r="AO281" s="17"/>
      <c r="AP281" s="28" t="str">
        <f t="shared" si="97"/>
        <v>20193</v>
      </c>
      <c r="AQ281" s="28" t="str">
        <f t="shared" si="98"/>
        <v>20193RMB</v>
      </c>
      <c r="AR281" s="206" t="str">
        <f t="shared" si="99"/>
        <v>LOCAL SUPPLIER</v>
      </c>
      <c r="AS281" s="22">
        <f t="shared" si="100"/>
        <v>0</v>
      </c>
      <c r="AT281" s="24" t="str">
        <f t="shared" si="101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499582152.5142017</v>
      </c>
      <c r="AJ282" s="19">
        <f t="shared" si="87"/>
        <v>59520528.679470733</v>
      </c>
      <c r="AK282" s="20">
        <f t="shared" si="96"/>
        <v>0.11914062257814291</v>
      </c>
      <c r="AL282" s="17"/>
      <c r="AM282" s="17"/>
      <c r="AN282" s="17"/>
      <c r="AO282" s="17"/>
      <c r="AP282" s="28" t="str">
        <f t="shared" si="97"/>
        <v>CancelCANCEL</v>
      </c>
      <c r="AQ282" s="28" t="str">
        <f t="shared" si="98"/>
        <v>CancelCANCELRMB</v>
      </c>
      <c r="AR282" s="206" t="str">
        <f t="shared" si="99"/>
        <v>YAMAHA_Mounter</v>
      </c>
      <c r="AS282" s="22" t="str">
        <f t="shared" si="100"/>
        <v/>
      </c>
      <c r="AT282" s="24" t="str">
        <f t="shared" si="101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499582152.5142017</v>
      </c>
      <c r="AJ283" s="19">
        <f t="shared" si="87"/>
        <v>59520528.679470733</v>
      </c>
      <c r="AK283" s="20">
        <f t="shared" si="96"/>
        <v>0.11914062257814291</v>
      </c>
      <c r="AL283" s="17"/>
      <c r="AM283" s="17"/>
      <c r="AN283" s="17"/>
      <c r="AO283" s="17"/>
      <c r="AP283" s="28" t="str">
        <f t="shared" si="97"/>
        <v>CancelCANCEL</v>
      </c>
      <c r="AQ283" s="28" t="str">
        <f t="shared" si="98"/>
        <v>CancelCANCELRMB</v>
      </c>
      <c r="AR283" s="206" t="str">
        <f t="shared" si="99"/>
        <v>YAMAHA_Mounter</v>
      </c>
      <c r="AS283" s="22" t="str">
        <f t="shared" si="100"/>
        <v/>
      </c>
      <c r="AT283" s="24" t="str">
        <f t="shared" si="101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6"/>
        <v>0.13679824337660537</v>
      </c>
      <c r="AL284" s="17"/>
      <c r="AM284" s="17"/>
      <c r="AN284" s="17"/>
      <c r="AO284" s="17"/>
      <c r="AP284" s="28" t="str">
        <f t="shared" si="97"/>
        <v>20216</v>
      </c>
      <c r="AQ284" s="28" t="str">
        <f t="shared" si="98"/>
        <v>20216RMB</v>
      </c>
      <c r="AR284" s="206" t="str">
        <f t="shared" si="99"/>
        <v>YAMAHA_Mounter</v>
      </c>
      <c r="AS284" s="22">
        <f t="shared" si="100"/>
        <v>2</v>
      </c>
      <c r="AT284" s="24" t="str">
        <f t="shared" si="101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6"/>
        <v>0.13679824337660537</v>
      </c>
      <c r="AL285" s="17"/>
      <c r="AM285" s="17"/>
      <c r="AN285" s="17"/>
      <c r="AO285" s="17"/>
      <c r="AP285" s="28" t="str">
        <f t="shared" si="97"/>
        <v>20216</v>
      </c>
      <c r="AQ285" s="28" t="str">
        <f t="shared" si="98"/>
        <v>20216RMB</v>
      </c>
      <c r="AR285" s="206" t="str">
        <f t="shared" si="99"/>
        <v>YAMAHA_Mounter</v>
      </c>
      <c r="AS285" s="22">
        <f t="shared" si="100"/>
        <v>2</v>
      </c>
      <c r="AT285" s="24" t="str">
        <f t="shared" si="101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6"/>
        <v>0.13676937682988152</v>
      </c>
      <c r="AL286" s="17"/>
      <c r="AM286" s="17"/>
      <c r="AN286" s="17"/>
      <c r="AO286" s="17"/>
      <c r="AP286" s="28" t="str">
        <f t="shared" si="97"/>
        <v>20204</v>
      </c>
      <c r="AQ286" s="28" t="str">
        <f t="shared" si="98"/>
        <v>20204JPY</v>
      </c>
      <c r="AR286" s="206" t="str">
        <f t="shared" si="99"/>
        <v>YAMAHA_Mounter</v>
      </c>
      <c r="AS286" s="22">
        <f t="shared" si="100"/>
        <v>0</v>
      </c>
      <c r="AT286" s="24" t="str">
        <f t="shared" si="101"/>
        <v>0-3 months</v>
      </c>
      <c r="AU286" s="22" t="s">
        <v>3745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6"/>
        <v>0.13676937682988152</v>
      </c>
      <c r="AL287" s="17"/>
      <c r="AM287" s="17"/>
      <c r="AN287" s="17"/>
      <c r="AO287" s="17"/>
      <c r="AP287" s="28" t="str">
        <f t="shared" si="97"/>
        <v>20204</v>
      </c>
      <c r="AQ287" s="28" t="str">
        <f t="shared" si="98"/>
        <v>20204RMB</v>
      </c>
      <c r="AR287" s="206" t="str">
        <f t="shared" si="99"/>
        <v>YAMAHA_Mounter</v>
      </c>
      <c r="AS287" s="22">
        <f t="shared" si="100"/>
        <v>0</v>
      </c>
      <c r="AT287" s="24" t="str">
        <f t="shared" si="101"/>
        <v>0-3 months</v>
      </c>
      <c r="AU287" s="22" t="s">
        <v>3744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6"/>
        <v>0.14813220831602228</v>
      </c>
      <c r="AL288" s="17"/>
      <c r="AM288" s="17"/>
      <c r="AN288" s="17"/>
      <c r="AO288" s="17"/>
      <c r="AP288" s="28" t="str">
        <f t="shared" si="97"/>
        <v>20205</v>
      </c>
      <c r="AQ288" s="28" t="str">
        <f t="shared" si="98"/>
        <v>20205RMB</v>
      </c>
      <c r="AR288" s="206" t="str">
        <f t="shared" si="99"/>
        <v>YAMAHA_Mounter</v>
      </c>
      <c r="AS288" s="22">
        <f t="shared" si="100"/>
        <v>1</v>
      </c>
      <c r="AT288" s="24" t="str">
        <f t="shared" si="101"/>
        <v>0-3 months</v>
      </c>
      <c r="AU288" s="22" t="s">
        <v>3744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6"/>
        <v>0.14813220831602228</v>
      </c>
      <c r="AL289" s="17"/>
      <c r="AM289" s="17"/>
      <c r="AN289" s="17"/>
      <c r="AO289" s="17"/>
      <c r="AP289" s="28" t="str">
        <f t="shared" si="97"/>
        <v>20205</v>
      </c>
      <c r="AQ289" s="28" t="str">
        <f t="shared" si="98"/>
        <v>20205RMB</v>
      </c>
      <c r="AR289" s="206" t="str">
        <f t="shared" si="99"/>
        <v>YAMAHA_Mounter</v>
      </c>
      <c r="AS289" s="22">
        <f t="shared" si="100"/>
        <v>1</v>
      </c>
      <c r="AT289" s="24" t="str">
        <f t="shared" si="101"/>
        <v>0-3 months</v>
      </c>
      <c r="AU289" s="22" t="s">
        <v>3744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6"/>
        <v>0.12968149510667554</v>
      </c>
      <c r="AL290" s="17"/>
      <c r="AM290" s="17"/>
      <c r="AN290" s="17"/>
      <c r="AO290" s="17"/>
      <c r="AP290" s="28" t="str">
        <f t="shared" si="97"/>
        <v>20221</v>
      </c>
      <c r="AQ290" s="28" t="str">
        <f t="shared" si="98"/>
        <v>20221RMB</v>
      </c>
      <c r="AR290" s="206" t="str">
        <f t="shared" si="99"/>
        <v>YAMAHA_Mounter</v>
      </c>
      <c r="AS290" s="22">
        <f t="shared" si="100"/>
        <v>1</v>
      </c>
      <c r="AT290" s="24" t="str">
        <f t="shared" si="101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6"/>
        <v>0.14256950849102498</v>
      </c>
      <c r="AL291" s="17"/>
      <c r="AM291" s="17"/>
      <c r="AN291" s="17"/>
      <c r="AO291" s="17" t="s">
        <v>221</v>
      </c>
      <c r="AP291" s="28" t="str">
        <f t="shared" si="97"/>
        <v>20186</v>
      </c>
      <c r="AQ291" s="28" t="str">
        <f t="shared" si="98"/>
        <v>20186JPY</v>
      </c>
      <c r="AR291" s="206" t="str">
        <f t="shared" si="99"/>
        <v>YAMAHA_Mounter</v>
      </c>
      <c r="AS291" s="22">
        <f t="shared" si="100"/>
        <v>5</v>
      </c>
      <c r="AT291" s="24" t="str">
        <f t="shared" si="101"/>
        <v>4-6 months</v>
      </c>
      <c r="AU291" s="22" t="s">
        <v>3745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6"/>
        <v>0.12637545201985867</v>
      </c>
      <c r="AL292" s="17"/>
      <c r="AM292" s="17"/>
      <c r="AN292" s="17"/>
      <c r="AO292" s="17"/>
      <c r="AP292" s="28" t="str">
        <f t="shared" si="97"/>
        <v>20189</v>
      </c>
      <c r="AQ292" s="28" t="str">
        <f t="shared" si="98"/>
        <v>20189JPY</v>
      </c>
      <c r="AR292" s="206" t="str">
        <f t="shared" si="99"/>
        <v>YAMAHA_Mounter</v>
      </c>
      <c r="AS292" s="22">
        <f t="shared" si="100"/>
        <v>8</v>
      </c>
      <c r="AT292" s="24" t="str">
        <f t="shared" si="101"/>
        <v>&gt; 6 months</v>
      </c>
      <c r="AU292" s="22" t="s">
        <v>3745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499582152.5142017</v>
      </c>
      <c r="AJ293" s="19">
        <f t="shared" si="87"/>
        <v>59520528.679470733</v>
      </c>
      <c r="AK293" s="20">
        <f t="shared" si="96"/>
        <v>0.11914062257814291</v>
      </c>
      <c r="AL293" s="17"/>
      <c r="AM293" s="17"/>
      <c r="AN293" s="17"/>
      <c r="AO293" s="17"/>
      <c r="AP293" s="28" t="str">
        <f t="shared" si="97"/>
        <v>CancelCancel</v>
      </c>
      <c r="AQ293" s="28" t="str">
        <f t="shared" si="98"/>
        <v>CancelCancelJPY</v>
      </c>
      <c r="AR293" s="206" t="str">
        <f t="shared" si="99"/>
        <v>YAMAHA_Mounter</v>
      </c>
      <c r="AS293" s="22" t="str">
        <f t="shared" si="100"/>
        <v/>
      </c>
      <c r="AT293" s="24" t="str">
        <f t="shared" si="101"/>
        <v/>
      </c>
      <c r="AU293" s="22" t="s">
        <v>3745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499582152.5142017</v>
      </c>
      <c r="AJ294" s="19">
        <f t="shared" si="87"/>
        <v>59520528.679470733</v>
      </c>
      <c r="AK294" s="20">
        <f t="shared" si="96"/>
        <v>0.11914062257814291</v>
      </c>
      <c r="AL294" s="17"/>
      <c r="AM294" s="17"/>
      <c r="AN294" s="17"/>
      <c r="AO294" s="17"/>
      <c r="AP294" s="28" t="str">
        <f t="shared" si="97"/>
        <v>CancelCancel</v>
      </c>
      <c r="AQ294" s="28" t="str">
        <f t="shared" si="98"/>
        <v>CancelCancelJPY</v>
      </c>
      <c r="AR294" s="206" t="str">
        <f t="shared" si="99"/>
        <v>YAMAHA_Mounter</v>
      </c>
      <c r="AS294" s="22" t="str">
        <f t="shared" si="100"/>
        <v/>
      </c>
      <c r="AT294" s="24" t="str">
        <f t="shared" si="101"/>
        <v/>
      </c>
      <c r="AU294" s="22" t="s">
        <v>3745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6"/>
        <v>0.11239662168514358</v>
      </c>
      <c r="AL295" s="17"/>
      <c r="AM295" s="17"/>
      <c r="AN295" s="17"/>
      <c r="AO295" s="17"/>
      <c r="AP295" s="28" t="str">
        <f t="shared" si="97"/>
        <v>201910</v>
      </c>
      <c r="AQ295" s="28" t="str">
        <f t="shared" si="98"/>
        <v>201910RMB</v>
      </c>
      <c r="AR295" s="206" t="str">
        <f t="shared" si="99"/>
        <v>YAMAHA_Mounter</v>
      </c>
      <c r="AS295" s="22">
        <f t="shared" si="100"/>
        <v>1</v>
      </c>
      <c r="AT295" s="24" t="str">
        <f t="shared" si="101"/>
        <v>0-3 months</v>
      </c>
      <c r="AU295" s="22" t="s">
        <v>3744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6"/>
        <v>0.14256432557804533</v>
      </c>
      <c r="AL296" s="17"/>
      <c r="AM296" s="17"/>
      <c r="AN296" s="17"/>
      <c r="AO296" s="17"/>
      <c r="AP296" s="28" t="str">
        <f t="shared" si="97"/>
        <v>20207</v>
      </c>
      <c r="AQ296" s="28" t="str">
        <f t="shared" si="98"/>
        <v>20207RMB</v>
      </c>
      <c r="AR296" s="206" t="str">
        <f t="shared" si="99"/>
        <v>YAMAHA_Mounter</v>
      </c>
      <c r="AS296" s="22">
        <f t="shared" si="100"/>
        <v>1</v>
      </c>
      <c r="AT296" s="24" t="str">
        <f t="shared" si="101"/>
        <v>0-3 months</v>
      </c>
      <c r="AU296" s="22" t="s">
        <v>3744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6"/>
        <v>0.14256432557804533</v>
      </c>
      <c r="AL297" s="17"/>
      <c r="AM297" s="17"/>
      <c r="AN297" s="17"/>
      <c r="AO297" s="17"/>
      <c r="AP297" s="28" t="str">
        <f t="shared" si="97"/>
        <v>20207</v>
      </c>
      <c r="AQ297" s="28" t="str">
        <f t="shared" si="98"/>
        <v>20207RMB</v>
      </c>
      <c r="AR297" s="206" t="str">
        <f t="shared" si="99"/>
        <v>YAMAHA_Mounter</v>
      </c>
      <c r="AS297" s="22">
        <f t="shared" si="100"/>
        <v>1</v>
      </c>
      <c r="AT297" s="24" t="str">
        <f t="shared" si="101"/>
        <v>0-3 months</v>
      </c>
      <c r="AU297" s="22" t="s">
        <v>3744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6"/>
        <v>0.14256432557804533</v>
      </c>
      <c r="AL298" s="17"/>
      <c r="AM298" s="17"/>
      <c r="AN298" s="17"/>
      <c r="AO298" s="17"/>
      <c r="AP298" s="28" t="str">
        <f t="shared" si="97"/>
        <v>20207</v>
      </c>
      <c r="AQ298" s="28" t="str">
        <f t="shared" si="98"/>
        <v>20207RMB</v>
      </c>
      <c r="AR298" s="206" t="str">
        <f t="shared" si="99"/>
        <v>YAMAHA_Mounter</v>
      </c>
      <c r="AS298" s="22">
        <f t="shared" si="100"/>
        <v>1</v>
      </c>
      <c r="AT298" s="24" t="str">
        <f t="shared" si="101"/>
        <v>0-3 months</v>
      </c>
      <c r="AU298" s="22" t="s">
        <v>3744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6"/>
        <v>0.14256432557804533</v>
      </c>
      <c r="AL299" s="17"/>
      <c r="AM299" s="17"/>
      <c r="AN299" s="17"/>
      <c r="AO299" s="17"/>
      <c r="AP299" s="28" t="str">
        <f t="shared" si="97"/>
        <v>20207</v>
      </c>
      <c r="AQ299" s="28" t="str">
        <f t="shared" si="98"/>
        <v>20207RMB</v>
      </c>
      <c r="AR299" s="206" t="str">
        <f t="shared" si="99"/>
        <v>YAMAHA_Mounter</v>
      </c>
      <c r="AS299" s="22">
        <f t="shared" si="100"/>
        <v>1</v>
      </c>
      <c r="AT299" s="24" t="str">
        <f t="shared" si="101"/>
        <v>0-3 months</v>
      </c>
      <c r="AU299" s="22" t="s">
        <v>3744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2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6"/>
        <v>0.141215124388995</v>
      </c>
      <c r="AL300" s="17"/>
      <c r="AM300" s="17"/>
      <c r="AN300" s="17"/>
      <c r="AO300" s="17"/>
      <c r="AP300" s="28" t="str">
        <f t="shared" si="97"/>
        <v>20215</v>
      </c>
      <c r="AQ300" s="28" t="str">
        <f t="shared" si="98"/>
        <v>20215RMB</v>
      </c>
      <c r="AR300" s="206" t="str">
        <f t="shared" si="99"/>
        <v>YAMAHA_Mounter</v>
      </c>
      <c r="AS300" s="22">
        <f t="shared" si="100"/>
        <v>3</v>
      </c>
      <c r="AT300" s="24" t="str">
        <f t="shared" si="101"/>
        <v>0-3 months</v>
      </c>
      <c r="AU300" s="22" t="s">
        <v>3744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2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6"/>
        <v>0.141215124388995</v>
      </c>
      <c r="AL301" s="17"/>
      <c r="AM301" s="17"/>
      <c r="AN301" s="17"/>
      <c r="AO301" s="17"/>
      <c r="AP301" s="28" t="str">
        <f t="shared" si="97"/>
        <v>20215</v>
      </c>
      <c r="AQ301" s="28" t="str">
        <f t="shared" si="98"/>
        <v>20215RMB</v>
      </c>
      <c r="AR301" s="206" t="str">
        <f t="shared" si="99"/>
        <v>YAMAHA_Mounter</v>
      </c>
      <c r="AS301" s="22">
        <f t="shared" si="100"/>
        <v>3</v>
      </c>
      <c r="AT301" s="24" t="str">
        <f t="shared" si="101"/>
        <v>0-3 months</v>
      </c>
      <c r="AU301" s="22" t="s">
        <v>3744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2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6"/>
        <v>0.141215124388995</v>
      </c>
      <c r="AL302" s="17"/>
      <c r="AM302" s="17"/>
      <c r="AN302" s="17"/>
      <c r="AO302" s="17"/>
      <c r="AP302" s="28" t="str">
        <f t="shared" si="97"/>
        <v>20215</v>
      </c>
      <c r="AQ302" s="28" t="str">
        <f t="shared" si="98"/>
        <v>20215RMB</v>
      </c>
      <c r="AR302" s="206" t="str">
        <f t="shared" si="99"/>
        <v>YAMAHA_Mounter</v>
      </c>
      <c r="AS302" s="22">
        <f t="shared" si="100"/>
        <v>3</v>
      </c>
      <c r="AT302" s="24" t="str">
        <f t="shared" si="101"/>
        <v>0-3 months</v>
      </c>
      <c r="AU302" s="22" t="s">
        <v>3744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2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6"/>
        <v>0.141215124388995</v>
      </c>
      <c r="AL303" s="17"/>
      <c r="AM303" s="17"/>
      <c r="AN303" s="17"/>
      <c r="AO303" s="17"/>
      <c r="AP303" s="28" t="str">
        <f t="shared" si="97"/>
        <v>20215</v>
      </c>
      <c r="AQ303" s="28" t="str">
        <f t="shared" si="98"/>
        <v>20215RMB</v>
      </c>
      <c r="AR303" s="206" t="str">
        <f t="shared" si="99"/>
        <v>YAMAHA_Mounter</v>
      </c>
      <c r="AS303" s="22">
        <f t="shared" si="100"/>
        <v>3</v>
      </c>
      <c r="AT303" s="24" t="str">
        <f t="shared" si="101"/>
        <v>0-3 months</v>
      </c>
      <c r="AU303" s="22" t="s">
        <v>3744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2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6"/>
        <v>0.14613378412599562</v>
      </c>
      <c r="AL304" s="17"/>
      <c r="AM304" s="17"/>
      <c r="AN304" s="17"/>
      <c r="AO304" s="17"/>
      <c r="AP304" s="28" t="str">
        <f t="shared" si="97"/>
        <v>20227</v>
      </c>
      <c r="AQ304" s="28" t="str">
        <f t="shared" si="98"/>
        <v>20227JPY</v>
      </c>
      <c r="AR304" s="206" t="str">
        <f t="shared" si="99"/>
        <v>YAMAHA_Mounter</v>
      </c>
      <c r="AS304" s="22">
        <f t="shared" si="100"/>
        <v>4</v>
      </c>
      <c r="AT304" s="24" t="str">
        <f t="shared" si="101"/>
        <v>4-6 months</v>
      </c>
      <c r="AU304" s="22" t="s">
        <v>3751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2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6"/>
        <v>0.14613378412599562</v>
      </c>
      <c r="AL305" s="17"/>
      <c r="AM305" s="17"/>
      <c r="AN305" s="17"/>
      <c r="AO305" s="17"/>
      <c r="AP305" s="28" t="str">
        <f t="shared" si="97"/>
        <v>20227</v>
      </c>
      <c r="AQ305" s="28" t="str">
        <f t="shared" si="98"/>
        <v>20227JPY</v>
      </c>
      <c r="AR305" s="206" t="str">
        <f t="shared" si="99"/>
        <v>YAMAHA_Mounter</v>
      </c>
      <c r="AS305" s="22">
        <f t="shared" si="100"/>
        <v>4</v>
      </c>
      <c r="AT305" s="24" t="str">
        <f t="shared" si="101"/>
        <v>4-6 months</v>
      </c>
      <c r="AU305" s="22" t="s">
        <v>3751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2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6"/>
        <v>0.14613378412599562</v>
      </c>
      <c r="AL306" s="17"/>
      <c r="AM306" s="17"/>
      <c r="AN306" s="17"/>
      <c r="AO306" s="17"/>
      <c r="AP306" s="28" t="str">
        <f t="shared" si="97"/>
        <v>20227</v>
      </c>
      <c r="AQ306" s="28" t="str">
        <f t="shared" si="98"/>
        <v>20227JPY</v>
      </c>
      <c r="AR306" s="206" t="str">
        <f t="shared" si="99"/>
        <v>YAMAHA_Mounter</v>
      </c>
      <c r="AS306" s="22">
        <f t="shared" si="100"/>
        <v>4</v>
      </c>
      <c r="AT306" s="24" t="str">
        <f t="shared" si="101"/>
        <v>4-6 months</v>
      </c>
      <c r="AU306" s="22" t="s">
        <v>3751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2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6"/>
        <v>0.14613378412599562</v>
      </c>
      <c r="AL307" s="17"/>
      <c r="AM307" s="17"/>
      <c r="AN307" s="17"/>
      <c r="AO307" s="17"/>
      <c r="AP307" s="28" t="str">
        <f t="shared" si="97"/>
        <v>20227</v>
      </c>
      <c r="AQ307" s="28" t="str">
        <f t="shared" si="98"/>
        <v>20227JPY</v>
      </c>
      <c r="AR307" s="206" t="str">
        <f t="shared" si="99"/>
        <v>YAMAHA_Mounter</v>
      </c>
      <c r="AS307" s="22">
        <f t="shared" si="100"/>
        <v>4</v>
      </c>
      <c r="AT307" s="24" t="str">
        <f t="shared" si="101"/>
        <v>4-6 months</v>
      </c>
      <c r="AU307" s="22" t="s">
        <v>3745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2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6"/>
        <v>0.14613378412599562</v>
      </c>
      <c r="AL308" s="17"/>
      <c r="AM308" s="17"/>
      <c r="AN308" s="17"/>
      <c r="AO308" s="17"/>
      <c r="AP308" s="28" t="str">
        <f t="shared" si="97"/>
        <v>20227</v>
      </c>
      <c r="AQ308" s="28" t="str">
        <f t="shared" si="98"/>
        <v>20227JPY</v>
      </c>
      <c r="AR308" s="206" t="str">
        <f t="shared" si="99"/>
        <v>YAMAHA_Mounter</v>
      </c>
      <c r="AS308" s="22">
        <f t="shared" si="100"/>
        <v>4</v>
      </c>
      <c r="AT308" s="24" t="str">
        <f t="shared" si="101"/>
        <v>4-6 months</v>
      </c>
      <c r="AU308" s="22" t="s">
        <v>3745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6"/>
        <v>0.11033308963444827</v>
      </c>
      <c r="AL309" s="17"/>
      <c r="AM309" s="17"/>
      <c r="AN309" s="17"/>
      <c r="AO309" s="17"/>
      <c r="AP309" s="28" t="str">
        <f t="shared" si="97"/>
        <v>201912</v>
      </c>
      <c r="AQ309" s="28" t="str">
        <f t="shared" si="98"/>
        <v>201912RMB</v>
      </c>
      <c r="AR309" s="206" t="str">
        <f t="shared" si="99"/>
        <v>HELLER</v>
      </c>
      <c r="AS309" s="22">
        <f t="shared" si="100"/>
        <v>1</v>
      </c>
      <c r="AT309" s="24" t="str">
        <f t="shared" si="101"/>
        <v>0-3 months</v>
      </c>
      <c r="AU309" s="22" t="s">
        <v>3744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3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30033846.584070798</v>
      </c>
      <c r="AJ310" s="19">
        <f t="shared" si="87"/>
        <v>3534936.4750884958</v>
      </c>
      <c r="AK310" s="20">
        <f t="shared" si="96"/>
        <v>0.11769842618039268</v>
      </c>
      <c r="AL310" s="17"/>
      <c r="AM310" s="17"/>
      <c r="AN310" s="17"/>
      <c r="AO310" s="17"/>
      <c r="AP310" s="28" t="str">
        <f t="shared" si="97"/>
        <v>TBATBA</v>
      </c>
      <c r="AQ310" s="28" t="str">
        <f t="shared" si="98"/>
        <v>TBATBARMB</v>
      </c>
      <c r="AR310" s="206" t="str">
        <f t="shared" si="99"/>
        <v>YAMAHA_Mounter</v>
      </c>
      <c r="AS310" s="22" t="str">
        <f t="shared" si="100"/>
        <v/>
      </c>
      <c r="AT310" s="24" t="str">
        <f t="shared" si="101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3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30033846.584070798</v>
      </c>
      <c r="AJ311" s="19">
        <f t="shared" si="87"/>
        <v>3534936.4750884958</v>
      </c>
      <c r="AK311" s="20">
        <f t="shared" si="96"/>
        <v>0.11769842618039268</v>
      </c>
      <c r="AL311" s="17"/>
      <c r="AM311" s="17"/>
      <c r="AN311" s="17"/>
      <c r="AO311" s="17"/>
      <c r="AP311" s="28" t="str">
        <f t="shared" si="97"/>
        <v>TBATBA</v>
      </c>
      <c r="AQ311" s="28" t="str">
        <f t="shared" si="98"/>
        <v>TBATBARMB</v>
      </c>
      <c r="AR311" s="206" t="str">
        <f t="shared" si="99"/>
        <v>YAMAHA_Mounter</v>
      </c>
      <c r="AS311" s="22" t="str">
        <f t="shared" si="100"/>
        <v/>
      </c>
      <c r="AT311" s="24" t="str">
        <f t="shared" si="101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3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6"/>
        <v>0.14842821680123736</v>
      </c>
      <c r="AL312" s="17"/>
      <c r="AM312" s="17"/>
      <c r="AN312" s="17"/>
      <c r="AO312" s="17"/>
      <c r="AP312" s="28" t="str">
        <f t="shared" si="97"/>
        <v>20214</v>
      </c>
      <c r="AQ312" s="28" t="str">
        <f t="shared" si="98"/>
        <v>20214RMB</v>
      </c>
      <c r="AR312" s="206" t="str">
        <f t="shared" si="99"/>
        <v>YAMAHA_Mounter</v>
      </c>
      <c r="AS312" s="22">
        <f t="shared" si="100"/>
        <v>1</v>
      </c>
      <c r="AT312" s="24" t="str">
        <f t="shared" si="101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3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6"/>
        <v>0.1413884065477731</v>
      </c>
      <c r="AL313" s="17"/>
      <c r="AM313" s="17"/>
      <c r="AN313" s="17"/>
      <c r="AO313" s="17"/>
      <c r="AP313" s="28" t="str">
        <f t="shared" si="97"/>
        <v>20236</v>
      </c>
      <c r="AQ313" s="28" t="str">
        <f t="shared" si="98"/>
        <v>20236RMB</v>
      </c>
      <c r="AR313" s="206" t="str">
        <f t="shared" si="99"/>
        <v>YAMAHA_Mounter</v>
      </c>
      <c r="AS313" s="22">
        <f t="shared" si="100"/>
        <v>7</v>
      </c>
      <c r="AT313" s="24" t="str">
        <f t="shared" si="101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3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6"/>
        <v>0.1413884065477731</v>
      </c>
      <c r="AL314" s="17"/>
      <c r="AM314" s="17"/>
      <c r="AN314" s="17"/>
      <c r="AO314" s="17"/>
      <c r="AP314" s="28" t="str">
        <f t="shared" si="97"/>
        <v>20236</v>
      </c>
      <c r="AQ314" s="28" t="str">
        <f t="shared" si="98"/>
        <v>20236RMB</v>
      </c>
      <c r="AR314" s="206" t="str">
        <f t="shared" si="99"/>
        <v>YAMAHA_Mounter</v>
      </c>
      <c r="AS314" s="22">
        <f t="shared" si="100"/>
        <v>7</v>
      </c>
      <c r="AT314" s="24" t="str">
        <f t="shared" si="101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3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6"/>
        <v>0.14268518919984163</v>
      </c>
      <c r="AL315" s="17"/>
      <c r="AM315" s="17"/>
      <c r="AN315" s="17"/>
      <c r="AO315" s="17"/>
      <c r="AP315" s="28" t="str">
        <f t="shared" si="97"/>
        <v>202212</v>
      </c>
      <c r="AQ315" s="28" t="str">
        <f t="shared" si="98"/>
        <v>202212RMB</v>
      </c>
      <c r="AR315" s="206" t="str">
        <f t="shared" si="99"/>
        <v>YAMAHA_Mounter</v>
      </c>
      <c r="AS315" s="22">
        <f t="shared" si="100"/>
        <v>2</v>
      </c>
      <c r="AT315" s="24" t="str">
        <f t="shared" si="101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3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6"/>
        <v>0.14268518919984163</v>
      </c>
      <c r="AL316" s="17"/>
      <c r="AM316" s="17"/>
      <c r="AN316" s="17"/>
      <c r="AO316" s="17"/>
      <c r="AP316" s="28" t="str">
        <f t="shared" si="97"/>
        <v>202212</v>
      </c>
      <c r="AQ316" s="28" t="str">
        <f t="shared" si="98"/>
        <v>202212RMB</v>
      </c>
      <c r="AR316" s="206" t="str">
        <f t="shared" si="99"/>
        <v>YAMAHA_Mounter</v>
      </c>
      <c r="AS316" s="22">
        <f t="shared" si="100"/>
        <v>2</v>
      </c>
      <c r="AT316" s="24" t="str">
        <f t="shared" si="101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3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6"/>
        <v>0.14353007902118958</v>
      </c>
      <c r="AL317" s="17"/>
      <c r="AM317" s="17"/>
      <c r="AN317" s="17"/>
      <c r="AO317" s="17"/>
      <c r="AP317" s="28" t="str">
        <f t="shared" si="97"/>
        <v>20228</v>
      </c>
      <c r="AQ317" s="28" t="str">
        <f t="shared" si="98"/>
        <v>20228RMB</v>
      </c>
      <c r="AR317" s="206" t="str">
        <f t="shared" si="99"/>
        <v>YAMAHA_Mounter</v>
      </c>
      <c r="AS317" s="22">
        <f t="shared" si="100"/>
        <v>1</v>
      </c>
      <c r="AT317" s="24" t="str">
        <f t="shared" si="101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6"/>
        <v>0.14256950849102498</v>
      </c>
      <c r="AL318" s="17"/>
      <c r="AM318" s="17"/>
      <c r="AN318" s="17"/>
      <c r="AO318" s="17" t="s">
        <v>221</v>
      </c>
      <c r="AP318" s="28" t="str">
        <f t="shared" si="97"/>
        <v>20186</v>
      </c>
      <c r="AQ318" s="28" t="str">
        <f t="shared" si="98"/>
        <v>20186JPY</v>
      </c>
      <c r="AR318" s="206" t="str">
        <f t="shared" si="99"/>
        <v>YAMAHA_Mounter</v>
      </c>
      <c r="AS318" s="22">
        <f t="shared" si="100"/>
        <v>5</v>
      </c>
      <c r="AT318" s="24" t="str">
        <f t="shared" si="101"/>
        <v>4-6 months</v>
      </c>
      <c r="AU318" s="22" t="s">
        <v>3745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499582152.5142017</v>
      </c>
      <c r="AJ319" s="19">
        <f t="shared" si="87"/>
        <v>59520528.679470733</v>
      </c>
      <c r="AK319" s="20">
        <f t="shared" si="96"/>
        <v>0.11914062257814291</v>
      </c>
      <c r="AL319" s="17"/>
      <c r="AM319" s="17"/>
      <c r="AN319" s="17"/>
      <c r="AO319" s="17"/>
      <c r="AP319" s="28" t="str">
        <f t="shared" si="97"/>
        <v>CancelCancel</v>
      </c>
      <c r="AQ319" s="28" t="str">
        <f t="shared" si="98"/>
        <v>CancelCancelJPY</v>
      </c>
      <c r="AR319" s="206" t="str">
        <f t="shared" si="99"/>
        <v>YAMAHA_Mounter</v>
      </c>
      <c r="AS319" s="22" t="str">
        <f t="shared" si="100"/>
        <v/>
      </c>
      <c r="AT319" s="24" t="str">
        <f t="shared" si="101"/>
        <v/>
      </c>
      <c r="AU319" s="22" t="s">
        <v>3745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6"/>
        <v>0.11467191436184473</v>
      </c>
      <c r="AL320" s="17"/>
      <c r="AM320" s="17"/>
      <c r="AN320" s="17"/>
      <c r="AO320" s="17"/>
      <c r="AP320" s="28" t="str">
        <f t="shared" si="97"/>
        <v>20196</v>
      </c>
      <c r="AQ320" s="28" t="str">
        <f t="shared" si="98"/>
        <v>20196JPY</v>
      </c>
      <c r="AR320" s="206" t="str">
        <f t="shared" si="99"/>
        <v>YAMAHA_Mounter</v>
      </c>
      <c r="AS320" s="22">
        <f t="shared" si="100"/>
        <v>2</v>
      </c>
      <c r="AT320" s="24" t="str">
        <f t="shared" si="101"/>
        <v>0-3 months</v>
      </c>
      <c r="AU320" s="22" t="s">
        <v>3745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6"/>
        <v>0.11467191436184473</v>
      </c>
      <c r="AL321" s="17"/>
      <c r="AM321" s="17"/>
      <c r="AN321" s="17"/>
      <c r="AO321" s="17"/>
      <c r="AP321" s="28" t="str">
        <f t="shared" si="97"/>
        <v>20196</v>
      </c>
      <c r="AQ321" s="28" t="str">
        <f t="shared" si="98"/>
        <v>20196JPY</v>
      </c>
      <c r="AR321" s="206" t="str">
        <f t="shared" si="99"/>
        <v>YAMAHA_Mounter</v>
      </c>
      <c r="AS321" s="22">
        <f t="shared" si="100"/>
        <v>1</v>
      </c>
      <c r="AT321" s="24" t="str">
        <f t="shared" si="101"/>
        <v>0-3 months</v>
      </c>
      <c r="AU321" s="22" t="s">
        <v>3745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6"/>
        <v>0.13424587441904964</v>
      </c>
      <c r="AL322" s="17"/>
      <c r="AM322" s="17"/>
      <c r="AN322" s="17"/>
      <c r="AO322" s="17"/>
      <c r="AP322" s="28" t="str">
        <f t="shared" si="97"/>
        <v>20208</v>
      </c>
      <c r="AQ322" s="28" t="str">
        <f t="shared" si="98"/>
        <v>20208RMB</v>
      </c>
      <c r="AR322" s="206" t="str">
        <f t="shared" si="99"/>
        <v>YAMAHA_Mounter</v>
      </c>
      <c r="AS322" s="22">
        <f t="shared" si="100"/>
        <v>1</v>
      </c>
      <c r="AT322" s="24" t="str">
        <f t="shared" si="101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499582152.5142017</v>
      </c>
      <c r="AJ323" s="19">
        <f t="shared" si="105"/>
        <v>59520528.679470733</v>
      </c>
      <c r="AK323" s="20">
        <f t="shared" si="96"/>
        <v>0.11914062257814291</v>
      </c>
      <c r="AL323" s="17"/>
      <c r="AM323" s="17"/>
      <c r="AN323" s="17"/>
      <c r="AO323" s="17"/>
      <c r="AP323" s="28" t="str">
        <f t="shared" si="97"/>
        <v>CancelCancel</v>
      </c>
      <c r="AQ323" s="28" t="str">
        <f t="shared" si="98"/>
        <v>CancelCancelRMB</v>
      </c>
      <c r="AR323" s="206" t="str">
        <f t="shared" si="99"/>
        <v>YAMAHA_Mounter</v>
      </c>
      <c r="AS323" s="22" t="str">
        <f t="shared" si="100"/>
        <v/>
      </c>
      <c r="AT323" s="24" t="str">
        <f t="shared" si="101"/>
        <v/>
      </c>
      <c r="AU323" s="22" t="s">
        <v>3751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499582152.5142017</v>
      </c>
      <c r="AJ324" s="19">
        <f t="shared" si="105"/>
        <v>59520528.679470733</v>
      </c>
      <c r="AK324" s="20">
        <f t="shared" si="96"/>
        <v>0.11914062257814291</v>
      </c>
      <c r="AL324" s="17"/>
      <c r="AM324" s="17"/>
      <c r="AN324" s="17"/>
      <c r="AO324" s="17"/>
      <c r="AP324" s="28" t="str">
        <f t="shared" si="97"/>
        <v>CancelCancel</v>
      </c>
      <c r="AQ324" s="28" t="str">
        <f t="shared" si="98"/>
        <v>CancelCancelRMB</v>
      </c>
      <c r="AR324" s="206" t="str">
        <f t="shared" si="99"/>
        <v>YAMAHA_Mounter</v>
      </c>
      <c r="AS324" s="22" t="str">
        <f t="shared" si="100"/>
        <v/>
      </c>
      <c r="AT324" s="24" t="str">
        <f t="shared" si="101"/>
        <v/>
      </c>
      <c r="AU324" s="22" t="s">
        <v>3751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499582152.5142017</v>
      </c>
      <c r="AJ325" s="19">
        <f t="shared" si="105"/>
        <v>59520528.679470733</v>
      </c>
      <c r="AK325" s="20">
        <f t="shared" si="96"/>
        <v>0.11914062257814291</v>
      </c>
      <c r="AL325" s="17"/>
      <c r="AM325" s="17"/>
      <c r="AN325" s="17"/>
      <c r="AO325" s="17"/>
      <c r="AP325" s="28" t="str">
        <f t="shared" si="97"/>
        <v>CancelCancel</v>
      </c>
      <c r="AQ325" s="28" t="str">
        <f t="shared" si="98"/>
        <v>CancelCancelRMB</v>
      </c>
      <c r="AR325" s="206" t="str">
        <f t="shared" si="99"/>
        <v>YAMAHA_Mounter</v>
      </c>
      <c r="AS325" s="22" t="str">
        <f t="shared" si="100"/>
        <v/>
      </c>
      <c r="AT325" s="24" t="str">
        <f t="shared" si="101"/>
        <v/>
      </c>
      <c r="AU325" s="22" t="s">
        <v>3751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499582152.5142017</v>
      </c>
      <c r="AJ326" s="19">
        <f t="shared" si="105"/>
        <v>59520528.679470733</v>
      </c>
      <c r="AK326" s="20">
        <f t="shared" ref="AK326:AK389" si="115">IF(AJ326&gt;0,AJ326/AI326,"")</f>
        <v>0.11914062257814291</v>
      </c>
      <c r="AL326" s="17"/>
      <c r="AM326" s="17"/>
      <c r="AN326" s="17"/>
      <c r="AO326" s="17"/>
      <c r="AP326" s="28" t="str">
        <f t="shared" ref="AP326:AP389" si="116">IF(F326="","",F326&amp;G326)</f>
        <v>CancelCancel</v>
      </c>
      <c r="AQ326" s="28" t="str">
        <f t="shared" ref="AQ326:AQ389" si="117">IF(W326="","",F326&amp;G326&amp;W326)</f>
        <v>CancelCancelRMB</v>
      </c>
      <c r="AR326" s="206" t="str">
        <f t="shared" ref="AR326:AR389" si="118">IFERROR(IF(AND(M326="YAMAHA", R326="C28"), "YAMAHA_Non_Mounter", IF(AND(M326="YAMAHA", R326="C49"), "YAMAHA_Mounter", M326)),"")</f>
        <v>YAMAHA_Mounter</v>
      </c>
      <c r="AS326" s="22" t="str">
        <f t="shared" ref="AS326:AS389" si="119">IFERROR(IF(OR(G326="TBA", G326=""), "", DATEDIF(DATE(B326, C326, 1), DATE(F326, G326, 1), "M")),"")</f>
        <v/>
      </c>
      <c r="AT326" s="24" t="str">
        <f t="shared" ref="AT326:AT389" si="120">IF(ISNUMBER(AS326), IF(AS326&gt;=0, IF(AS326&lt;=3, "0-3 months", IF(AS326&lt;=6, "4-6 months", "&gt; 6 months"))), "")</f>
        <v/>
      </c>
      <c r="AU326" s="22" t="s">
        <v>3751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5"/>
        <v>0.12968149510667554</v>
      </c>
      <c r="AL327" s="17"/>
      <c r="AM327" s="17"/>
      <c r="AN327" s="17"/>
      <c r="AO327" s="17"/>
      <c r="AP327" s="28" t="str">
        <f t="shared" si="116"/>
        <v>20221</v>
      </c>
      <c r="AQ327" s="28" t="str">
        <f t="shared" si="117"/>
        <v>20221JPY</v>
      </c>
      <c r="AR327" s="206" t="str">
        <f t="shared" si="118"/>
        <v>YAMAHA_Mounter</v>
      </c>
      <c r="AS327" s="22">
        <f t="shared" si="119"/>
        <v>4</v>
      </c>
      <c r="AT327" s="24" t="str">
        <f t="shared" si="120"/>
        <v>4-6 months</v>
      </c>
      <c r="AU327" s="22" t="s">
        <v>3746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5"/>
        <v>0.12516738767237401</v>
      </c>
      <c r="AL328" s="17"/>
      <c r="AM328" s="17"/>
      <c r="AN328" s="17"/>
      <c r="AO328" s="17"/>
      <c r="AP328" s="28" t="str">
        <f t="shared" si="116"/>
        <v>20212</v>
      </c>
      <c r="AQ328" s="28" t="str">
        <f t="shared" si="117"/>
        <v>20212RMB</v>
      </c>
      <c r="AR328" s="206" t="str">
        <f t="shared" si="118"/>
        <v>YAMAHA_Mounter</v>
      </c>
      <c r="AS328" s="22">
        <f t="shared" si="119"/>
        <v>2</v>
      </c>
      <c r="AT328" s="24" t="str">
        <f t="shared" si="120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5"/>
        <v>0.12516738767237401</v>
      </c>
      <c r="AL329" s="17"/>
      <c r="AM329" s="17"/>
      <c r="AN329" s="17"/>
      <c r="AO329" s="17"/>
      <c r="AP329" s="28" t="str">
        <f t="shared" si="116"/>
        <v>20212</v>
      </c>
      <c r="AQ329" s="28" t="str">
        <f t="shared" si="117"/>
        <v>20212RMB</v>
      </c>
      <c r="AR329" s="206" t="str">
        <f t="shared" si="118"/>
        <v>YAMAHA_Mounter</v>
      </c>
      <c r="AS329" s="22">
        <f t="shared" si="119"/>
        <v>2</v>
      </c>
      <c r="AT329" s="24" t="str">
        <f t="shared" si="120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5"/>
        <v>0.12516738767237401</v>
      </c>
      <c r="AL330" s="17"/>
      <c r="AM330" s="17"/>
      <c r="AN330" s="17"/>
      <c r="AO330" s="17"/>
      <c r="AP330" s="28" t="str">
        <f t="shared" si="116"/>
        <v>20212</v>
      </c>
      <c r="AQ330" s="28" t="str">
        <f t="shared" si="117"/>
        <v>20212RMB</v>
      </c>
      <c r="AR330" s="206" t="str">
        <f t="shared" si="118"/>
        <v>YAMAHA_Mounter</v>
      </c>
      <c r="AS330" s="22">
        <f t="shared" si="119"/>
        <v>2</v>
      </c>
      <c r="AT330" s="24" t="str">
        <f t="shared" si="120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5"/>
        <v>0.12516738767237401</v>
      </c>
      <c r="AL331" s="17"/>
      <c r="AM331" s="17"/>
      <c r="AN331" s="17"/>
      <c r="AO331" s="17"/>
      <c r="AP331" s="28" t="str">
        <f t="shared" si="116"/>
        <v>20212</v>
      </c>
      <c r="AQ331" s="28" t="str">
        <f t="shared" si="117"/>
        <v>20212RMB</v>
      </c>
      <c r="AR331" s="206" t="str">
        <f t="shared" si="118"/>
        <v>YAMAHA_Mounter</v>
      </c>
      <c r="AS331" s="22">
        <f t="shared" si="119"/>
        <v>2</v>
      </c>
      <c r="AT331" s="24" t="str">
        <f t="shared" si="120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5"/>
        <v>0.12516738767237401</v>
      </c>
      <c r="AL332" s="17"/>
      <c r="AM332" s="17"/>
      <c r="AN332" s="17"/>
      <c r="AO332" s="17"/>
      <c r="AP332" s="28" t="str">
        <f t="shared" si="116"/>
        <v>20212</v>
      </c>
      <c r="AQ332" s="28" t="str">
        <f t="shared" si="117"/>
        <v>20212RMB</v>
      </c>
      <c r="AR332" s="206" t="str">
        <f t="shared" si="118"/>
        <v>YAMAHA_Mounter</v>
      </c>
      <c r="AS332" s="22">
        <f t="shared" si="119"/>
        <v>2</v>
      </c>
      <c r="AT332" s="24" t="str">
        <f t="shared" si="120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5"/>
        <v>0.12565028406083667</v>
      </c>
      <c r="AL333" s="17"/>
      <c r="AM333" s="17"/>
      <c r="AN333" s="17"/>
      <c r="AO333" s="17"/>
      <c r="AP333" s="28" t="str">
        <f t="shared" si="116"/>
        <v>20213</v>
      </c>
      <c r="AQ333" s="28" t="str">
        <f t="shared" si="117"/>
        <v>20213RMB</v>
      </c>
      <c r="AR333" s="206" t="str">
        <f t="shared" si="118"/>
        <v>YAMAHA_Mounter</v>
      </c>
      <c r="AS333" s="22">
        <f t="shared" si="119"/>
        <v>3</v>
      </c>
      <c r="AT333" s="24" t="str">
        <f t="shared" si="120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5"/>
        <v>0.14613378412599562</v>
      </c>
      <c r="AL334" s="17"/>
      <c r="AM334" s="17"/>
      <c r="AN334" s="17"/>
      <c r="AO334" s="17"/>
      <c r="AP334" s="28" t="str">
        <f t="shared" si="116"/>
        <v>20227</v>
      </c>
      <c r="AQ334" s="28" t="str">
        <f t="shared" si="117"/>
        <v>20227JPY</v>
      </c>
      <c r="AR334" s="206" t="str">
        <f t="shared" si="118"/>
        <v>YAMAHA_Mounter</v>
      </c>
      <c r="AS334" s="22">
        <f t="shared" si="119"/>
        <v>4</v>
      </c>
      <c r="AT334" s="24" t="str">
        <f t="shared" si="120"/>
        <v>4-6 months</v>
      </c>
      <c r="AU334" s="22" t="s">
        <v>3745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5"/>
        <v>0.12327425538313459</v>
      </c>
      <c r="AL335" s="17"/>
      <c r="AM335" s="17"/>
      <c r="AN335" s="17"/>
      <c r="AO335" s="17"/>
      <c r="AP335" s="28" t="str">
        <f t="shared" si="116"/>
        <v>20237</v>
      </c>
      <c r="AQ335" s="28" t="str">
        <f t="shared" si="117"/>
        <v>20237JPY</v>
      </c>
      <c r="AR335" s="206" t="str">
        <f t="shared" si="118"/>
        <v>YAMAHA_Mounter</v>
      </c>
      <c r="AS335" s="22">
        <f t="shared" si="119"/>
        <v>1</v>
      </c>
      <c r="AT335" s="24" t="str">
        <f t="shared" si="120"/>
        <v>0-3 months</v>
      </c>
      <c r="AU335" s="22" t="s">
        <v>3745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499582152.5142017</v>
      </c>
      <c r="AJ336" s="19">
        <f t="shared" si="105"/>
        <v>59520528.679470733</v>
      </c>
      <c r="AK336" s="20">
        <f t="shared" si="115"/>
        <v>0.11914062257814291</v>
      </c>
      <c r="AL336" s="17"/>
      <c r="AM336" s="17"/>
      <c r="AN336" s="17"/>
      <c r="AO336" s="17"/>
      <c r="AP336" s="28" t="str">
        <f t="shared" si="116"/>
        <v>CancelCancel</v>
      </c>
      <c r="AQ336" s="28" t="str">
        <f t="shared" si="117"/>
        <v>CancelCancelRMB</v>
      </c>
      <c r="AR336" s="206" t="str">
        <f t="shared" si="118"/>
        <v>YAMAHA_Mounter</v>
      </c>
      <c r="AS336" s="22" t="str">
        <f t="shared" si="119"/>
        <v/>
      </c>
      <c r="AT336" s="24" t="str">
        <f t="shared" si="120"/>
        <v/>
      </c>
      <c r="AU336" s="22" t="s">
        <v>3751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5"/>
        <v>0.12817220069617921</v>
      </c>
      <c r="AL337" s="17"/>
      <c r="AM337" s="17"/>
      <c r="AN337" s="17"/>
      <c r="AO337" s="17"/>
      <c r="AP337" s="28" t="str">
        <f t="shared" si="116"/>
        <v>20188</v>
      </c>
      <c r="AQ337" s="28" t="str">
        <f t="shared" si="117"/>
        <v>20188JPY</v>
      </c>
      <c r="AR337" s="206" t="str">
        <f t="shared" si="118"/>
        <v>YAMAHA_Mounter</v>
      </c>
      <c r="AS337" s="22">
        <f t="shared" si="119"/>
        <v>7</v>
      </c>
      <c r="AT337" s="24" t="str">
        <f t="shared" si="120"/>
        <v>&gt; 6 months</v>
      </c>
      <c r="AU337" s="22" t="s">
        <v>3746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5"/>
        <v>0.10468355339185161</v>
      </c>
      <c r="AL338" s="17"/>
      <c r="AM338" s="17"/>
      <c r="AN338" s="17"/>
      <c r="AO338" s="17"/>
      <c r="AP338" s="28" t="str">
        <f t="shared" si="116"/>
        <v>20198</v>
      </c>
      <c r="AQ338" s="28" t="str">
        <f t="shared" si="117"/>
        <v>20198RMB</v>
      </c>
      <c r="AR338" s="206" t="str">
        <f t="shared" si="118"/>
        <v>YAMAHA_Mounter</v>
      </c>
      <c r="AS338" s="22">
        <f t="shared" si="119"/>
        <v>0</v>
      </c>
      <c r="AT338" s="24" t="str">
        <f t="shared" si="120"/>
        <v>0-3 months</v>
      </c>
      <c r="AU338" s="22" t="s">
        <v>3744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5"/>
        <v>0.13424587441904964</v>
      </c>
      <c r="AL339" s="17"/>
      <c r="AM339" s="17"/>
      <c r="AN339" s="17"/>
      <c r="AO339" s="17"/>
      <c r="AP339" s="28" t="str">
        <f t="shared" si="116"/>
        <v>20208</v>
      </c>
      <c r="AQ339" s="28" t="str">
        <f t="shared" si="117"/>
        <v>20208JPY</v>
      </c>
      <c r="AR339" s="206" t="str">
        <f t="shared" si="118"/>
        <v>YAMAHA_Mounter</v>
      </c>
      <c r="AS339" s="22">
        <f t="shared" si="119"/>
        <v>1</v>
      </c>
      <c r="AT339" s="24" t="str">
        <f t="shared" si="120"/>
        <v>0-3 months</v>
      </c>
      <c r="AU339" s="22" t="s">
        <v>3745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5"/>
        <v>0.14813220831602228</v>
      </c>
      <c r="AL340" s="17"/>
      <c r="AM340" s="17"/>
      <c r="AN340" s="17"/>
      <c r="AO340" s="17"/>
      <c r="AP340" s="28" t="str">
        <f t="shared" si="116"/>
        <v>20205</v>
      </c>
      <c r="AQ340" s="28" t="str">
        <f t="shared" si="117"/>
        <v>20205JPY</v>
      </c>
      <c r="AR340" s="206" t="str">
        <f t="shared" si="118"/>
        <v>YAMAHA_Mounter</v>
      </c>
      <c r="AS340" s="22">
        <f t="shared" si="119"/>
        <v>1</v>
      </c>
      <c r="AT340" s="24" t="str">
        <f t="shared" si="120"/>
        <v>0-3 months</v>
      </c>
      <c r="AU340" s="22" t="s">
        <v>3745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5"/>
        <v>0.15166211427595458</v>
      </c>
      <c r="AL341" s="17"/>
      <c r="AM341" s="17"/>
      <c r="AN341" s="17"/>
      <c r="AO341" s="17"/>
      <c r="AP341" s="28" t="str">
        <f t="shared" si="116"/>
        <v>202211</v>
      </c>
      <c r="AQ341" s="28" t="str">
        <f t="shared" si="117"/>
        <v>202211RMB</v>
      </c>
      <c r="AR341" s="206" t="str">
        <f t="shared" si="118"/>
        <v>YAMAHA_Mounter</v>
      </c>
      <c r="AS341" s="22">
        <f t="shared" si="119"/>
        <v>1</v>
      </c>
      <c r="AT341" s="24" t="str">
        <f t="shared" si="120"/>
        <v>0-3 months</v>
      </c>
      <c r="AU341" s="22" t="s">
        <v>3751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30033846.584070798</v>
      </c>
      <c r="AJ342" s="19">
        <f t="shared" si="105"/>
        <v>3534936.4750884958</v>
      </c>
      <c r="AK342" s="20">
        <f t="shared" si="115"/>
        <v>0.11769842618039268</v>
      </c>
      <c r="AL342" s="17"/>
      <c r="AM342" s="17"/>
      <c r="AN342" s="17"/>
      <c r="AO342" s="17"/>
      <c r="AP342" s="28" t="str">
        <f t="shared" si="116"/>
        <v>TBATBA</v>
      </c>
      <c r="AQ342" s="28" t="str">
        <f t="shared" si="117"/>
        <v>TBATBARMB</v>
      </c>
      <c r="AR342" s="206" t="str">
        <f t="shared" si="118"/>
        <v>YAMAHA_Mounter</v>
      </c>
      <c r="AS342" s="22" t="str">
        <f t="shared" si="119"/>
        <v/>
      </c>
      <c r="AT342" s="24" t="str">
        <f t="shared" si="120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30033846.584070798</v>
      </c>
      <c r="AJ343" s="19">
        <f t="shared" si="105"/>
        <v>3534936.4750884958</v>
      </c>
      <c r="AK343" s="20">
        <f t="shared" si="115"/>
        <v>0.11769842618039268</v>
      </c>
      <c r="AL343" s="17"/>
      <c r="AM343" s="17"/>
      <c r="AN343" s="17"/>
      <c r="AO343" s="17"/>
      <c r="AP343" s="28" t="str">
        <f t="shared" si="116"/>
        <v>TBATBA</v>
      </c>
      <c r="AQ343" s="28" t="str">
        <f t="shared" si="117"/>
        <v>TBATBARMB</v>
      </c>
      <c r="AR343" s="206" t="str">
        <f t="shared" si="118"/>
        <v>YAMAHA_Mounter</v>
      </c>
      <c r="AS343" s="22" t="str">
        <f t="shared" si="119"/>
        <v/>
      </c>
      <c r="AT343" s="24" t="str">
        <f t="shared" si="120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5"/>
        <v>0.12943785838163113</v>
      </c>
      <c r="AL344" s="17"/>
      <c r="AM344" s="17"/>
      <c r="AN344" s="17"/>
      <c r="AO344" s="17"/>
      <c r="AP344" s="28" t="str">
        <f t="shared" si="116"/>
        <v>20199</v>
      </c>
      <c r="AQ344" s="28" t="str">
        <f t="shared" si="117"/>
        <v>20199RMB</v>
      </c>
      <c r="AR344" s="206" t="str">
        <f t="shared" si="118"/>
        <v>HELLER</v>
      </c>
      <c r="AS344" s="22">
        <f t="shared" si="119"/>
        <v>2</v>
      </c>
      <c r="AT344" s="24" t="str">
        <f t="shared" si="120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5"/>
        <v>0.11239662168514358</v>
      </c>
      <c r="AL345" s="17"/>
      <c r="AM345" s="17"/>
      <c r="AN345" s="17"/>
      <c r="AO345" s="17"/>
      <c r="AP345" s="28" t="str">
        <f t="shared" si="116"/>
        <v>201910</v>
      </c>
      <c r="AQ345" s="28" t="str">
        <f t="shared" si="117"/>
        <v>201910RMB</v>
      </c>
      <c r="AR345" s="206" t="str">
        <f t="shared" si="118"/>
        <v>YAMAHA_Mounter</v>
      </c>
      <c r="AS345" s="22">
        <f t="shared" si="119"/>
        <v>1</v>
      </c>
      <c r="AT345" s="24" t="str">
        <f t="shared" si="120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5"/>
        <v>0.11239662168514358</v>
      </c>
      <c r="AL346" s="17"/>
      <c r="AM346" s="17"/>
      <c r="AN346" s="17"/>
      <c r="AO346" s="17"/>
      <c r="AP346" s="28" t="str">
        <f t="shared" si="116"/>
        <v>201910</v>
      </c>
      <c r="AQ346" s="28" t="str">
        <f t="shared" si="117"/>
        <v>201910RMB</v>
      </c>
      <c r="AR346" s="206" t="str">
        <f t="shared" si="118"/>
        <v>YAMAHA_Mounter</v>
      </c>
      <c r="AS346" s="22">
        <f t="shared" si="119"/>
        <v>1</v>
      </c>
      <c r="AT346" s="24" t="str">
        <f t="shared" si="120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5"/>
        <v>0.11239662168514358</v>
      </c>
      <c r="AL347" s="17"/>
      <c r="AM347" s="17"/>
      <c r="AN347" s="17"/>
      <c r="AO347" s="17"/>
      <c r="AP347" s="28" t="str">
        <f t="shared" si="116"/>
        <v>201910</v>
      </c>
      <c r="AQ347" s="28" t="str">
        <f t="shared" si="117"/>
        <v>201910RMB</v>
      </c>
      <c r="AR347" s="206" t="str">
        <f t="shared" si="118"/>
        <v>YAMAHA_Mounter</v>
      </c>
      <c r="AS347" s="22">
        <f t="shared" si="119"/>
        <v>1</v>
      </c>
      <c r="AT347" s="24" t="str">
        <f t="shared" si="120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5"/>
        <v>0.12943785838163113</v>
      </c>
      <c r="AL348" s="17"/>
      <c r="AM348" s="17"/>
      <c r="AN348" s="17"/>
      <c r="AO348" s="17"/>
      <c r="AP348" s="28" t="str">
        <f t="shared" si="116"/>
        <v>20199</v>
      </c>
      <c r="AQ348" s="28" t="str">
        <f t="shared" si="117"/>
        <v>20199RMB</v>
      </c>
      <c r="AR348" s="206" t="str">
        <f t="shared" si="118"/>
        <v>YAMAHA_Mounter</v>
      </c>
      <c r="AS348" s="22">
        <f t="shared" si="119"/>
        <v>1</v>
      </c>
      <c r="AT348" s="24" t="str">
        <f t="shared" si="120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5"/>
        <v>0.12943785838163113</v>
      </c>
      <c r="AL349" s="17"/>
      <c r="AM349" s="17"/>
      <c r="AN349" s="17"/>
      <c r="AO349" s="17"/>
      <c r="AP349" s="28" t="str">
        <f t="shared" si="116"/>
        <v>20199</v>
      </c>
      <c r="AQ349" s="28" t="str">
        <f t="shared" si="117"/>
        <v>20199RMB</v>
      </c>
      <c r="AR349" s="206" t="str">
        <f t="shared" si="118"/>
        <v>YAMAHA_Mounter</v>
      </c>
      <c r="AS349" s="22">
        <f t="shared" si="119"/>
        <v>1</v>
      </c>
      <c r="AT349" s="24" t="str">
        <f t="shared" si="120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5"/>
        <v>0.12943785838163113</v>
      </c>
      <c r="AL350" s="17"/>
      <c r="AM350" s="17"/>
      <c r="AN350" s="17"/>
      <c r="AO350" s="17"/>
      <c r="AP350" s="28" t="str">
        <f t="shared" si="116"/>
        <v>20199</v>
      </c>
      <c r="AQ350" s="28" t="str">
        <f t="shared" si="117"/>
        <v>20199RMB</v>
      </c>
      <c r="AR350" s="206" t="str">
        <f t="shared" si="118"/>
        <v>YAMAHA_Mounter</v>
      </c>
      <c r="AS350" s="22">
        <f t="shared" si="119"/>
        <v>1</v>
      </c>
      <c r="AT350" s="24" t="str">
        <f t="shared" si="120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499582152.5142017</v>
      </c>
      <c r="AJ351" s="19">
        <f t="shared" si="105"/>
        <v>59520528.679470733</v>
      </c>
      <c r="AK351" s="20">
        <f t="shared" si="115"/>
        <v>0.11914062257814291</v>
      </c>
      <c r="AL351" s="17"/>
      <c r="AM351" s="17"/>
      <c r="AN351" s="17"/>
      <c r="AO351" s="17"/>
      <c r="AP351" s="28" t="str">
        <f t="shared" si="116"/>
        <v>CancelCANCEL</v>
      </c>
      <c r="AQ351" s="28" t="str">
        <f t="shared" si="117"/>
        <v>CancelCANCELRMB</v>
      </c>
      <c r="AR351" s="206" t="str">
        <f t="shared" si="118"/>
        <v>YAMAHA_Mounter</v>
      </c>
      <c r="AS351" s="22" t="str">
        <f t="shared" si="119"/>
        <v/>
      </c>
      <c r="AT351" s="24" t="str">
        <f t="shared" si="120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5"/>
        <v>0.14586180158193709</v>
      </c>
      <c r="AL352" s="17"/>
      <c r="AM352" s="17"/>
      <c r="AN352" s="17"/>
      <c r="AO352" s="17"/>
      <c r="AP352" s="28" t="str">
        <f t="shared" si="116"/>
        <v>20225</v>
      </c>
      <c r="AQ352" s="28" t="str">
        <f t="shared" si="117"/>
        <v>20225RMB</v>
      </c>
      <c r="AR352" s="206" t="str">
        <f t="shared" si="118"/>
        <v>YAMAHA_Mounter</v>
      </c>
      <c r="AS352" s="22">
        <f t="shared" si="119"/>
        <v>4</v>
      </c>
      <c r="AT352" s="24" t="str">
        <f t="shared" si="120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499582152.5142017</v>
      </c>
      <c r="AJ353" s="19">
        <f t="shared" si="105"/>
        <v>59520528.679470733</v>
      </c>
      <c r="AK353" s="20">
        <f t="shared" si="115"/>
        <v>0.11914062257814291</v>
      </c>
      <c r="AL353" s="17"/>
      <c r="AM353" s="17"/>
      <c r="AN353" s="17"/>
      <c r="AO353" s="17"/>
      <c r="AP353" s="28" t="str">
        <f t="shared" si="116"/>
        <v>CancelCANCEL</v>
      </c>
      <c r="AQ353" s="28" t="str">
        <f t="shared" si="117"/>
        <v>CancelCANCELRMB</v>
      </c>
      <c r="AR353" s="206" t="str">
        <f t="shared" si="118"/>
        <v>YAMAHA_Mounter</v>
      </c>
      <c r="AS353" s="22" t="str">
        <f t="shared" si="119"/>
        <v/>
      </c>
      <c r="AT353" s="24" t="str">
        <f t="shared" si="120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499582152.5142017</v>
      </c>
      <c r="AJ354" s="19">
        <f t="shared" si="105"/>
        <v>59520528.679470733</v>
      </c>
      <c r="AK354" s="20">
        <f t="shared" si="115"/>
        <v>0.11914062257814291</v>
      </c>
      <c r="AL354" s="17"/>
      <c r="AM354" s="17"/>
      <c r="AN354" s="17"/>
      <c r="AO354" s="17"/>
      <c r="AP354" s="28" t="str">
        <f t="shared" si="116"/>
        <v>CancelCANCEL</v>
      </c>
      <c r="AQ354" s="28" t="str">
        <f t="shared" si="117"/>
        <v>CancelCANCELRMB</v>
      </c>
      <c r="AR354" s="206" t="str">
        <f t="shared" si="118"/>
        <v>YAMAHA_Mounter</v>
      </c>
      <c r="AS354" s="22" t="str">
        <f t="shared" si="119"/>
        <v/>
      </c>
      <c r="AT354" s="24" t="str">
        <f t="shared" si="120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5"/>
        <v>0.11239662168514358</v>
      </c>
      <c r="AL355" s="17"/>
      <c r="AM355" s="17"/>
      <c r="AN355" s="17"/>
      <c r="AO355" s="17"/>
      <c r="AP355" s="28" t="str">
        <f t="shared" si="116"/>
        <v>201910</v>
      </c>
      <c r="AQ355" s="28" t="str">
        <f t="shared" si="117"/>
        <v>201910RMB</v>
      </c>
      <c r="AR355" s="206" t="str">
        <f t="shared" si="118"/>
        <v>YAMAHA_Mounter</v>
      </c>
      <c r="AS355" s="22">
        <f t="shared" si="119"/>
        <v>1</v>
      </c>
      <c r="AT355" s="24" t="str">
        <f t="shared" si="120"/>
        <v>0-3 months</v>
      </c>
      <c r="AU355" s="22" t="s">
        <v>3744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5"/>
        <v>0.11239662168514358</v>
      </c>
      <c r="AL356" s="17"/>
      <c r="AM356" s="17"/>
      <c r="AN356" s="17"/>
      <c r="AO356" s="17"/>
      <c r="AP356" s="28" t="str">
        <f t="shared" si="116"/>
        <v>201910</v>
      </c>
      <c r="AQ356" s="28" t="str">
        <f t="shared" si="117"/>
        <v>201910RMB</v>
      </c>
      <c r="AR356" s="206" t="str">
        <f t="shared" si="118"/>
        <v>YAMAHA_Mounter</v>
      </c>
      <c r="AS356" s="22">
        <f t="shared" si="119"/>
        <v>1</v>
      </c>
      <c r="AT356" s="24" t="str">
        <f t="shared" si="120"/>
        <v>0-3 months</v>
      </c>
      <c r="AU356" s="22" t="s">
        <v>3744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5"/>
        <v>0.12943785838163113</v>
      </c>
      <c r="AL357" s="17"/>
      <c r="AM357" s="17"/>
      <c r="AN357" s="17"/>
      <c r="AO357" s="17"/>
      <c r="AP357" s="28" t="str">
        <f t="shared" si="116"/>
        <v>20199</v>
      </c>
      <c r="AQ357" s="28" t="str">
        <f t="shared" si="117"/>
        <v>20199RMB</v>
      </c>
      <c r="AR357" s="206" t="str">
        <f t="shared" si="118"/>
        <v>YAMAHA_Mounter</v>
      </c>
      <c r="AS357" s="22">
        <f t="shared" si="119"/>
        <v>1</v>
      </c>
      <c r="AT357" s="24" t="str">
        <f t="shared" si="120"/>
        <v>0-3 months</v>
      </c>
      <c r="AU357" s="22" t="s">
        <v>3744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5"/>
        <v>0.12943785838163113</v>
      </c>
      <c r="AL358" s="17"/>
      <c r="AM358" s="17"/>
      <c r="AN358" s="17"/>
      <c r="AO358" s="17"/>
      <c r="AP358" s="28" t="str">
        <f t="shared" si="116"/>
        <v>20199</v>
      </c>
      <c r="AQ358" s="28" t="str">
        <f t="shared" si="117"/>
        <v>20199RMB</v>
      </c>
      <c r="AR358" s="206" t="str">
        <f t="shared" si="118"/>
        <v>YAMAHA_Mounter</v>
      </c>
      <c r="AS358" s="22">
        <f t="shared" si="119"/>
        <v>1</v>
      </c>
      <c r="AT358" s="24" t="str">
        <f t="shared" si="120"/>
        <v>0-3 months</v>
      </c>
      <c r="AU358" s="22" t="s">
        <v>3744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5"/>
        <v>0.12943785838163113</v>
      </c>
      <c r="AL359" s="17"/>
      <c r="AM359" s="17"/>
      <c r="AN359" s="17"/>
      <c r="AO359" s="17"/>
      <c r="AP359" s="28" t="str">
        <f t="shared" si="116"/>
        <v>20199</v>
      </c>
      <c r="AQ359" s="28" t="str">
        <f t="shared" si="117"/>
        <v>20199RMB</v>
      </c>
      <c r="AR359" s="206" t="str">
        <f t="shared" si="118"/>
        <v>YAMAHA_Mounter</v>
      </c>
      <c r="AS359" s="22">
        <f t="shared" si="119"/>
        <v>1</v>
      </c>
      <c r="AT359" s="24" t="str">
        <f t="shared" si="120"/>
        <v>0-3 months</v>
      </c>
      <c r="AU359" s="22" t="s">
        <v>3744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5"/>
        <v>0.12943785838163113</v>
      </c>
      <c r="AL360" s="17"/>
      <c r="AM360" s="17"/>
      <c r="AN360" s="17"/>
      <c r="AO360" s="17"/>
      <c r="AP360" s="28" t="str">
        <f t="shared" si="116"/>
        <v>20199</v>
      </c>
      <c r="AQ360" s="28" t="str">
        <f t="shared" si="117"/>
        <v>20199RMB</v>
      </c>
      <c r="AR360" s="206" t="str">
        <f t="shared" si="118"/>
        <v>YAMAHA_Mounter</v>
      </c>
      <c r="AS360" s="22">
        <f t="shared" si="119"/>
        <v>1</v>
      </c>
      <c r="AT360" s="24" t="str">
        <f t="shared" si="120"/>
        <v>0-3 months</v>
      </c>
      <c r="AU360" s="22" t="s">
        <v>3744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5"/>
        <v>0.12943785838163113</v>
      </c>
      <c r="AL361" s="17"/>
      <c r="AM361" s="17"/>
      <c r="AN361" s="17"/>
      <c r="AO361" s="17"/>
      <c r="AP361" s="28" t="str">
        <f t="shared" si="116"/>
        <v>20199</v>
      </c>
      <c r="AQ361" s="28" t="str">
        <f t="shared" si="117"/>
        <v>20199RMB</v>
      </c>
      <c r="AR361" s="206" t="str">
        <f t="shared" si="118"/>
        <v>YAMAHA_Mounter</v>
      </c>
      <c r="AS361" s="22">
        <f t="shared" si="119"/>
        <v>1</v>
      </c>
      <c r="AT361" s="24" t="str">
        <f t="shared" si="120"/>
        <v>0-3 months</v>
      </c>
      <c r="AU361" s="22" t="s">
        <v>3744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5"/>
        <v>0.12943785838163113</v>
      </c>
      <c r="AL362" s="17"/>
      <c r="AM362" s="17"/>
      <c r="AN362" s="17"/>
      <c r="AO362" s="17"/>
      <c r="AP362" s="28" t="str">
        <f t="shared" si="116"/>
        <v>20199</v>
      </c>
      <c r="AQ362" s="28" t="str">
        <f t="shared" si="117"/>
        <v>20199RMB</v>
      </c>
      <c r="AR362" s="206" t="str">
        <f t="shared" si="118"/>
        <v>YAMAHA_Mounter</v>
      </c>
      <c r="AS362" s="22">
        <f t="shared" si="119"/>
        <v>1</v>
      </c>
      <c r="AT362" s="24" t="str">
        <f t="shared" si="120"/>
        <v>0-3 months</v>
      </c>
      <c r="AU362" s="22" t="s">
        <v>3744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5"/>
        <v>0.12943785838163113</v>
      </c>
      <c r="AL363" s="17"/>
      <c r="AM363" s="17"/>
      <c r="AN363" s="17"/>
      <c r="AO363" s="17"/>
      <c r="AP363" s="28" t="str">
        <f t="shared" si="116"/>
        <v>20199</v>
      </c>
      <c r="AQ363" s="28" t="str">
        <f t="shared" si="117"/>
        <v>20199RMB</v>
      </c>
      <c r="AR363" s="206" t="str">
        <f t="shared" si="118"/>
        <v>YAMAHA_Mounter</v>
      </c>
      <c r="AS363" s="22">
        <f t="shared" si="119"/>
        <v>1</v>
      </c>
      <c r="AT363" s="24" t="str">
        <f t="shared" si="120"/>
        <v>0-3 months</v>
      </c>
      <c r="AU363" s="22" t="s">
        <v>3744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5"/>
        <v>0.12943785838163113</v>
      </c>
      <c r="AL364" s="17"/>
      <c r="AM364" s="17"/>
      <c r="AN364" s="17"/>
      <c r="AO364" s="17"/>
      <c r="AP364" s="28" t="str">
        <f t="shared" si="116"/>
        <v>20199</v>
      </c>
      <c r="AQ364" s="28" t="str">
        <f t="shared" si="117"/>
        <v>20199RMB</v>
      </c>
      <c r="AR364" s="206" t="str">
        <f t="shared" si="118"/>
        <v>YAMAHA_Mounter</v>
      </c>
      <c r="AS364" s="22">
        <f t="shared" si="119"/>
        <v>1</v>
      </c>
      <c r="AT364" s="24" t="str">
        <f t="shared" si="120"/>
        <v>0-3 months</v>
      </c>
      <c r="AU364" s="22" t="s">
        <v>3744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1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5"/>
        <v>0.15670322321692506</v>
      </c>
      <c r="AL365" s="17"/>
      <c r="AM365" s="17"/>
      <c r="AN365" s="17"/>
      <c r="AO365" s="17"/>
      <c r="AP365" s="28" t="str">
        <f t="shared" si="116"/>
        <v>20218</v>
      </c>
      <c r="AQ365" s="28" t="str">
        <f t="shared" si="117"/>
        <v>20218JPY</v>
      </c>
      <c r="AR365" s="206" t="str">
        <f t="shared" si="118"/>
        <v>YAMAHA_Mounter</v>
      </c>
      <c r="AS365" s="22">
        <f t="shared" si="119"/>
        <v>2</v>
      </c>
      <c r="AT365" s="24" t="str">
        <f t="shared" si="120"/>
        <v>0-3 months</v>
      </c>
      <c r="AU365" s="22" t="s">
        <v>3745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1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5"/>
        <v>0.15670322321692506</v>
      </c>
      <c r="AL366" s="17"/>
      <c r="AM366" s="17"/>
      <c r="AN366" s="17"/>
      <c r="AO366" s="17"/>
      <c r="AP366" s="28" t="str">
        <f t="shared" si="116"/>
        <v>20218</v>
      </c>
      <c r="AQ366" s="28" t="str">
        <f t="shared" si="117"/>
        <v>20218JPY</v>
      </c>
      <c r="AR366" s="206" t="str">
        <f t="shared" si="118"/>
        <v>YAMAHA_Mounter</v>
      </c>
      <c r="AS366" s="22">
        <f t="shared" si="119"/>
        <v>2</v>
      </c>
      <c r="AT366" s="24" t="str">
        <f t="shared" si="120"/>
        <v>0-3 months</v>
      </c>
      <c r="AU366" s="22" t="s">
        <v>3745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1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5"/>
        <v>0.15670322321692506</v>
      </c>
      <c r="AL367" s="17"/>
      <c r="AM367" s="17"/>
      <c r="AN367" s="17"/>
      <c r="AO367" s="17"/>
      <c r="AP367" s="28" t="str">
        <f t="shared" si="116"/>
        <v>20218</v>
      </c>
      <c r="AQ367" s="28" t="str">
        <f t="shared" si="117"/>
        <v>20218JPY</v>
      </c>
      <c r="AR367" s="206" t="str">
        <f t="shared" si="118"/>
        <v>YAMAHA_Mounter</v>
      </c>
      <c r="AS367" s="22">
        <f t="shared" si="119"/>
        <v>2</v>
      </c>
      <c r="AT367" s="24" t="str">
        <f t="shared" si="120"/>
        <v>0-3 months</v>
      </c>
      <c r="AU367" s="22" t="s">
        <v>3745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1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5"/>
        <v>0.15670322321692506</v>
      </c>
      <c r="AL368" s="17"/>
      <c r="AM368" s="17"/>
      <c r="AN368" s="17"/>
      <c r="AO368" s="17"/>
      <c r="AP368" s="28" t="str">
        <f t="shared" si="116"/>
        <v>20218</v>
      </c>
      <c r="AQ368" s="28" t="str">
        <f t="shared" si="117"/>
        <v>20218JPY</v>
      </c>
      <c r="AR368" s="206" t="str">
        <f t="shared" si="118"/>
        <v>YAMAHA_Mounter</v>
      </c>
      <c r="AS368" s="22">
        <f t="shared" si="119"/>
        <v>2</v>
      </c>
      <c r="AT368" s="24" t="str">
        <f t="shared" si="120"/>
        <v>0-3 months</v>
      </c>
      <c r="AU368" s="22" t="s">
        <v>3745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1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5"/>
        <v>0.11027140718984871</v>
      </c>
      <c r="AL369" s="17"/>
      <c r="AM369" s="17"/>
      <c r="AN369" s="17"/>
      <c r="AO369" s="17"/>
      <c r="AP369" s="28" t="str">
        <f t="shared" si="116"/>
        <v>202111</v>
      </c>
      <c r="AQ369" s="28" t="str">
        <f t="shared" si="117"/>
        <v>202111JPY</v>
      </c>
      <c r="AR369" s="206" t="str">
        <f t="shared" si="118"/>
        <v>YAMAHA_Mounter</v>
      </c>
      <c r="AS369" s="22">
        <f t="shared" si="119"/>
        <v>5</v>
      </c>
      <c r="AT369" s="24" t="str">
        <f t="shared" si="120"/>
        <v>4-6 months</v>
      </c>
      <c r="AU369" s="22" t="s">
        <v>3745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1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5"/>
        <v>0.11027140718984871</v>
      </c>
      <c r="AL370" s="17"/>
      <c r="AM370" s="17"/>
      <c r="AN370" s="17"/>
      <c r="AO370" s="17"/>
      <c r="AP370" s="28" t="str">
        <f t="shared" si="116"/>
        <v>202111</v>
      </c>
      <c r="AQ370" s="28" t="str">
        <f t="shared" si="117"/>
        <v>202111JPY</v>
      </c>
      <c r="AR370" s="206" t="str">
        <f t="shared" si="118"/>
        <v>YAMAHA_Mounter</v>
      </c>
      <c r="AS370" s="22">
        <f t="shared" si="119"/>
        <v>5</v>
      </c>
      <c r="AT370" s="24" t="str">
        <f t="shared" si="120"/>
        <v>4-6 months</v>
      </c>
      <c r="AU370" s="22" t="s">
        <v>3745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1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5"/>
        <v>0.1517070412191521</v>
      </c>
      <c r="AL371" s="17"/>
      <c r="AM371" s="17"/>
      <c r="AN371" s="17"/>
      <c r="AO371" s="17"/>
      <c r="AP371" s="28" t="str">
        <f t="shared" si="116"/>
        <v>202112</v>
      </c>
      <c r="AQ371" s="28" t="str">
        <f t="shared" si="117"/>
        <v>202112JPY</v>
      </c>
      <c r="AR371" s="206" t="str">
        <f t="shared" si="118"/>
        <v>YAMAHA_Mounter</v>
      </c>
      <c r="AS371" s="22">
        <f t="shared" si="119"/>
        <v>6</v>
      </c>
      <c r="AT371" s="24" t="str">
        <f t="shared" si="120"/>
        <v>4-6 months</v>
      </c>
      <c r="AU371" s="22" t="s">
        <v>3745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1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5"/>
        <v>0.1517070412191521</v>
      </c>
      <c r="AL372" s="17"/>
      <c r="AM372" s="17"/>
      <c r="AN372" s="17"/>
      <c r="AO372" s="17"/>
      <c r="AP372" s="28" t="str">
        <f t="shared" si="116"/>
        <v>202112</v>
      </c>
      <c r="AQ372" s="28" t="str">
        <f t="shared" si="117"/>
        <v>202112JPY</v>
      </c>
      <c r="AR372" s="206" t="str">
        <f t="shared" si="118"/>
        <v>YAMAHA_Mounter</v>
      </c>
      <c r="AS372" s="22">
        <f t="shared" si="119"/>
        <v>6</v>
      </c>
      <c r="AT372" s="24" t="str">
        <f t="shared" si="120"/>
        <v>4-6 months</v>
      </c>
      <c r="AU372" s="22" t="s">
        <v>3745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1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5"/>
        <v>0.12032530077218917</v>
      </c>
      <c r="AL373" s="17"/>
      <c r="AM373" s="17"/>
      <c r="AN373" s="17"/>
      <c r="AO373" s="17"/>
      <c r="AP373" s="28" t="str">
        <f t="shared" si="116"/>
        <v>20239</v>
      </c>
      <c r="AQ373" s="28" t="str">
        <f t="shared" si="117"/>
        <v>20239JPY</v>
      </c>
      <c r="AR373" s="206" t="str">
        <f t="shared" si="118"/>
        <v>YAMAHA_Mounter</v>
      </c>
      <c r="AS373" s="22">
        <f t="shared" si="119"/>
        <v>0</v>
      </c>
      <c r="AT373" s="24" t="str">
        <f t="shared" si="120"/>
        <v>0-3 months</v>
      </c>
      <c r="AU373" s="22" t="s">
        <v>3745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1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5"/>
        <v>0.12032530077218917</v>
      </c>
      <c r="AL374" s="17"/>
      <c r="AM374" s="17"/>
      <c r="AN374" s="17"/>
      <c r="AO374" s="17"/>
      <c r="AP374" s="28" t="str">
        <f t="shared" si="116"/>
        <v>20239</v>
      </c>
      <c r="AQ374" s="28" t="str">
        <f t="shared" si="117"/>
        <v>20239JPY</v>
      </c>
      <c r="AR374" s="206" t="str">
        <f t="shared" si="118"/>
        <v>YAMAHA_Mounter</v>
      </c>
      <c r="AS374" s="22">
        <f t="shared" si="119"/>
        <v>0</v>
      </c>
      <c r="AT374" s="24" t="str">
        <f t="shared" si="120"/>
        <v>0-3 months</v>
      </c>
      <c r="AU374" s="22" t="s">
        <v>3745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1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5"/>
        <v>0.12032530077218917</v>
      </c>
      <c r="AL375" s="17"/>
      <c r="AM375" s="17"/>
      <c r="AN375" s="17"/>
      <c r="AO375" s="17"/>
      <c r="AP375" s="28" t="str">
        <f t="shared" si="116"/>
        <v>20239</v>
      </c>
      <c r="AQ375" s="28" t="str">
        <f t="shared" si="117"/>
        <v>20239JPY</v>
      </c>
      <c r="AR375" s="206" t="str">
        <f t="shared" si="118"/>
        <v>YAMAHA_Mounter</v>
      </c>
      <c r="AS375" s="22">
        <f t="shared" si="119"/>
        <v>0</v>
      </c>
      <c r="AT375" s="24" t="str">
        <f t="shared" si="120"/>
        <v>0-3 months</v>
      </c>
      <c r="AU375" s="22" t="s">
        <v>3745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1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5"/>
        <v>0.12032530077218917</v>
      </c>
      <c r="AL376" s="17"/>
      <c r="AM376" s="17"/>
      <c r="AN376" s="17"/>
      <c r="AO376" s="17"/>
      <c r="AP376" s="28" t="str">
        <f t="shared" si="116"/>
        <v>20239</v>
      </c>
      <c r="AQ376" s="28" t="str">
        <f t="shared" si="117"/>
        <v>20239JPY</v>
      </c>
      <c r="AR376" s="206" t="str">
        <f t="shared" si="118"/>
        <v>YAMAHA_Mounter</v>
      </c>
      <c r="AS376" s="22">
        <f t="shared" si="119"/>
        <v>0</v>
      </c>
      <c r="AT376" s="24" t="str">
        <f t="shared" si="120"/>
        <v>0-3 months</v>
      </c>
      <c r="AU376" s="22" t="s">
        <v>3745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1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5"/>
        <v>0.13679824337660537</v>
      </c>
      <c r="AL377" s="17"/>
      <c r="AM377" s="17"/>
      <c r="AN377" s="17"/>
      <c r="AO377" s="17"/>
      <c r="AP377" s="28" t="str">
        <f t="shared" si="116"/>
        <v>20216</v>
      </c>
      <c r="AQ377" s="28" t="str">
        <f t="shared" si="117"/>
        <v>20216JPY</v>
      </c>
      <c r="AR377" s="206" t="str">
        <f t="shared" si="118"/>
        <v>YAMAHA_Mounter</v>
      </c>
      <c r="AS377" s="22">
        <f t="shared" si="119"/>
        <v>3</v>
      </c>
      <c r="AT377" s="24" t="str">
        <f t="shared" si="120"/>
        <v>0-3 months</v>
      </c>
      <c r="AU377" s="22" t="s">
        <v>3746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1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5"/>
        <v>0.13679824337660537</v>
      </c>
      <c r="AL378" s="17"/>
      <c r="AM378" s="17"/>
      <c r="AN378" s="17"/>
      <c r="AO378" s="17"/>
      <c r="AP378" s="28" t="str">
        <f t="shared" si="116"/>
        <v>20216</v>
      </c>
      <c r="AQ378" s="28" t="str">
        <f t="shared" si="117"/>
        <v>20216JPY</v>
      </c>
      <c r="AR378" s="206" t="str">
        <f t="shared" si="118"/>
        <v>YAMAHA_Mounter</v>
      </c>
      <c r="AS378" s="22">
        <f t="shared" si="119"/>
        <v>3</v>
      </c>
      <c r="AT378" s="24" t="str">
        <f t="shared" si="120"/>
        <v>0-3 months</v>
      </c>
      <c r="AU378" s="22" t="s">
        <v>3746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1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5"/>
        <v>0.13679824337660537</v>
      </c>
      <c r="AL379" s="17"/>
      <c r="AM379" s="17"/>
      <c r="AN379" s="17"/>
      <c r="AO379" s="17"/>
      <c r="AP379" s="28" t="str">
        <f t="shared" si="116"/>
        <v>20216</v>
      </c>
      <c r="AQ379" s="28" t="str">
        <f t="shared" si="117"/>
        <v>20216JPY</v>
      </c>
      <c r="AR379" s="206" t="str">
        <f t="shared" si="118"/>
        <v>YAMAHA_Mounter</v>
      </c>
      <c r="AS379" s="22">
        <f t="shared" si="119"/>
        <v>3</v>
      </c>
      <c r="AT379" s="24" t="str">
        <f t="shared" si="120"/>
        <v>0-3 months</v>
      </c>
      <c r="AU379" s="22" t="s">
        <v>3746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1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5"/>
        <v>0.13679824337660537</v>
      </c>
      <c r="AL380" s="17"/>
      <c r="AM380" s="17"/>
      <c r="AN380" s="17"/>
      <c r="AO380" s="17"/>
      <c r="AP380" s="28" t="str">
        <f t="shared" si="116"/>
        <v>20216</v>
      </c>
      <c r="AQ380" s="28" t="str">
        <f t="shared" si="117"/>
        <v>20216JPY</v>
      </c>
      <c r="AR380" s="206" t="str">
        <f t="shared" si="118"/>
        <v>YAMAHA_Mounter</v>
      </c>
      <c r="AS380" s="22">
        <f t="shared" si="119"/>
        <v>3</v>
      </c>
      <c r="AT380" s="24" t="str">
        <f t="shared" si="120"/>
        <v>0-3 months</v>
      </c>
      <c r="AU380" s="22" t="s">
        <v>3746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1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5"/>
        <v>0.13679824337660537</v>
      </c>
      <c r="AL381" s="17"/>
      <c r="AM381" s="17"/>
      <c r="AN381" s="17"/>
      <c r="AO381" s="17"/>
      <c r="AP381" s="28" t="str">
        <f t="shared" si="116"/>
        <v>20216</v>
      </c>
      <c r="AQ381" s="28" t="str">
        <f t="shared" si="117"/>
        <v>20216JPY</v>
      </c>
      <c r="AR381" s="206" t="str">
        <f t="shared" si="118"/>
        <v>YAMAHA_Mounter</v>
      </c>
      <c r="AS381" s="22">
        <f t="shared" si="119"/>
        <v>3</v>
      </c>
      <c r="AT381" s="24" t="str">
        <f t="shared" si="120"/>
        <v>0-3 months</v>
      </c>
      <c r="AU381" s="22" t="s">
        <v>3746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1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5"/>
        <v>0.13679824337660537</v>
      </c>
      <c r="AL382" s="17"/>
      <c r="AM382" s="17"/>
      <c r="AN382" s="17"/>
      <c r="AO382" s="17"/>
      <c r="AP382" s="28" t="str">
        <f t="shared" si="116"/>
        <v>20216</v>
      </c>
      <c r="AQ382" s="28" t="str">
        <f t="shared" si="117"/>
        <v>20216JPY</v>
      </c>
      <c r="AR382" s="206" t="str">
        <f t="shared" si="118"/>
        <v>YAMAHA_Mounter</v>
      </c>
      <c r="AS382" s="22">
        <f t="shared" si="119"/>
        <v>3</v>
      </c>
      <c r="AT382" s="24" t="str">
        <f t="shared" si="120"/>
        <v>0-3 months</v>
      </c>
      <c r="AU382" s="22" t="s">
        <v>3746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1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5"/>
        <v>0.13679824337660537</v>
      </c>
      <c r="AL383" s="17"/>
      <c r="AM383" s="17"/>
      <c r="AN383" s="17"/>
      <c r="AO383" s="17"/>
      <c r="AP383" s="28" t="str">
        <f t="shared" si="116"/>
        <v>20216</v>
      </c>
      <c r="AQ383" s="28" t="str">
        <f t="shared" si="117"/>
        <v>20216JPY</v>
      </c>
      <c r="AR383" s="206" t="str">
        <f t="shared" si="118"/>
        <v>YAMAHA_Mounter</v>
      </c>
      <c r="AS383" s="22">
        <f t="shared" si="119"/>
        <v>3</v>
      </c>
      <c r="AT383" s="24" t="str">
        <f t="shared" si="120"/>
        <v>0-3 months</v>
      </c>
      <c r="AU383" s="22" t="s">
        <v>3746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1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5"/>
        <v>0.13679824337660537</v>
      </c>
      <c r="AL384" s="17"/>
      <c r="AM384" s="17"/>
      <c r="AN384" s="17"/>
      <c r="AO384" s="17"/>
      <c r="AP384" s="28" t="str">
        <f t="shared" si="116"/>
        <v>20216</v>
      </c>
      <c r="AQ384" s="28" t="str">
        <f t="shared" si="117"/>
        <v>20216JPY</v>
      </c>
      <c r="AR384" s="206" t="str">
        <f t="shared" si="118"/>
        <v>YAMAHA_Mounter</v>
      </c>
      <c r="AS384" s="22">
        <f t="shared" si="119"/>
        <v>3</v>
      </c>
      <c r="AT384" s="24" t="str">
        <f t="shared" si="120"/>
        <v>0-3 months</v>
      </c>
      <c r="AU384" s="22" t="s">
        <v>3746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1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5"/>
        <v>0.13679824337660537</v>
      </c>
      <c r="AL385" s="17"/>
      <c r="AM385" s="17"/>
      <c r="AN385" s="17"/>
      <c r="AO385" s="17"/>
      <c r="AP385" s="28" t="str">
        <f t="shared" si="116"/>
        <v>20216</v>
      </c>
      <c r="AQ385" s="28" t="str">
        <f t="shared" si="117"/>
        <v>20216JPY</v>
      </c>
      <c r="AR385" s="206" t="str">
        <f t="shared" si="118"/>
        <v>YAMAHA_Mounter</v>
      </c>
      <c r="AS385" s="22">
        <f t="shared" si="119"/>
        <v>3</v>
      </c>
      <c r="AT385" s="24" t="str">
        <f t="shared" si="120"/>
        <v>0-3 months</v>
      </c>
      <c r="AU385" s="22" t="s">
        <v>3746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1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5"/>
        <v>0.13679824337660537</v>
      </c>
      <c r="AL386" s="17"/>
      <c r="AM386" s="17"/>
      <c r="AN386" s="17"/>
      <c r="AO386" s="17"/>
      <c r="AP386" s="28" t="str">
        <f t="shared" si="116"/>
        <v>20216</v>
      </c>
      <c r="AQ386" s="28" t="str">
        <f t="shared" si="117"/>
        <v>20216JPY</v>
      </c>
      <c r="AR386" s="206" t="str">
        <f t="shared" si="118"/>
        <v>YAMAHA_Mounter</v>
      </c>
      <c r="AS386" s="22">
        <f t="shared" si="119"/>
        <v>3</v>
      </c>
      <c r="AT386" s="24" t="str">
        <f t="shared" si="120"/>
        <v>0-3 months</v>
      </c>
      <c r="AU386" s="22" t="s">
        <v>3746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1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5"/>
        <v>0.13679824337660537</v>
      </c>
      <c r="AL387" s="17"/>
      <c r="AM387" s="17"/>
      <c r="AN387" s="17"/>
      <c r="AO387" s="17"/>
      <c r="AP387" s="28" t="str">
        <f t="shared" si="116"/>
        <v>20216</v>
      </c>
      <c r="AQ387" s="28" t="str">
        <f t="shared" si="117"/>
        <v>20216JPY</v>
      </c>
      <c r="AR387" s="206" t="str">
        <f t="shared" si="118"/>
        <v>YAMAHA_Mounter</v>
      </c>
      <c r="AS387" s="22">
        <f t="shared" si="119"/>
        <v>3</v>
      </c>
      <c r="AT387" s="24" t="str">
        <f t="shared" si="120"/>
        <v>0-3 months</v>
      </c>
      <c r="AU387" s="22" t="s">
        <v>3746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1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5"/>
        <v>0.13679824337660537</v>
      </c>
      <c r="AL388" s="17"/>
      <c r="AM388" s="17"/>
      <c r="AN388" s="17"/>
      <c r="AO388" s="17"/>
      <c r="AP388" s="28" t="str">
        <f t="shared" si="116"/>
        <v>20216</v>
      </c>
      <c r="AQ388" s="28" t="str">
        <f t="shared" si="117"/>
        <v>20216JPY</v>
      </c>
      <c r="AR388" s="206" t="str">
        <f t="shared" si="118"/>
        <v>YAMAHA_Mounter</v>
      </c>
      <c r="AS388" s="22">
        <f t="shared" si="119"/>
        <v>3</v>
      </c>
      <c r="AT388" s="24" t="str">
        <f t="shared" si="120"/>
        <v>0-3 months</v>
      </c>
      <c r="AU388" s="22" t="s">
        <v>3746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1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5"/>
        <v>0.13679824337660537</v>
      </c>
      <c r="AL389" s="17"/>
      <c r="AM389" s="17"/>
      <c r="AN389" s="17"/>
      <c r="AO389" s="17"/>
      <c r="AP389" s="28" t="str">
        <f t="shared" si="116"/>
        <v>20216</v>
      </c>
      <c r="AQ389" s="28" t="str">
        <f t="shared" si="117"/>
        <v>20216JPY</v>
      </c>
      <c r="AR389" s="206" t="str">
        <f t="shared" si="118"/>
        <v>YAMAHA_Mounter</v>
      </c>
      <c r="AS389" s="22">
        <f t="shared" si="119"/>
        <v>3</v>
      </c>
      <c r="AT389" s="24" t="str">
        <f t="shared" si="120"/>
        <v>0-3 months</v>
      </c>
      <c r="AU389" s="22" t="s">
        <v>3746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1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2">IF(AJ390&gt;0,AJ390/AI390,"")</f>
        <v>0.13679824337660537</v>
      </c>
      <c r="AL390" s="17"/>
      <c r="AM390" s="17"/>
      <c r="AN390" s="17"/>
      <c r="AO390" s="17"/>
      <c r="AP390" s="28" t="str">
        <f t="shared" ref="AP390:AP453" si="133">IF(F390="","",F390&amp;G390)</f>
        <v>20216</v>
      </c>
      <c r="AQ390" s="28" t="str">
        <f t="shared" ref="AQ390:AQ453" si="134">IF(W390="","",F390&amp;G390&amp;W390)</f>
        <v>20216JPY</v>
      </c>
      <c r="AR390" s="206" t="str">
        <f t="shared" ref="AR390:AR453" si="135">IFERROR(IF(AND(M390="YAMAHA", R390="C28"), "YAMAHA_Non_Mounter", IF(AND(M390="YAMAHA", R390="C49"), "YAMAHA_Mounter", M390)),"")</f>
        <v>YAMAHA_Mounter</v>
      </c>
      <c r="AS390" s="22">
        <f t="shared" ref="AS390:AS453" si="136">IFERROR(IF(OR(G390="TBA", G390=""), "", DATEDIF(DATE(B390, C390, 1), DATE(F390, G390, 1), "M")),"")</f>
        <v>3</v>
      </c>
      <c r="AT390" s="24" t="str">
        <f t="shared" ref="AT390:AT453" si="137">IF(ISNUMBER(AS390), IF(AS390&gt;=0, IF(AS390&lt;=3, "0-3 months", IF(AS390&lt;=6, "4-6 months", "&gt; 6 months"))), "")</f>
        <v>0-3 months</v>
      </c>
      <c r="AU390" s="22" t="s">
        <v>3746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1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2"/>
        <v>0.13679824337660537</v>
      </c>
      <c r="AL391" s="17"/>
      <c r="AM391" s="17"/>
      <c r="AN391" s="17"/>
      <c r="AO391" s="17"/>
      <c r="AP391" s="28" t="str">
        <f t="shared" si="133"/>
        <v>20216</v>
      </c>
      <c r="AQ391" s="28" t="str">
        <f t="shared" si="134"/>
        <v>20216JPY</v>
      </c>
      <c r="AR391" s="206" t="str">
        <f t="shared" si="135"/>
        <v>YAMAHA_Mounter</v>
      </c>
      <c r="AS391" s="22">
        <f t="shared" si="136"/>
        <v>3</v>
      </c>
      <c r="AT391" s="24" t="str">
        <f t="shared" si="137"/>
        <v>0-3 months</v>
      </c>
      <c r="AU391" s="22" t="s">
        <v>3746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1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2"/>
        <v>0.13679824337660537</v>
      </c>
      <c r="AL392" s="17"/>
      <c r="AM392" s="17"/>
      <c r="AN392" s="17"/>
      <c r="AO392" s="17"/>
      <c r="AP392" s="28" t="str">
        <f t="shared" si="133"/>
        <v>20216</v>
      </c>
      <c r="AQ392" s="28" t="str">
        <f t="shared" si="134"/>
        <v>20216JPY</v>
      </c>
      <c r="AR392" s="206" t="str">
        <f t="shared" si="135"/>
        <v>YAMAHA_Mounter</v>
      </c>
      <c r="AS392" s="22">
        <f t="shared" si="136"/>
        <v>3</v>
      </c>
      <c r="AT392" s="24" t="str">
        <f t="shared" si="137"/>
        <v>0-3 months</v>
      </c>
      <c r="AU392" s="22" t="s">
        <v>3746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1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2"/>
        <v>0.13679824337660537</v>
      </c>
      <c r="AL393" s="17"/>
      <c r="AM393" s="17"/>
      <c r="AN393" s="17"/>
      <c r="AO393" s="17"/>
      <c r="AP393" s="28" t="str">
        <f t="shared" si="133"/>
        <v>20216</v>
      </c>
      <c r="AQ393" s="28" t="str">
        <f t="shared" si="134"/>
        <v>20216JPY</v>
      </c>
      <c r="AR393" s="206" t="str">
        <f t="shared" si="135"/>
        <v>YAMAHA_Mounter</v>
      </c>
      <c r="AS393" s="22">
        <f t="shared" si="136"/>
        <v>3</v>
      </c>
      <c r="AT393" s="24" t="str">
        <f t="shared" si="137"/>
        <v>0-3 months</v>
      </c>
      <c r="AU393" s="22" t="s">
        <v>3746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1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2"/>
        <v>0.13679824337660537</v>
      </c>
      <c r="AL394" s="17"/>
      <c r="AM394" s="17"/>
      <c r="AN394" s="17"/>
      <c r="AO394" s="17"/>
      <c r="AP394" s="28" t="str">
        <f t="shared" si="133"/>
        <v>20216</v>
      </c>
      <c r="AQ394" s="28" t="str">
        <f t="shared" si="134"/>
        <v>20216JPY</v>
      </c>
      <c r="AR394" s="206" t="str">
        <f t="shared" si="135"/>
        <v>YAMAHA_Mounter</v>
      </c>
      <c r="AS394" s="22">
        <f t="shared" si="136"/>
        <v>3</v>
      </c>
      <c r="AT394" s="24" t="str">
        <f t="shared" si="137"/>
        <v>0-3 months</v>
      </c>
      <c r="AU394" s="22" t="s">
        <v>3746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1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2"/>
        <v>0.13679824337660537</v>
      </c>
      <c r="AL395" s="17"/>
      <c r="AM395" s="17"/>
      <c r="AN395" s="17"/>
      <c r="AO395" s="17"/>
      <c r="AP395" s="28" t="str">
        <f t="shared" si="133"/>
        <v>20216</v>
      </c>
      <c r="AQ395" s="28" t="str">
        <f t="shared" si="134"/>
        <v>20216JPY</v>
      </c>
      <c r="AR395" s="206" t="str">
        <f t="shared" si="135"/>
        <v>YAMAHA_Mounter</v>
      </c>
      <c r="AS395" s="22">
        <f t="shared" si="136"/>
        <v>3</v>
      </c>
      <c r="AT395" s="24" t="str">
        <f t="shared" si="137"/>
        <v>0-3 months</v>
      </c>
      <c r="AU395" s="22" t="s">
        <v>3746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2"/>
        <v>0.13071226364205143</v>
      </c>
      <c r="AL396" s="17"/>
      <c r="AM396" s="17"/>
      <c r="AN396" s="17"/>
      <c r="AO396" s="17"/>
      <c r="AP396" s="28" t="str">
        <f t="shared" si="133"/>
        <v>20197</v>
      </c>
      <c r="AQ396" s="28" t="str">
        <f t="shared" si="134"/>
        <v>20197RMB</v>
      </c>
      <c r="AR396" s="206" t="str">
        <f t="shared" si="135"/>
        <v>YAMAHA_Mounter</v>
      </c>
      <c r="AS396" s="22">
        <f t="shared" si="136"/>
        <v>0</v>
      </c>
      <c r="AT396" s="24" t="str">
        <f t="shared" si="137"/>
        <v>0-3 months</v>
      </c>
      <c r="AU396" s="22" t="s">
        <v>3744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38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2"/>
        <v>0.12142827497242578</v>
      </c>
      <c r="AL397" s="17"/>
      <c r="AM397" s="17"/>
      <c r="AN397" s="17"/>
      <c r="AO397" s="17"/>
      <c r="AP397" s="28" t="str">
        <f t="shared" si="133"/>
        <v>202010</v>
      </c>
      <c r="AQ397" s="28" t="str">
        <f t="shared" si="134"/>
        <v>202010JPY</v>
      </c>
      <c r="AR397" s="206" t="str">
        <f t="shared" si="135"/>
        <v>YAMAHA_Mounter</v>
      </c>
      <c r="AS397" s="22">
        <f t="shared" si="136"/>
        <v>1</v>
      </c>
      <c r="AT397" s="24" t="str">
        <f t="shared" si="137"/>
        <v>0-3 months</v>
      </c>
      <c r="AU397" s="22" t="s">
        <v>3746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38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2"/>
        <v>0.12968149510667554</v>
      </c>
      <c r="AL398" s="17"/>
      <c r="AM398" s="17"/>
      <c r="AN398" s="17"/>
      <c r="AO398" s="17"/>
      <c r="AP398" s="28" t="str">
        <f t="shared" si="133"/>
        <v>20221</v>
      </c>
      <c r="AQ398" s="28" t="str">
        <f t="shared" si="134"/>
        <v>20221JPY</v>
      </c>
      <c r="AR398" s="206" t="str">
        <f t="shared" si="135"/>
        <v>YAMAHA_Mounter</v>
      </c>
      <c r="AS398" s="22">
        <f t="shared" si="136"/>
        <v>8</v>
      </c>
      <c r="AT398" s="24" t="str">
        <f t="shared" si="137"/>
        <v>&gt; 6 months</v>
      </c>
      <c r="AU398" s="22" t="s">
        <v>3746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38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2"/>
        <v>0.14613378412599562</v>
      </c>
      <c r="AL399" s="17"/>
      <c r="AM399" s="17"/>
      <c r="AN399" s="17"/>
      <c r="AO399" s="17"/>
      <c r="AP399" s="28" t="str">
        <f t="shared" si="133"/>
        <v>20227</v>
      </c>
      <c r="AQ399" s="28" t="str">
        <f t="shared" si="134"/>
        <v>20227JPY</v>
      </c>
      <c r="AR399" s="206" t="str">
        <f t="shared" si="135"/>
        <v>YAMAHA_Mounter</v>
      </c>
      <c r="AS399" s="22">
        <f t="shared" si="136"/>
        <v>2</v>
      </c>
      <c r="AT399" s="24" t="str">
        <f t="shared" si="137"/>
        <v>0-3 months</v>
      </c>
      <c r="AU399" s="22" t="s">
        <v>3746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38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2"/>
        <v>0.14613378412599562</v>
      </c>
      <c r="AL400" s="17"/>
      <c r="AM400" s="17"/>
      <c r="AN400" s="17"/>
      <c r="AO400" s="17"/>
      <c r="AP400" s="28" t="str">
        <f t="shared" si="133"/>
        <v>20227</v>
      </c>
      <c r="AQ400" s="28" t="str">
        <f t="shared" si="134"/>
        <v>20227JPY</v>
      </c>
      <c r="AR400" s="206" t="str">
        <f t="shared" si="135"/>
        <v>YAMAHA_Mounter</v>
      </c>
      <c r="AS400" s="22">
        <f t="shared" si="136"/>
        <v>2</v>
      </c>
      <c r="AT400" s="24" t="str">
        <f t="shared" si="137"/>
        <v>0-3 months</v>
      </c>
      <c r="AU400" s="22" t="s">
        <v>3746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38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2"/>
        <v>0.12327425538313459</v>
      </c>
      <c r="AL401" s="17"/>
      <c r="AM401" s="17"/>
      <c r="AN401" s="17"/>
      <c r="AO401" s="17"/>
      <c r="AP401" s="28" t="str">
        <f t="shared" si="133"/>
        <v>20237</v>
      </c>
      <c r="AQ401" s="28" t="str">
        <f t="shared" si="134"/>
        <v>20237JPY</v>
      </c>
      <c r="AR401" s="206" t="str">
        <f t="shared" si="135"/>
        <v>YAMAHA_Mounter</v>
      </c>
      <c r="AS401" s="22">
        <f t="shared" si="136"/>
        <v>1</v>
      </c>
      <c r="AT401" s="24" t="str">
        <f t="shared" si="137"/>
        <v>0-3 months</v>
      </c>
      <c r="AU401" s="22" t="s">
        <v>3746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38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2"/>
        <v>0.12327425538313459</v>
      </c>
      <c r="AL402" s="17"/>
      <c r="AM402" s="17"/>
      <c r="AN402" s="17"/>
      <c r="AO402" s="17"/>
      <c r="AP402" s="28" t="str">
        <f t="shared" si="133"/>
        <v>20237</v>
      </c>
      <c r="AQ402" s="28" t="str">
        <f t="shared" si="134"/>
        <v>20237JPY</v>
      </c>
      <c r="AR402" s="206" t="str">
        <f t="shared" si="135"/>
        <v>YAMAHA_Mounter</v>
      </c>
      <c r="AS402" s="22">
        <f t="shared" si="136"/>
        <v>1</v>
      </c>
      <c r="AT402" s="24" t="str">
        <f t="shared" si="137"/>
        <v>0-3 months</v>
      </c>
      <c r="AU402" s="22" t="s">
        <v>3746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38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2"/>
        <v>0.12327425538313459</v>
      </c>
      <c r="AL403" s="17"/>
      <c r="AM403" s="17"/>
      <c r="AN403" s="17"/>
      <c r="AO403" s="17"/>
      <c r="AP403" s="28" t="str">
        <f t="shared" si="133"/>
        <v>20237</v>
      </c>
      <c r="AQ403" s="28" t="str">
        <f t="shared" si="134"/>
        <v>20237JPY</v>
      </c>
      <c r="AR403" s="206" t="str">
        <f t="shared" si="135"/>
        <v>YAMAHA_Mounter</v>
      </c>
      <c r="AS403" s="22">
        <f t="shared" si="136"/>
        <v>1</v>
      </c>
      <c r="AT403" s="24" t="str">
        <f t="shared" si="137"/>
        <v>0-3 months</v>
      </c>
      <c r="AU403" s="22" t="s">
        <v>3746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38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2"/>
        <v>0.14030125523967318</v>
      </c>
      <c r="AL404" s="17"/>
      <c r="AM404" s="17"/>
      <c r="AN404" s="17"/>
      <c r="AO404" s="17"/>
      <c r="AP404" s="28" t="str">
        <f t="shared" si="133"/>
        <v>20233</v>
      </c>
      <c r="AQ404" s="28" t="str">
        <f t="shared" si="134"/>
        <v>20233RMB</v>
      </c>
      <c r="AR404" s="206" t="str">
        <f t="shared" si="135"/>
        <v>YAMAHA_Mounter</v>
      </c>
      <c r="AS404" s="22">
        <f t="shared" si="136"/>
        <v>1</v>
      </c>
      <c r="AT404" s="24" t="str">
        <f t="shared" si="137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2"/>
        <v>0.13314606898547499</v>
      </c>
      <c r="AL405" s="17"/>
      <c r="AM405" s="17"/>
      <c r="AN405" s="17"/>
      <c r="AO405" s="17"/>
      <c r="AP405" s="28" t="str">
        <f t="shared" si="133"/>
        <v>20187</v>
      </c>
      <c r="AQ405" s="28" t="str">
        <f t="shared" si="134"/>
        <v>20187RMB</v>
      </c>
      <c r="AR405" s="206" t="str">
        <f t="shared" si="135"/>
        <v>YAMAHA_Mounter</v>
      </c>
      <c r="AS405" s="22">
        <f t="shared" si="136"/>
        <v>3</v>
      </c>
      <c r="AT405" s="24" t="str">
        <f t="shared" si="137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2"/>
        <v>0.13314606898547499</v>
      </c>
      <c r="AL406" s="17"/>
      <c r="AM406" s="17"/>
      <c r="AN406" s="17"/>
      <c r="AO406" s="17"/>
      <c r="AP406" s="28" t="str">
        <f t="shared" si="133"/>
        <v>20187</v>
      </c>
      <c r="AQ406" s="28" t="str">
        <f t="shared" si="134"/>
        <v>20187RMB</v>
      </c>
      <c r="AR406" s="206" t="str">
        <f t="shared" si="135"/>
        <v>YAMAHA_Mounter</v>
      </c>
      <c r="AS406" s="22">
        <f t="shared" si="136"/>
        <v>3</v>
      </c>
      <c r="AT406" s="24" t="str">
        <f t="shared" si="137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2"/>
        <v>0.12819972531798121</v>
      </c>
      <c r="AL407" s="17"/>
      <c r="AM407" s="17"/>
      <c r="AN407" s="17"/>
      <c r="AO407" s="17"/>
      <c r="AP407" s="28" t="str">
        <f t="shared" si="133"/>
        <v>20206</v>
      </c>
      <c r="AQ407" s="28" t="str">
        <f t="shared" si="134"/>
        <v>20206RMB</v>
      </c>
      <c r="AR407" s="206" t="str">
        <f t="shared" si="135"/>
        <v>YAMAHA_Mounter</v>
      </c>
      <c r="AS407" s="22">
        <f t="shared" si="136"/>
        <v>3</v>
      </c>
      <c r="AT407" s="24" t="str">
        <f t="shared" si="137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2"/>
        <v>0.12819972531798121</v>
      </c>
      <c r="AL408" s="17"/>
      <c r="AM408" s="17"/>
      <c r="AN408" s="17"/>
      <c r="AO408" s="17"/>
      <c r="AP408" s="28" t="str">
        <f t="shared" si="133"/>
        <v>20206</v>
      </c>
      <c r="AQ408" s="28" t="str">
        <f t="shared" si="134"/>
        <v>20206RMB</v>
      </c>
      <c r="AR408" s="206" t="str">
        <f t="shared" si="135"/>
        <v>YAMAHA_Mounter</v>
      </c>
      <c r="AS408" s="22">
        <f t="shared" si="136"/>
        <v>3</v>
      </c>
      <c r="AT408" s="24" t="str">
        <f t="shared" si="137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2"/>
        <v>0.18161388835511752</v>
      </c>
      <c r="AL409" s="17"/>
      <c r="AM409" s="17"/>
      <c r="AN409" s="17"/>
      <c r="AO409" s="17"/>
      <c r="AP409" s="28" t="str">
        <f t="shared" si="133"/>
        <v>20238</v>
      </c>
      <c r="AQ409" s="28" t="str">
        <f t="shared" si="134"/>
        <v>20238RMB</v>
      </c>
      <c r="AR409" s="206" t="str">
        <f t="shared" si="135"/>
        <v>YAMAHA_Mounter</v>
      </c>
      <c r="AS409" s="22">
        <f t="shared" si="136"/>
        <v>4</v>
      </c>
      <c r="AT409" s="24" t="str">
        <f t="shared" si="137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2"/>
        <v>0.18161388835511752</v>
      </c>
      <c r="AL410" s="17"/>
      <c r="AM410" s="17"/>
      <c r="AN410" s="17"/>
      <c r="AO410" s="17"/>
      <c r="AP410" s="28" t="str">
        <f t="shared" si="133"/>
        <v>20238</v>
      </c>
      <c r="AQ410" s="28" t="str">
        <f t="shared" si="134"/>
        <v>20238RMB</v>
      </c>
      <c r="AR410" s="206" t="str">
        <f t="shared" si="135"/>
        <v>YAMAHA_Mounter</v>
      </c>
      <c r="AS410" s="22">
        <f t="shared" si="136"/>
        <v>4</v>
      </c>
      <c r="AT410" s="24" t="str">
        <f t="shared" si="137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2"/>
        <v>0.18161388835511752</v>
      </c>
      <c r="AL411" s="17"/>
      <c r="AM411" s="17"/>
      <c r="AN411" s="17"/>
      <c r="AO411" s="17"/>
      <c r="AP411" s="28" t="str">
        <f t="shared" si="133"/>
        <v>20238</v>
      </c>
      <c r="AQ411" s="28" t="str">
        <f t="shared" si="134"/>
        <v>20238RMB</v>
      </c>
      <c r="AR411" s="206" t="str">
        <f t="shared" si="135"/>
        <v>YAMAHA_Mounter</v>
      </c>
      <c r="AS411" s="22">
        <f t="shared" si="136"/>
        <v>4</v>
      </c>
      <c r="AT411" s="24" t="str">
        <f t="shared" si="137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2"/>
        <v>0.18161388835511752</v>
      </c>
      <c r="AL412" s="17"/>
      <c r="AM412" s="17"/>
      <c r="AN412" s="17"/>
      <c r="AO412" s="17"/>
      <c r="AP412" s="28" t="str">
        <f t="shared" si="133"/>
        <v>20238</v>
      </c>
      <c r="AQ412" s="28" t="str">
        <f t="shared" si="134"/>
        <v>20238RMB</v>
      </c>
      <c r="AR412" s="206" t="str">
        <f t="shared" si="135"/>
        <v>YAMAHA_Non_Mounter</v>
      </c>
      <c r="AS412" s="22">
        <f t="shared" si="136"/>
        <v>4</v>
      </c>
      <c r="AT412" s="24" t="str">
        <f t="shared" si="137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2"/>
        <v>0.1413884065477731</v>
      </c>
      <c r="AL413" s="17"/>
      <c r="AM413" s="17"/>
      <c r="AN413" s="17"/>
      <c r="AO413" s="17"/>
      <c r="AP413" s="28" t="str">
        <f t="shared" si="133"/>
        <v>20236</v>
      </c>
      <c r="AQ413" s="28" t="str">
        <f t="shared" si="134"/>
        <v>20236RMB</v>
      </c>
      <c r="AR413" s="206" t="str">
        <f t="shared" si="135"/>
        <v>SOLDERSTAR</v>
      </c>
      <c r="AS413" s="22">
        <f t="shared" si="136"/>
        <v>1</v>
      </c>
      <c r="AT413" s="24" t="str">
        <f t="shared" si="137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39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2"/>
        <v>0.16347849649632912</v>
      </c>
      <c r="AL414" s="17"/>
      <c r="AM414" s="17"/>
      <c r="AN414" s="17"/>
      <c r="AO414" s="17"/>
      <c r="AP414" s="28" t="str">
        <f t="shared" si="133"/>
        <v>20226</v>
      </c>
      <c r="AQ414" s="28" t="str">
        <f t="shared" si="134"/>
        <v>20226RMB</v>
      </c>
      <c r="AR414" s="206" t="str">
        <f t="shared" si="135"/>
        <v>YAMAHA_Mounter</v>
      </c>
      <c r="AS414" s="22">
        <f t="shared" si="136"/>
        <v>8</v>
      </c>
      <c r="AT414" s="24" t="str">
        <f t="shared" si="137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39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2"/>
        <v>0.12399518179964254</v>
      </c>
      <c r="AL415" s="17"/>
      <c r="AM415" s="17"/>
      <c r="AN415" s="17"/>
      <c r="AO415" s="17"/>
      <c r="AP415" s="28" t="str">
        <f t="shared" si="133"/>
        <v>20234</v>
      </c>
      <c r="AQ415" s="28" t="str">
        <f t="shared" si="134"/>
        <v>20234RMB</v>
      </c>
      <c r="AR415" s="206" t="str">
        <f t="shared" si="135"/>
        <v>YAMAHA_Mounter</v>
      </c>
      <c r="AS415" s="22">
        <f t="shared" si="136"/>
        <v>0</v>
      </c>
      <c r="AT415" s="24" t="str">
        <f t="shared" si="137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39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2"/>
        <v>0.13845607946397598</v>
      </c>
      <c r="AL416" s="17"/>
      <c r="AM416" s="17"/>
      <c r="AN416" s="17"/>
      <c r="AO416" s="17"/>
      <c r="AP416" s="28" t="str">
        <f t="shared" si="133"/>
        <v>20222</v>
      </c>
      <c r="AQ416" s="28" t="str">
        <f t="shared" si="134"/>
        <v>20222RMB</v>
      </c>
      <c r="AR416" s="206" t="str">
        <f t="shared" si="135"/>
        <v>YAMAHA_Mounter</v>
      </c>
      <c r="AS416" s="22">
        <f t="shared" si="136"/>
        <v>5</v>
      </c>
      <c r="AT416" s="24" t="str">
        <f t="shared" si="137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39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2"/>
        <v>0.13845607946397598</v>
      </c>
      <c r="AL417" s="17"/>
      <c r="AM417" s="17"/>
      <c r="AN417" s="17"/>
      <c r="AO417" s="17"/>
      <c r="AP417" s="28" t="str">
        <f t="shared" si="133"/>
        <v>20222</v>
      </c>
      <c r="AQ417" s="28" t="str">
        <f t="shared" si="134"/>
        <v>20222RMB</v>
      </c>
      <c r="AR417" s="206" t="str">
        <f t="shared" si="135"/>
        <v>YAMAHA_Mounter</v>
      </c>
      <c r="AS417" s="22">
        <f t="shared" si="136"/>
        <v>5</v>
      </c>
      <c r="AT417" s="24" t="str">
        <f t="shared" si="137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39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2"/>
        <v>0.13845607946397598</v>
      </c>
      <c r="AL418" s="17"/>
      <c r="AM418" s="17"/>
      <c r="AN418" s="17"/>
      <c r="AO418" s="17"/>
      <c r="AP418" s="28" t="str">
        <f t="shared" si="133"/>
        <v>20222</v>
      </c>
      <c r="AQ418" s="28" t="str">
        <f t="shared" si="134"/>
        <v>20222RMB</v>
      </c>
      <c r="AR418" s="206" t="str">
        <f t="shared" si="135"/>
        <v>YAMAHA_Mounter</v>
      </c>
      <c r="AS418" s="22">
        <f t="shared" si="136"/>
        <v>5</v>
      </c>
      <c r="AT418" s="24" t="str">
        <f t="shared" si="137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39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2"/>
        <v>0.13845607946397598</v>
      </c>
      <c r="AL419" s="17"/>
      <c r="AM419" s="17"/>
      <c r="AN419" s="17"/>
      <c r="AO419" s="17"/>
      <c r="AP419" s="28" t="str">
        <f t="shared" si="133"/>
        <v>20222</v>
      </c>
      <c r="AQ419" s="28" t="str">
        <f t="shared" si="134"/>
        <v>20222RMB</v>
      </c>
      <c r="AR419" s="206" t="str">
        <f t="shared" si="135"/>
        <v>YAMAHA_Mounter</v>
      </c>
      <c r="AS419" s="22">
        <f t="shared" si="136"/>
        <v>5</v>
      </c>
      <c r="AT419" s="24" t="str">
        <f t="shared" si="137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2"/>
        <v>0.15166211427595458</v>
      </c>
      <c r="AL420" s="17"/>
      <c r="AM420" s="17"/>
      <c r="AN420" s="17"/>
      <c r="AO420" s="17"/>
      <c r="AP420" s="28" t="str">
        <f t="shared" si="133"/>
        <v>202211</v>
      </c>
      <c r="AQ420" s="28" t="str">
        <f t="shared" si="134"/>
        <v>202211RMB</v>
      </c>
      <c r="AR420" s="206" t="str">
        <f t="shared" si="135"/>
        <v>SOLDERSTAR</v>
      </c>
      <c r="AS420" s="22">
        <f t="shared" si="136"/>
        <v>1</v>
      </c>
      <c r="AT420" s="24" t="str">
        <f t="shared" si="137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2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3"/>
        <v>20184</v>
      </c>
      <c r="AQ421" s="28" t="str">
        <f t="shared" si="134"/>
        <v>20184RMB</v>
      </c>
      <c r="AR421" s="206" t="str">
        <f t="shared" si="135"/>
        <v>YAMAHA_Mounter</v>
      </c>
      <c r="AS421" s="22">
        <f t="shared" si="136"/>
        <v>8</v>
      </c>
      <c r="AT421" s="24" t="str">
        <f t="shared" si="137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2"/>
        <v>0.14256432557804533</v>
      </c>
      <c r="AL422" s="17"/>
      <c r="AM422" s="17"/>
      <c r="AN422" s="17"/>
      <c r="AO422" s="17"/>
      <c r="AP422" s="28" t="str">
        <f t="shared" si="133"/>
        <v>20207</v>
      </c>
      <c r="AQ422" s="28" t="str">
        <f t="shared" si="134"/>
        <v>20207RMB</v>
      </c>
      <c r="AR422" s="206" t="str">
        <f t="shared" si="135"/>
        <v>YAMAHA_Mounter</v>
      </c>
      <c r="AS422" s="22">
        <f t="shared" si="136"/>
        <v>2</v>
      </c>
      <c r="AT422" s="24" t="str">
        <f t="shared" si="137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0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2"/>
        <v>0.11027140718984871</v>
      </c>
      <c r="AL423" s="17"/>
      <c r="AM423" s="17"/>
      <c r="AN423" s="17"/>
      <c r="AO423" s="17"/>
      <c r="AP423" s="28" t="str">
        <f t="shared" si="133"/>
        <v>202111</v>
      </c>
      <c r="AQ423" s="28" t="str">
        <f t="shared" si="134"/>
        <v>202111RMB</v>
      </c>
      <c r="AR423" s="206" t="str">
        <f t="shared" si="135"/>
        <v>YAMAHA_Mounter</v>
      </c>
      <c r="AS423" s="22">
        <f t="shared" si="136"/>
        <v>3</v>
      </c>
      <c r="AT423" s="24" t="str">
        <f t="shared" si="137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0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2"/>
        <v>0.13845607946397598</v>
      </c>
      <c r="AL424" s="17"/>
      <c r="AM424" s="17"/>
      <c r="AN424" s="17"/>
      <c r="AO424" s="17"/>
      <c r="AP424" s="28" t="str">
        <f t="shared" si="133"/>
        <v>20222</v>
      </c>
      <c r="AQ424" s="28" t="str">
        <f t="shared" si="134"/>
        <v>20222RMB</v>
      </c>
      <c r="AR424" s="206" t="str">
        <f t="shared" si="135"/>
        <v>LOCAL SUPPLIER</v>
      </c>
      <c r="AS424" s="22">
        <f t="shared" si="136"/>
        <v>3</v>
      </c>
      <c r="AT424" s="24" t="str">
        <f t="shared" si="137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0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2"/>
        <v>0.13845607946397598</v>
      </c>
      <c r="AL425" s="17"/>
      <c r="AM425" s="17"/>
      <c r="AN425" s="17"/>
      <c r="AO425" s="17"/>
      <c r="AP425" s="28" t="str">
        <f t="shared" si="133"/>
        <v>20222</v>
      </c>
      <c r="AQ425" s="28" t="str">
        <f t="shared" si="134"/>
        <v>20222RMB</v>
      </c>
      <c r="AR425" s="206" t="str">
        <f t="shared" si="135"/>
        <v>LOCAL SUPPLIER</v>
      </c>
      <c r="AS425" s="22">
        <f t="shared" si="136"/>
        <v>3</v>
      </c>
      <c r="AT425" s="24" t="str">
        <f t="shared" si="137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0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2"/>
        <v>0.13845607946397598</v>
      </c>
      <c r="AL426" s="17"/>
      <c r="AM426" s="17"/>
      <c r="AN426" s="17"/>
      <c r="AO426" s="17"/>
      <c r="AP426" s="28" t="str">
        <f t="shared" si="133"/>
        <v>20222</v>
      </c>
      <c r="AQ426" s="28" t="str">
        <f t="shared" si="134"/>
        <v>20222RMB</v>
      </c>
      <c r="AR426" s="206" t="str">
        <f t="shared" si="135"/>
        <v>LOCAL SUPPLIER</v>
      </c>
      <c r="AS426" s="22">
        <f t="shared" si="136"/>
        <v>3</v>
      </c>
      <c r="AT426" s="24" t="str">
        <f t="shared" si="137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0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2"/>
        <v>0.13845607946397598</v>
      </c>
      <c r="AL427" s="17"/>
      <c r="AM427" s="17"/>
      <c r="AN427" s="17"/>
      <c r="AO427" s="17"/>
      <c r="AP427" s="28" t="str">
        <f t="shared" si="133"/>
        <v>20222</v>
      </c>
      <c r="AQ427" s="28" t="str">
        <f t="shared" si="134"/>
        <v>20222RMB</v>
      </c>
      <c r="AR427" s="206" t="str">
        <f t="shared" si="135"/>
        <v>LOCAL SUPPLIER</v>
      </c>
      <c r="AS427" s="22">
        <f t="shared" si="136"/>
        <v>3</v>
      </c>
      <c r="AT427" s="24" t="str">
        <f t="shared" si="137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0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2"/>
        <v>0.13845607946397598</v>
      </c>
      <c r="AL428" s="17"/>
      <c r="AM428" s="17"/>
      <c r="AN428" s="17"/>
      <c r="AO428" s="17"/>
      <c r="AP428" s="28" t="str">
        <f t="shared" si="133"/>
        <v>20222</v>
      </c>
      <c r="AQ428" s="28" t="str">
        <f t="shared" si="134"/>
        <v>20222RMB</v>
      </c>
      <c r="AR428" s="206" t="str">
        <f t="shared" si="135"/>
        <v>LOCAL SUPPLIER</v>
      </c>
      <c r="AS428" s="22">
        <f t="shared" si="136"/>
        <v>3</v>
      </c>
      <c r="AT428" s="24" t="str">
        <f t="shared" si="137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0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2"/>
        <v>0.13845607946397598</v>
      </c>
      <c r="AL429" s="17"/>
      <c r="AM429" s="17"/>
      <c r="AN429" s="17"/>
      <c r="AO429" s="17"/>
      <c r="AP429" s="28" t="str">
        <f t="shared" si="133"/>
        <v>20222</v>
      </c>
      <c r="AQ429" s="28" t="str">
        <f t="shared" si="134"/>
        <v>20222RMB</v>
      </c>
      <c r="AR429" s="206" t="str">
        <f t="shared" si="135"/>
        <v>LOCAL SUPPLIER</v>
      </c>
      <c r="AS429" s="22">
        <f t="shared" si="136"/>
        <v>3</v>
      </c>
      <c r="AT429" s="24" t="str">
        <f t="shared" si="137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0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2"/>
        <v>0.13845607946397598</v>
      </c>
      <c r="AL430" s="17"/>
      <c r="AM430" s="17"/>
      <c r="AN430" s="17"/>
      <c r="AO430" s="17"/>
      <c r="AP430" s="28" t="str">
        <f t="shared" si="133"/>
        <v>20222</v>
      </c>
      <c r="AQ430" s="28" t="str">
        <f t="shared" si="134"/>
        <v>20222RMB</v>
      </c>
      <c r="AR430" s="206" t="str">
        <f t="shared" si="135"/>
        <v>LOCAL SUPPLIER</v>
      </c>
      <c r="AS430" s="22">
        <f t="shared" si="136"/>
        <v>3</v>
      </c>
      <c r="AT430" s="24" t="str">
        <f t="shared" si="137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0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2"/>
        <v>0.13845607946397598</v>
      </c>
      <c r="AL431" s="17"/>
      <c r="AM431" s="17"/>
      <c r="AN431" s="17"/>
      <c r="AO431" s="17"/>
      <c r="AP431" s="28" t="str">
        <f t="shared" si="133"/>
        <v>20222</v>
      </c>
      <c r="AQ431" s="28" t="str">
        <f t="shared" si="134"/>
        <v>20222RMB</v>
      </c>
      <c r="AR431" s="206" t="str">
        <f t="shared" si="135"/>
        <v>LOCAL SUPPLIER</v>
      </c>
      <c r="AS431" s="22">
        <f t="shared" si="136"/>
        <v>3</v>
      </c>
      <c r="AT431" s="24" t="str">
        <f t="shared" si="137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0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2"/>
        <v>0.13424587441904964</v>
      </c>
      <c r="AL432" s="17"/>
      <c r="AM432" s="17"/>
      <c r="AN432" s="17"/>
      <c r="AO432" s="17"/>
      <c r="AP432" s="28" t="str">
        <f t="shared" si="133"/>
        <v>20208</v>
      </c>
      <c r="AQ432" s="28" t="str">
        <f t="shared" si="134"/>
        <v>20208RMB</v>
      </c>
      <c r="AR432" s="206" t="str">
        <f t="shared" si="135"/>
        <v>LOCAL SUPPLIER</v>
      </c>
      <c r="AS432" s="22">
        <f t="shared" si="136"/>
        <v>1</v>
      </c>
      <c r="AT432" s="24" t="str">
        <f t="shared" si="137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0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2"/>
        <v>0.14256432557804533</v>
      </c>
      <c r="AL433" s="17"/>
      <c r="AM433" s="17"/>
      <c r="AN433" s="17"/>
      <c r="AO433" s="17"/>
      <c r="AP433" s="28" t="str">
        <f t="shared" si="133"/>
        <v>20207</v>
      </c>
      <c r="AQ433" s="28" t="str">
        <f t="shared" si="134"/>
        <v>20207RMB</v>
      </c>
      <c r="AR433" s="206" t="str">
        <f t="shared" si="135"/>
        <v>YAMAHA_Non_Mounter</v>
      </c>
      <c r="AS433" s="22">
        <f t="shared" si="136"/>
        <v>2</v>
      </c>
      <c r="AT433" s="24" t="str">
        <f t="shared" si="137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0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2"/>
        <v>0.14256432557804533</v>
      </c>
      <c r="AL434" s="17"/>
      <c r="AM434" s="17"/>
      <c r="AN434" s="17"/>
      <c r="AO434" s="17"/>
      <c r="AP434" s="28" t="str">
        <f t="shared" si="133"/>
        <v>20207</v>
      </c>
      <c r="AQ434" s="28" t="str">
        <f t="shared" si="134"/>
        <v>20207RMB</v>
      </c>
      <c r="AR434" s="206" t="str">
        <f t="shared" si="135"/>
        <v>YAMAHA_Non_Mounter</v>
      </c>
      <c r="AS434" s="22">
        <f t="shared" si="136"/>
        <v>2</v>
      </c>
      <c r="AT434" s="24" t="str">
        <f t="shared" si="137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0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2"/>
        <v>0.14256432557804533</v>
      </c>
      <c r="AL435" s="17"/>
      <c r="AM435" s="17"/>
      <c r="AN435" s="17"/>
      <c r="AO435" s="17"/>
      <c r="AP435" s="28" t="str">
        <f t="shared" si="133"/>
        <v>20207</v>
      </c>
      <c r="AQ435" s="28" t="str">
        <f t="shared" si="134"/>
        <v>20207RMB</v>
      </c>
      <c r="AR435" s="206" t="str">
        <f t="shared" si="135"/>
        <v>PEMTRON</v>
      </c>
      <c r="AS435" s="22">
        <f t="shared" si="136"/>
        <v>2</v>
      </c>
      <c r="AT435" s="24" t="str">
        <f t="shared" si="137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0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2"/>
        <v>0.14256432557804533</v>
      </c>
      <c r="AL436" s="17"/>
      <c r="AM436" s="17"/>
      <c r="AN436" s="17"/>
      <c r="AO436" s="17"/>
      <c r="AP436" s="28" t="str">
        <f t="shared" si="133"/>
        <v>20207</v>
      </c>
      <c r="AQ436" s="28" t="str">
        <f t="shared" si="134"/>
        <v>20207RMB</v>
      </c>
      <c r="AR436" s="206" t="str">
        <f t="shared" si="135"/>
        <v>LOCAL SUPPLIER</v>
      </c>
      <c r="AS436" s="22">
        <f t="shared" si="136"/>
        <v>2</v>
      </c>
      <c r="AT436" s="24" t="str">
        <f t="shared" si="137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0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2"/>
        <v>0.11712339723265033</v>
      </c>
      <c r="AL437" s="17"/>
      <c r="AM437" s="17"/>
      <c r="AN437" s="17"/>
      <c r="AO437" s="17"/>
      <c r="AP437" s="28" t="str">
        <f t="shared" si="133"/>
        <v>202110</v>
      </c>
      <c r="AQ437" s="28" t="str">
        <f t="shared" si="134"/>
        <v>202110RMB</v>
      </c>
      <c r="AR437" s="206" t="str">
        <f t="shared" si="135"/>
        <v>SOLDERSTAR</v>
      </c>
      <c r="AS437" s="22">
        <f t="shared" si="136"/>
        <v>2</v>
      </c>
      <c r="AT437" s="24" t="str">
        <f t="shared" si="137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0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2"/>
        <v>0.13845607946397598</v>
      </c>
      <c r="AL438" s="17"/>
      <c r="AM438" s="17"/>
      <c r="AN438" s="17"/>
      <c r="AO438" s="17"/>
      <c r="AP438" s="28" t="str">
        <f t="shared" si="133"/>
        <v>20222</v>
      </c>
      <c r="AQ438" s="28" t="str">
        <f t="shared" si="134"/>
        <v>20222RMB</v>
      </c>
      <c r="AR438" s="206" t="str">
        <f t="shared" si="135"/>
        <v>YAMAHA_Non_Mounter</v>
      </c>
      <c r="AS438" s="22">
        <f t="shared" si="136"/>
        <v>3</v>
      </c>
      <c r="AT438" s="24" t="str">
        <f t="shared" si="137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0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2"/>
        <v>0.13845607946397598</v>
      </c>
      <c r="AL439" s="17"/>
      <c r="AM439" s="17"/>
      <c r="AN439" s="17"/>
      <c r="AO439" s="17"/>
      <c r="AP439" s="28" t="str">
        <f t="shared" si="133"/>
        <v>20222</v>
      </c>
      <c r="AQ439" s="28" t="str">
        <f t="shared" si="134"/>
        <v>20222RMB</v>
      </c>
      <c r="AR439" s="206" t="str">
        <f t="shared" si="135"/>
        <v>YAMAHA_Non_Mounter</v>
      </c>
      <c r="AS439" s="22">
        <f t="shared" si="136"/>
        <v>3</v>
      </c>
      <c r="AT439" s="24" t="str">
        <f t="shared" si="137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0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2"/>
        <v>0.13845607946397598</v>
      </c>
      <c r="AL440" s="17"/>
      <c r="AM440" s="17"/>
      <c r="AN440" s="17"/>
      <c r="AO440" s="17"/>
      <c r="AP440" s="28" t="str">
        <f t="shared" si="133"/>
        <v>20222</v>
      </c>
      <c r="AQ440" s="28" t="str">
        <f t="shared" si="134"/>
        <v>20222RMB</v>
      </c>
      <c r="AR440" s="206" t="str">
        <f t="shared" si="135"/>
        <v>PEMTRON</v>
      </c>
      <c r="AS440" s="22">
        <f t="shared" si="136"/>
        <v>3</v>
      </c>
      <c r="AT440" s="24" t="str">
        <f t="shared" si="137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0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2"/>
        <v>0.13845607946397598</v>
      </c>
      <c r="AL441" s="17"/>
      <c r="AM441" s="17"/>
      <c r="AN441" s="17"/>
      <c r="AO441" s="17"/>
      <c r="AP441" s="28" t="str">
        <f t="shared" si="133"/>
        <v>20222</v>
      </c>
      <c r="AQ441" s="28" t="str">
        <f t="shared" si="134"/>
        <v>20222RMB</v>
      </c>
      <c r="AR441" s="206" t="str">
        <f t="shared" si="135"/>
        <v>PEMTRON</v>
      </c>
      <c r="AS441" s="22">
        <f t="shared" si="136"/>
        <v>3</v>
      </c>
      <c r="AT441" s="24" t="str">
        <f t="shared" si="137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0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2"/>
        <v>0.13845607946397598</v>
      </c>
      <c r="AL442" s="17"/>
      <c r="AM442" s="17"/>
      <c r="AN442" s="17"/>
      <c r="AO442" s="17"/>
      <c r="AP442" s="28" t="str">
        <f t="shared" si="133"/>
        <v>20222</v>
      </c>
      <c r="AQ442" s="28" t="str">
        <f t="shared" si="134"/>
        <v>20222RMB</v>
      </c>
      <c r="AR442" s="206" t="str">
        <f t="shared" si="135"/>
        <v>LOCAL SUPPLIER</v>
      </c>
      <c r="AS442" s="22">
        <f t="shared" si="136"/>
        <v>3</v>
      </c>
      <c r="AT442" s="24" t="str">
        <f t="shared" si="137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0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2"/>
        <v>0.13845607946397598</v>
      </c>
      <c r="AL443" s="17"/>
      <c r="AM443" s="17"/>
      <c r="AN443" s="17"/>
      <c r="AO443" s="17"/>
      <c r="AP443" s="28" t="str">
        <f t="shared" si="133"/>
        <v>20222</v>
      </c>
      <c r="AQ443" s="28" t="str">
        <f t="shared" si="134"/>
        <v>20222RMB</v>
      </c>
      <c r="AR443" s="206" t="str">
        <f t="shared" si="135"/>
        <v>LOCAL SUPPLIER</v>
      </c>
      <c r="AS443" s="22">
        <f t="shared" si="136"/>
        <v>3</v>
      </c>
      <c r="AT443" s="24" t="str">
        <f t="shared" si="137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0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2"/>
        <v>0.13845607946397598</v>
      </c>
      <c r="AL444" s="17"/>
      <c r="AM444" s="17"/>
      <c r="AN444" s="17"/>
      <c r="AO444" s="17"/>
      <c r="AP444" s="28" t="str">
        <f t="shared" si="133"/>
        <v>20222</v>
      </c>
      <c r="AQ444" s="28" t="str">
        <f t="shared" si="134"/>
        <v>20222RMB</v>
      </c>
      <c r="AR444" s="206" t="str">
        <f t="shared" si="135"/>
        <v>LOCAL SUPPLIER</v>
      </c>
      <c r="AS444" s="22">
        <f t="shared" si="136"/>
        <v>3</v>
      </c>
      <c r="AT444" s="24" t="str">
        <f t="shared" si="137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0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2"/>
        <v>0.13845607946397598</v>
      </c>
      <c r="AL445" s="17"/>
      <c r="AM445" s="17"/>
      <c r="AN445" s="17"/>
      <c r="AO445" s="17"/>
      <c r="AP445" s="28" t="str">
        <f t="shared" si="133"/>
        <v>20222</v>
      </c>
      <c r="AQ445" s="28" t="str">
        <f t="shared" si="134"/>
        <v>20222RMB</v>
      </c>
      <c r="AR445" s="206" t="str">
        <f t="shared" si="135"/>
        <v>LOCAL SUPPLIER</v>
      </c>
      <c r="AS445" s="22">
        <f t="shared" si="136"/>
        <v>3</v>
      </c>
      <c r="AT445" s="24" t="str">
        <f t="shared" si="137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0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2"/>
        <v>0.13845607946397598</v>
      </c>
      <c r="AL446" s="17"/>
      <c r="AM446" s="17"/>
      <c r="AN446" s="17"/>
      <c r="AO446" s="17"/>
      <c r="AP446" s="28" t="str">
        <f t="shared" si="133"/>
        <v>20222</v>
      </c>
      <c r="AQ446" s="28" t="str">
        <f t="shared" si="134"/>
        <v>20222RMB</v>
      </c>
      <c r="AR446" s="206" t="str">
        <f t="shared" si="135"/>
        <v>LOCAL SUPPLIER</v>
      </c>
      <c r="AS446" s="22">
        <f t="shared" si="136"/>
        <v>3</v>
      </c>
      <c r="AT446" s="24" t="str">
        <f t="shared" si="137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0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2"/>
        <v>0.13845607946397598</v>
      </c>
      <c r="AL447" s="17"/>
      <c r="AM447" s="17"/>
      <c r="AN447" s="17"/>
      <c r="AO447" s="17"/>
      <c r="AP447" s="28" t="str">
        <f t="shared" si="133"/>
        <v>20222</v>
      </c>
      <c r="AQ447" s="28" t="str">
        <f t="shared" si="134"/>
        <v>20222RMB</v>
      </c>
      <c r="AR447" s="206" t="str">
        <f t="shared" si="135"/>
        <v>LOCAL SUPPLIER</v>
      </c>
      <c r="AS447" s="22">
        <f t="shared" si="136"/>
        <v>3</v>
      </c>
      <c r="AT447" s="24" t="str">
        <f t="shared" si="137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2"/>
        <v>0.13314606898547499</v>
      </c>
      <c r="AL448" s="17"/>
      <c r="AM448" s="17"/>
      <c r="AN448" s="17"/>
      <c r="AO448" s="17"/>
      <c r="AP448" s="28" t="str">
        <f t="shared" si="133"/>
        <v>20187</v>
      </c>
      <c r="AQ448" s="28" t="str">
        <f t="shared" si="134"/>
        <v>20187RMB</v>
      </c>
      <c r="AR448" s="206" t="str">
        <f t="shared" si="135"/>
        <v>YAMAHA_Mounter</v>
      </c>
      <c r="AS448" s="22">
        <f t="shared" si="136"/>
        <v>1</v>
      </c>
      <c r="AT448" s="24" t="str">
        <f t="shared" si="137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2"/>
        <v>0.13314606898547499</v>
      </c>
      <c r="AL449" s="17"/>
      <c r="AM449" s="17"/>
      <c r="AN449" s="17"/>
      <c r="AO449" s="17"/>
      <c r="AP449" s="28" t="str">
        <f t="shared" si="133"/>
        <v>20187</v>
      </c>
      <c r="AQ449" s="28" t="str">
        <f t="shared" si="134"/>
        <v>20187RMB</v>
      </c>
      <c r="AR449" s="206" t="str">
        <f t="shared" si="135"/>
        <v>YAMAHA_Non_Mounter</v>
      </c>
      <c r="AS449" s="22">
        <f t="shared" si="136"/>
        <v>1</v>
      </c>
      <c r="AT449" s="24" t="str">
        <f t="shared" si="137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2"/>
        <v>0.1214858095774925</v>
      </c>
      <c r="AL450" s="17"/>
      <c r="AM450" s="17"/>
      <c r="AN450" s="17"/>
      <c r="AO450" s="17"/>
      <c r="AP450" s="28" t="str">
        <f t="shared" si="133"/>
        <v>202012</v>
      </c>
      <c r="AQ450" s="28" t="str">
        <f t="shared" si="134"/>
        <v>202012RMB</v>
      </c>
      <c r="AR450" s="206" t="str">
        <f t="shared" si="135"/>
        <v>YAMAHA_Mounter</v>
      </c>
      <c r="AS450" s="22">
        <f t="shared" si="136"/>
        <v>1</v>
      </c>
      <c r="AT450" s="24" t="str">
        <f t="shared" si="137"/>
        <v>0-3 months</v>
      </c>
      <c r="AU450" s="22" t="s">
        <v>3744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2"/>
        <v>0.1214858095774925</v>
      </c>
      <c r="AL451" s="17"/>
      <c r="AM451" s="17"/>
      <c r="AN451" s="17"/>
      <c r="AO451" s="17"/>
      <c r="AP451" s="28" t="str">
        <f t="shared" si="133"/>
        <v>202012</v>
      </c>
      <c r="AQ451" s="28" t="str">
        <f t="shared" si="134"/>
        <v>202012RMB</v>
      </c>
      <c r="AR451" s="206" t="str">
        <f t="shared" si="135"/>
        <v>YAMAHA_Mounter</v>
      </c>
      <c r="AS451" s="22">
        <f t="shared" si="136"/>
        <v>1</v>
      </c>
      <c r="AT451" s="24" t="str">
        <f t="shared" si="137"/>
        <v>0-3 months</v>
      </c>
      <c r="AU451" s="22" t="s">
        <v>3744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2"/>
        <v>0.16347849649632912</v>
      </c>
      <c r="AL452" s="17"/>
      <c r="AM452" s="17"/>
      <c r="AN452" s="17"/>
      <c r="AO452" s="17"/>
      <c r="AP452" s="28" t="str">
        <f t="shared" si="133"/>
        <v>20226</v>
      </c>
      <c r="AQ452" s="28" t="str">
        <f t="shared" si="134"/>
        <v>20226RMB</v>
      </c>
      <c r="AR452" s="206" t="str">
        <f t="shared" si="135"/>
        <v>YAMAHA_Mounter</v>
      </c>
      <c r="AS452" s="22">
        <f t="shared" si="136"/>
        <v>9</v>
      </c>
      <c r="AT452" s="24" t="str">
        <f t="shared" si="137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2"/>
        <v>0.13203962224416277</v>
      </c>
      <c r="AL453" s="17"/>
      <c r="AM453" s="17"/>
      <c r="AN453" s="17"/>
      <c r="AO453" s="17"/>
      <c r="AP453" s="28" t="str">
        <f t="shared" si="133"/>
        <v>201812</v>
      </c>
      <c r="AQ453" s="28" t="str">
        <f t="shared" si="134"/>
        <v>201812JPY</v>
      </c>
      <c r="AR453" s="206" t="str">
        <f t="shared" si="135"/>
        <v>YAMAHA_Mounter</v>
      </c>
      <c r="AS453" s="22">
        <f t="shared" si="136"/>
        <v>1</v>
      </c>
      <c r="AT453" s="24" t="str">
        <f t="shared" si="137"/>
        <v>0-3 months</v>
      </c>
      <c r="AU453" s="22" t="s">
        <v>3745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1">IF(AJ454&gt;0,AJ454/AI454,"")</f>
        <v>0.13203962224416277</v>
      </c>
      <c r="AL454" s="17"/>
      <c r="AM454" s="17"/>
      <c r="AN454" s="17"/>
      <c r="AO454" s="17"/>
      <c r="AP454" s="28" t="str">
        <f t="shared" ref="AP454:AP517" si="152">IF(F454="","",F454&amp;G454)</f>
        <v>201812</v>
      </c>
      <c r="AQ454" s="28" t="str">
        <f t="shared" ref="AQ454:AQ517" si="153">IF(W454="","",F454&amp;G454&amp;W454)</f>
        <v>201812JPY</v>
      </c>
      <c r="AR454" s="206" t="str">
        <f t="shared" ref="AR454:AR517" si="154">IFERROR(IF(AND(M454="YAMAHA", R454="C28"), "YAMAHA_Non_Mounter", IF(AND(M454="YAMAHA", R454="C49"), "YAMAHA_Mounter", M454)),"")</f>
        <v>YAMAHA_Mounter</v>
      </c>
      <c r="AS454" s="22">
        <f t="shared" ref="AS454:AS517" si="155">IFERROR(IF(OR(G454="TBA", G454=""), "", DATEDIF(DATE(B454, C454, 1), DATE(F454, G454, 1), "M")),"")</f>
        <v>1</v>
      </c>
      <c r="AT454" s="24" t="str">
        <f t="shared" ref="AT454:AT517" si="156">IF(ISNUMBER(AS454), IF(AS454&gt;=0, IF(AS454&lt;=3, "0-3 months", IF(AS454&lt;=6, "4-6 months", "&gt; 6 months"))), "")</f>
        <v>0-3 months</v>
      </c>
      <c r="AU454" s="22" t="s">
        <v>3745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1"/>
        <v>0.12804404916900652</v>
      </c>
      <c r="AL455" s="17"/>
      <c r="AM455" s="17"/>
      <c r="AN455" s="17"/>
      <c r="AO455" s="17"/>
      <c r="AP455" s="28" t="str">
        <f t="shared" si="152"/>
        <v>20195</v>
      </c>
      <c r="AQ455" s="28" t="str">
        <f t="shared" si="153"/>
        <v>20195JPY</v>
      </c>
      <c r="AR455" s="206" t="str">
        <f t="shared" si="154"/>
        <v>YAMAHA_Mounter</v>
      </c>
      <c r="AS455" s="22">
        <f t="shared" si="155"/>
        <v>2</v>
      </c>
      <c r="AT455" s="24" t="str">
        <f t="shared" si="156"/>
        <v>0-3 months</v>
      </c>
      <c r="AU455" s="22" t="s">
        <v>3745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1"/>
        <v>0.11027140718984871</v>
      </c>
      <c r="AL456" s="17"/>
      <c r="AM456" s="17"/>
      <c r="AN456" s="17"/>
      <c r="AO456" s="17"/>
      <c r="AP456" s="28" t="str">
        <f t="shared" si="152"/>
        <v>202111</v>
      </c>
      <c r="AQ456" s="28" t="str">
        <f t="shared" si="153"/>
        <v>202111JPY</v>
      </c>
      <c r="AR456" s="206" t="str">
        <f t="shared" si="154"/>
        <v>YAMAHA_Mounter</v>
      </c>
      <c r="AS456" s="22">
        <f t="shared" si="155"/>
        <v>5</v>
      </c>
      <c r="AT456" s="24" t="str">
        <f t="shared" si="156"/>
        <v>4-6 months</v>
      </c>
      <c r="AU456" s="22" t="s">
        <v>3745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1"/>
        <v>0.11027140718984871</v>
      </c>
      <c r="AL457" s="17"/>
      <c r="AM457" s="17"/>
      <c r="AN457" s="17"/>
      <c r="AO457" s="17"/>
      <c r="AP457" s="28" t="str">
        <f t="shared" si="152"/>
        <v>202111</v>
      </c>
      <c r="AQ457" s="28" t="str">
        <f t="shared" si="153"/>
        <v>202111JPY</v>
      </c>
      <c r="AR457" s="206" t="str">
        <f t="shared" si="154"/>
        <v>YAMAHA_Mounter</v>
      </c>
      <c r="AS457" s="22">
        <f t="shared" si="155"/>
        <v>5</v>
      </c>
      <c r="AT457" s="24" t="str">
        <f t="shared" si="156"/>
        <v>4-6 months</v>
      </c>
      <c r="AU457" s="22" t="s">
        <v>3745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1"/>
        <v>0.15166211427595458</v>
      </c>
      <c r="AL458" s="17"/>
      <c r="AM458" s="17"/>
      <c r="AN458" s="17"/>
      <c r="AO458" s="17"/>
      <c r="AP458" s="28" t="str">
        <f t="shared" si="152"/>
        <v>202211</v>
      </c>
      <c r="AQ458" s="28" t="str">
        <f t="shared" si="153"/>
        <v>202211RMB</v>
      </c>
      <c r="AR458" s="206" t="str">
        <f t="shared" si="154"/>
        <v>YAMAHA_Mounter</v>
      </c>
      <c r="AS458" s="22">
        <f t="shared" si="155"/>
        <v>0</v>
      </c>
      <c r="AT458" s="24" t="str">
        <f t="shared" si="156"/>
        <v>0-3 months</v>
      </c>
      <c r="AU458" s="22" t="s">
        <v>3751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1"/>
        <v>0.15166211427595458</v>
      </c>
      <c r="AL459" s="17"/>
      <c r="AM459" s="17"/>
      <c r="AN459" s="17"/>
      <c r="AO459" s="17"/>
      <c r="AP459" s="28" t="str">
        <f t="shared" si="152"/>
        <v>202211</v>
      </c>
      <c r="AQ459" s="28" t="str">
        <f t="shared" si="153"/>
        <v>202211RMB</v>
      </c>
      <c r="AR459" s="206" t="str">
        <f t="shared" si="154"/>
        <v>YAMAHA_Mounter</v>
      </c>
      <c r="AS459" s="22">
        <f t="shared" si="155"/>
        <v>0</v>
      </c>
      <c r="AT459" s="24" t="str">
        <f t="shared" si="156"/>
        <v>0-3 months</v>
      </c>
      <c r="AU459" s="22" t="s">
        <v>3751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1"/>
        <v>0.12142827497242578</v>
      </c>
      <c r="AL460" s="17"/>
      <c r="AM460" s="17"/>
      <c r="AN460" s="17"/>
      <c r="AO460" s="17"/>
      <c r="AP460" s="28" t="str">
        <f t="shared" si="152"/>
        <v>202010</v>
      </c>
      <c r="AQ460" s="28" t="str">
        <f t="shared" si="153"/>
        <v>202010RMB</v>
      </c>
      <c r="AR460" s="206" t="str">
        <f t="shared" si="154"/>
        <v>YAMAHA_Mounter</v>
      </c>
      <c r="AS460" s="22">
        <f t="shared" si="155"/>
        <v>7</v>
      </c>
      <c r="AT460" s="24" t="str">
        <f t="shared" si="156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1"/>
        <v>0.12142827497242578</v>
      </c>
      <c r="AL461" s="17"/>
      <c r="AM461" s="17"/>
      <c r="AN461" s="17"/>
      <c r="AO461" s="17"/>
      <c r="AP461" s="28" t="str">
        <f t="shared" si="152"/>
        <v>202010</v>
      </c>
      <c r="AQ461" s="28" t="str">
        <f t="shared" si="153"/>
        <v>202010RMB</v>
      </c>
      <c r="AR461" s="206" t="str">
        <f t="shared" si="154"/>
        <v>YAMAHA_Mounter</v>
      </c>
      <c r="AS461" s="22">
        <f t="shared" si="155"/>
        <v>7</v>
      </c>
      <c r="AT461" s="24" t="str">
        <f t="shared" si="156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1"/>
        <v>0.13679824337660537</v>
      </c>
      <c r="AL462" s="17"/>
      <c r="AM462" s="17"/>
      <c r="AN462" s="17"/>
      <c r="AO462" s="17"/>
      <c r="AP462" s="28" t="str">
        <f t="shared" si="152"/>
        <v>20216</v>
      </c>
      <c r="AQ462" s="28" t="str">
        <f t="shared" si="153"/>
        <v>20216JPY</v>
      </c>
      <c r="AR462" s="206" t="str">
        <f t="shared" si="154"/>
        <v>YAMAHA_Mounter</v>
      </c>
      <c r="AS462" s="22">
        <f t="shared" si="155"/>
        <v>3</v>
      </c>
      <c r="AT462" s="24" t="str">
        <f t="shared" si="156"/>
        <v>0-3 months</v>
      </c>
      <c r="AU462" s="22" t="s">
        <v>3745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1"/>
        <v>0.13679824337660537</v>
      </c>
      <c r="AL463" s="17"/>
      <c r="AM463" s="17"/>
      <c r="AN463" s="17"/>
      <c r="AO463" s="17"/>
      <c r="AP463" s="28" t="str">
        <f t="shared" si="152"/>
        <v>20216</v>
      </c>
      <c r="AQ463" s="28" t="str">
        <f t="shared" si="153"/>
        <v>20216JPY</v>
      </c>
      <c r="AR463" s="206" t="str">
        <f t="shared" si="154"/>
        <v>YAMAHA_Mounter</v>
      </c>
      <c r="AS463" s="22">
        <f t="shared" si="155"/>
        <v>2</v>
      </c>
      <c r="AT463" s="24" t="str">
        <f t="shared" si="156"/>
        <v>0-3 months</v>
      </c>
      <c r="AU463" s="22" t="s">
        <v>3745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1"/>
        <v>0.1737753782153679</v>
      </c>
      <c r="AL464" s="17"/>
      <c r="AM464" s="17"/>
      <c r="AN464" s="17"/>
      <c r="AO464" s="17"/>
      <c r="AP464" s="28" t="str">
        <f t="shared" si="152"/>
        <v>202210</v>
      </c>
      <c r="AQ464" s="28" t="str">
        <f t="shared" si="153"/>
        <v>202210RMB</v>
      </c>
      <c r="AR464" s="206" t="str">
        <f t="shared" si="154"/>
        <v>SHINWA</v>
      </c>
      <c r="AS464" s="22">
        <f t="shared" si="155"/>
        <v>5</v>
      </c>
      <c r="AT464" s="24" t="str">
        <f t="shared" si="156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23146578.081415929</v>
      </c>
      <c r="AJ465" s="27">
        <f t="shared" si="142"/>
        <v>2745231.3889985834</v>
      </c>
      <c r="AK465" s="28">
        <f t="shared" si="151"/>
        <v>0.11860204041143742</v>
      </c>
      <c r="AL465" s="24"/>
      <c r="AM465" s="24"/>
      <c r="AN465" s="24"/>
      <c r="AO465" s="24"/>
      <c r="AP465" s="28" t="str">
        <f t="shared" si="152"/>
        <v>20241</v>
      </c>
      <c r="AQ465" s="28" t="str">
        <f t="shared" si="153"/>
        <v>20241JPY</v>
      </c>
      <c r="AR465" s="206" t="str">
        <f t="shared" si="154"/>
        <v>YAMAHA_Mounter</v>
      </c>
      <c r="AS465" s="22">
        <f t="shared" si="155"/>
        <v>1</v>
      </c>
      <c r="AT465" s="24" t="str">
        <f t="shared" si="156"/>
        <v>0-3 months</v>
      </c>
      <c r="AU465" s="22" t="s">
        <v>3745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23146578.081415929</v>
      </c>
      <c r="AJ466" s="27">
        <f t="shared" si="142"/>
        <v>2745231.3889985834</v>
      </c>
      <c r="AK466" s="28">
        <f t="shared" si="151"/>
        <v>0.11860204041143742</v>
      </c>
      <c r="AL466" s="24"/>
      <c r="AM466" s="24"/>
      <c r="AN466" s="24"/>
      <c r="AO466" s="24"/>
      <c r="AP466" s="28" t="str">
        <f t="shared" si="152"/>
        <v>20241</v>
      </c>
      <c r="AQ466" s="28" t="str">
        <f t="shared" si="153"/>
        <v>20241JPY</v>
      </c>
      <c r="AR466" s="206" t="str">
        <f t="shared" si="154"/>
        <v>YAMAHA_Mounter</v>
      </c>
      <c r="AS466" s="22">
        <f t="shared" si="155"/>
        <v>1</v>
      </c>
      <c r="AT466" s="24" t="str">
        <f t="shared" si="156"/>
        <v>0-3 months</v>
      </c>
      <c r="AU466" s="22" t="s">
        <v>3745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23146578.081415929</v>
      </c>
      <c r="AJ467" s="27">
        <f t="shared" si="142"/>
        <v>2745231.3889985834</v>
      </c>
      <c r="AK467" s="28">
        <f t="shared" si="151"/>
        <v>0.11860204041143742</v>
      </c>
      <c r="AL467" s="24"/>
      <c r="AM467" s="24"/>
      <c r="AN467" s="24"/>
      <c r="AO467" s="24"/>
      <c r="AP467" s="28" t="str">
        <f t="shared" si="152"/>
        <v>20241</v>
      </c>
      <c r="AQ467" s="28" t="str">
        <f t="shared" si="153"/>
        <v>20241JPY</v>
      </c>
      <c r="AR467" s="206" t="str">
        <f t="shared" si="154"/>
        <v>YAMAHA_Mounter</v>
      </c>
      <c r="AS467" s="22">
        <f t="shared" si="155"/>
        <v>1</v>
      </c>
      <c r="AT467" s="24" t="str">
        <f t="shared" si="156"/>
        <v>0-3 months</v>
      </c>
      <c r="AU467" s="22" t="s">
        <v>3745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1"/>
        <v>0.11939782416131177</v>
      </c>
      <c r="AL468" s="17"/>
      <c r="AM468" s="17"/>
      <c r="AN468" s="17"/>
      <c r="AO468" s="17"/>
      <c r="AP468" s="28" t="str">
        <f t="shared" si="152"/>
        <v>20194</v>
      </c>
      <c r="AQ468" s="28" t="str">
        <f t="shared" si="153"/>
        <v>20194JPY</v>
      </c>
      <c r="AR468" s="206" t="str">
        <f t="shared" si="154"/>
        <v>YAMAHA_Mounter</v>
      </c>
      <c r="AS468" s="22">
        <f t="shared" si="155"/>
        <v>0</v>
      </c>
      <c r="AT468" s="24" t="str">
        <f t="shared" si="156"/>
        <v>0-3 months</v>
      </c>
      <c r="AU468" s="22" t="s">
        <v>3745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1"/>
        <v>0.14724433143839863</v>
      </c>
      <c r="AL469" s="17"/>
      <c r="AM469" s="17"/>
      <c r="AN469" s="17"/>
      <c r="AO469" s="17"/>
      <c r="AP469" s="28" t="str">
        <f t="shared" si="152"/>
        <v>20193</v>
      </c>
      <c r="AQ469" s="28" t="str">
        <f t="shared" si="153"/>
        <v>20193JPY</v>
      </c>
      <c r="AR469" s="206" t="str">
        <f t="shared" si="154"/>
        <v>YAMAHA_Mounter</v>
      </c>
      <c r="AS469" s="22">
        <f t="shared" si="155"/>
        <v>0</v>
      </c>
      <c r="AT469" s="24" t="str">
        <f t="shared" si="156"/>
        <v>0-3 months</v>
      </c>
      <c r="AU469" s="22" t="s">
        <v>3745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1"/>
        <v>0.14724433143839863</v>
      </c>
      <c r="AL470" s="17"/>
      <c r="AM470" s="17"/>
      <c r="AN470" s="17"/>
      <c r="AO470" s="17"/>
      <c r="AP470" s="28" t="str">
        <f t="shared" si="152"/>
        <v>20193</v>
      </c>
      <c r="AQ470" s="28" t="str">
        <f t="shared" si="153"/>
        <v>20193JPY</v>
      </c>
      <c r="AR470" s="206" t="str">
        <f t="shared" si="154"/>
        <v>YAMAHA_Mounter</v>
      </c>
      <c r="AS470" s="22">
        <f t="shared" si="155"/>
        <v>0</v>
      </c>
      <c r="AT470" s="24" t="str">
        <f t="shared" si="156"/>
        <v>0-3 months</v>
      </c>
      <c r="AU470" s="22" t="s">
        <v>3745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7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1"/>
        <v>0.13845607946397598</v>
      </c>
      <c r="AL471" s="17"/>
      <c r="AM471" s="17"/>
      <c r="AN471" s="17"/>
      <c r="AO471" s="17"/>
      <c r="AP471" s="28" t="str">
        <f t="shared" si="152"/>
        <v>20222</v>
      </c>
      <c r="AQ471" s="28" t="str">
        <f t="shared" si="153"/>
        <v>20222JPY</v>
      </c>
      <c r="AR471" s="206" t="str">
        <f t="shared" si="154"/>
        <v>YAMAHA_Mounter</v>
      </c>
      <c r="AS471" s="22">
        <f t="shared" si="155"/>
        <v>11</v>
      </c>
      <c r="AT471" s="24" t="str">
        <f t="shared" si="156"/>
        <v>&gt; 6 months</v>
      </c>
      <c r="AU471" s="22" t="s">
        <v>3745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7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1"/>
        <v>0.13845607946397598</v>
      </c>
      <c r="AL472" s="17"/>
      <c r="AM472" s="17"/>
      <c r="AN472" s="17"/>
      <c r="AO472" s="17"/>
      <c r="AP472" s="28" t="str">
        <f t="shared" si="152"/>
        <v>20222</v>
      </c>
      <c r="AQ472" s="28" t="str">
        <f t="shared" si="153"/>
        <v>20222JPY</v>
      </c>
      <c r="AR472" s="206" t="str">
        <f t="shared" si="154"/>
        <v>YAMAHA_Mounter</v>
      </c>
      <c r="AS472" s="22">
        <f t="shared" si="155"/>
        <v>11</v>
      </c>
      <c r="AT472" s="24" t="str">
        <f t="shared" si="156"/>
        <v>&gt; 6 months</v>
      </c>
      <c r="AU472" s="22" t="s">
        <v>3745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7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1"/>
        <v>0.16347849649632912</v>
      </c>
      <c r="AL473" s="17"/>
      <c r="AM473" s="17"/>
      <c r="AN473" s="17"/>
      <c r="AO473" s="17"/>
      <c r="AP473" s="28" t="str">
        <f t="shared" si="152"/>
        <v>20226</v>
      </c>
      <c r="AQ473" s="28" t="str">
        <f t="shared" si="153"/>
        <v>20226RMB</v>
      </c>
      <c r="AR473" s="206" t="str">
        <f t="shared" si="154"/>
        <v>YAMAHA_Mounter</v>
      </c>
      <c r="AS473" s="22">
        <f t="shared" si="155"/>
        <v>1</v>
      </c>
      <c r="AT473" s="24" t="str">
        <f t="shared" si="156"/>
        <v>0-3 months</v>
      </c>
      <c r="AU473" s="22" t="s">
        <v>3751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7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1"/>
        <v>0.14613378412599562</v>
      </c>
      <c r="AL474" s="17"/>
      <c r="AM474" s="17"/>
      <c r="AN474" s="17"/>
      <c r="AO474" s="17"/>
      <c r="AP474" s="28" t="str">
        <f t="shared" si="152"/>
        <v>20227</v>
      </c>
      <c r="AQ474" s="28" t="str">
        <f t="shared" si="153"/>
        <v>20227RMB</v>
      </c>
      <c r="AR474" s="206" t="str">
        <f t="shared" si="154"/>
        <v>YAMAHA_Mounter</v>
      </c>
      <c r="AS474" s="22">
        <f t="shared" si="155"/>
        <v>0</v>
      </c>
      <c r="AT474" s="24" t="str">
        <f t="shared" si="156"/>
        <v>0-3 months</v>
      </c>
      <c r="AU474" s="22" t="s">
        <v>3751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7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1"/>
        <v>0.1737753782153679</v>
      </c>
      <c r="AL475" s="17"/>
      <c r="AM475" s="17"/>
      <c r="AN475" s="17"/>
      <c r="AO475" s="17"/>
      <c r="AP475" s="28" t="str">
        <f t="shared" si="152"/>
        <v>202210</v>
      </c>
      <c r="AQ475" s="28" t="str">
        <f t="shared" si="153"/>
        <v>202210RMB</v>
      </c>
      <c r="AR475" s="206" t="str">
        <f t="shared" si="154"/>
        <v>YAMAHA_Mounter</v>
      </c>
      <c r="AS475" s="22">
        <f t="shared" si="155"/>
        <v>1</v>
      </c>
      <c r="AT475" s="24" t="str">
        <f t="shared" si="156"/>
        <v>0-3 months</v>
      </c>
      <c r="AU475" s="22" t="s">
        <v>3751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7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499582152.5142017</v>
      </c>
      <c r="AJ476" s="19">
        <f t="shared" si="142"/>
        <v>59520528.679470733</v>
      </c>
      <c r="AK476" s="20">
        <f t="shared" si="151"/>
        <v>0.11914062257814291</v>
      </c>
      <c r="AL476" s="17"/>
      <c r="AM476" s="17"/>
      <c r="AN476" s="17"/>
      <c r="AO476" s="17"/>
      <c r="AP476" s="28" t="str">
        <f t="shared" si="152"/>
        <v>CancelCancel</v>
      </c>
      <c r="AQ476" s="28" t="str">
        <f t="shared" si="153"/>
        <v>CancelCancelRMB</v>
      </c>
      <c r="AR476" s="206" t="str">
        <f t="shared" si="154"/>
        <v>YAMAHA_Mounter</v>
      </c>
      <c r="AS476" s="22" t="str">
        <f t="shared" si="155"/>
        <v/>
      </c>
      <c r="AT476" s="24" t="str">
        <f t="shared" si="156"/>
        <v/>
      </c>
      <c r="AU476" s="22" t="s">
        <v>3751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41"/>
        <v>20319282.700884953</v>
      </c>
      <c r="AJ477" s="27">
        <f t="shared" si="142"/>
        <v>2408851.9638623013</v>
      </c>
      <c r="AK477" s="28">
        <f t="shared" si="151"/>
        <v>0.11855004919821259</v>
      </c>
      <c r="AL477" s="24"/>
      <c r="AM477" s="24"/>
      <c r="AN477" s="24"/>
      <c r="AO477" s="24"/>
      <c r="AP477" s="28" t="str">
        <f t="shared" si="152"/>
        <v>20244</v>
      </c>
      <c r="AQ477" s="28" t="str">
        <f t="shared" si="153"/>
        <v>20244RMB</v>
      </c>
      <c r="AR477" s="206" t="str">
        <f t="shared" si="154"/>
        <v>YAMAHA_Mounter</v>
      </c>
      <c r="AS477" s="22">
        <f t="shared" si="155"/>
        <v>1</v>
      </c>
      <c r="AT477" s="24" t="str">
        <f t="shared" si="156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41"/>
        <v>20319282.700884953</v>
      </c>
      <c r="AJ478" s="27">
        <f t="shared" si="142"/>
        <v>2408851.9638623013</v>
      </c>
      <c r="AK478" s="28">
        <f t="shared" si="151"/>
        <v>0.11855004919821259</v>
      </c>
      <c r="AL478" s="24"/>
      <c r="AM478" s="24"/>
      <c r="AN478" s="24"/>
      <c r="AO478" s="24"/>
      <c r="AP478" s="28" t="str">
        <f t="shared" si="152"/>
        <v>20244</v>
      </c>
      <c r="AQ478" s="28" t="str">
        <f t="shared" si="153"/>
        <v>20244RMB</v>
      </c>
      <c r="AR478" s="206" t="str">
        <f t="shared" si="154"/>
        <v>YAMAHA_Mounter</v>
      </c>
      <c r="AS478" s="22">
        <f t="shared" si="155"/>
        <v>1</v>
      </c>
      <c r="AT478" s="24" t="str">
        <f t="shared" si="156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1"/>
        <v>0.1428734525728621</v>
      </c>
      <c r="AL479" s="17"/>
      <c r="AM479" s="17"/>
      <c r="AN479" s="17"/>
      <c r="AO479" s="17"/>
      <c r="AP479" s="28" t="str">
        <f t="shared" si="152"/>
        <v>201811</v>
      </c>
      <c r="AQ479" s="28" t="str">
        <f t="shared" si="153"/>
        <v>201811JPY</v>
      </c>
      <c r="AR479" s="206" t="str">
        <f t="shared" si="154"/>
        <v>YAMAHA_Mounter</v>
      </c>
      <c r="AS479" s="22">
        <f t="shared" si="155"/>
        <v>0</v>
      </c>
      <c r="AT479" s="24" t="str">
        <f t="shared" si="156"/>
        <v>0-3 months</v>
      </c>
      <c r="AU479" s="22" t="s">
        <v>3745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1"/>
        <v>0.11467191436184473</v>
      </c>
      <c r="AL480" s="17"/>
      <c r="AM480" s="17"/>
      <c r="AN480" s="17"/>
      <c r="AO480" s="17"/>
      <c r="AP480" s="28" t="str">
        <f t="shared" si="152"/>
        <v>20196</v>
      </c>
      <c r="AQ480" s="28" t="str">
        <f t="shared" si="153"/>
        <v>20196RMB</v>
      </c>
      <c r="AR480" s="206" t="str">
        <f t="shared" si="154"/>
        <v>YAMAHA_Mounter</v>
      </c>
      <c r="AS480" s="22">
        <f t="shared" si="155"/>
        <v>0</v>
      </c>
      <c r="AT480" s="24" t="str">
        <f t="shared" si="156"/>
        <v>0-3 months</v>
      </c>
      <c r="AU480" s="22" t="s">
        <v>3744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1"/>
        <v>0.141215124388995</v>
      </c>
      <c r="AL481" s="17"/>
      <c r="AM481" s="17"/>
      <c r="AN481" s="17"/>
      <c r="AO481" s="17"/>
      <c r="AP481" s="28" t="str">
        <f t="shared" si="152"/>
        <v>20215</v>
      </c>
      <c r="AQ481" s="28" t="str">
        <f t="shared" si="153"/>
        <v>20215JPY</v>
      </c>
      <c r="AR481" s="206" t="str">
        <f t="shared" si="154"/>
        <v>YAMAHA_Mounter</v>
      </c>
      <c r="AS481" s="22">
        <f t="shared" si="155"/>
        <v>2</v>
      </c>
      <c r="AT481" s="24" t="str">
        <f t="shared" si="156"/>
        <v>0-3 months</v>
      </c>
      <c r="AU481" s="22" t="s">
        <v>3745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41"/>
        <v>20319282.700884953</v>
      </c>
      <c r="AJ482" s="27">
        <f t="shared" si="142"/>
        <v>2408851.9638623013</v>
      </c>
      <c r="AK482" s="28">
        <f t="shared" si="151"/>
        <v>0.11855004919821259</v>
      </c>
      <c r="AL482" s="24"/>
      <c r="AM482" s="24"/>
      <c r="AN482" s="24"/>
      <c r="AO482" s="24"/>
      <c r="AP482" s="28" t="str">
        <f t="shared" si="152"/>
        <v>20244</v>
      </c>
      <c r="AQ482" s="28" t="str">
        <f t="shared" si="153"/>
        <v>20244RMB</v>
      </c>
      <c r="AR482" s="206" t="str">
        <f t="shared" si="154"/>
        <v>YAMAHA_Mounter</v>
      </c>
      <c r="AS482" s="22">
        <f t="shared" si="155"/>
        <v>1</v>
      </c>
      <c r="AT482" s="24" t="str">
        <f t="shared" si="156"/>
        <v>0-3 months</v>
      </c>
      <c r="AU482" s="22" t="s">
        <v>3751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41"/>
        <v>20319282.700884953</v>
      </c>
      <c r="AJ483" s="27">
        <f t="shared" si="142"/>
        <v>2408851.9638623013</v>
      </c>
      <c r="AK483" s="28">
        <f t="shared" si="151"/>
        <v>0.11855004919821259</v>
      </c>
      <c r="AL483" s="24"/>
      <c r="AM483" s="24"/>
      <c r="AN483" s="24"/>
      <c r="AO483" s="24"/>
      <c r="AP483" s="28" t="str">
        <f t="shared" si="152"/>
        <v>20244</v>
      </c>
      <c r="AQ483" s="28" t="str">
        <f t="shared" si="153"/>
        <v>20244RMB</v>
      </c>
      <c r="AR483" s="206" t="str">
        <f t="shared" si="154"/>
        <v>YAMAHA_Mounter</v>
      </c>
      <c r="AS483" s="22">
        <f t="shared" si="155"/>
        <v>1</v>
      </c>
      <c r="AT483" s="24" t="str">
        <f t="shared" si="156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1"/>
        <v>8.861429963420242E-2</v>
      </c>
      <c r="AL484" s="17"/>
      <c r="AM484" s="17"/>
      <c r="AN484" s="17"/>
      <c r="AO484" s="17"/>
      <c r="AP484" s="28" t="str">
        <f t="shared" si="152"/>
        <v>20231</v>
      </c>
      <c r="AQ484" s="28" t="str">
        <f t="shared" si="153"/>
        <v>20231RMB</v>
      </c>
      <c r="AR484" s="206" t="str">
        <f t="shared" si="154"/>
        <v>HELLER</v>
      </c>
      <c r="AS484" s="22">
        <f t="shared" si="155"/>
        <v>1</v>
      </c>
      <c r="AT484" s="24" t="str">
        <f t="shared" si="156"/>
        <v>0-3 months</v>
      </c>
      <c r="AU484" s="22" t="s">
        <v>3751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1"/>
        <v>0.12581216063459488</v>
      </c>
      <c r="AL485" s="17"/>
      <c r="AM485" s="17"/>
      <c r="AN485" s="17"/>
      <c r="AO485" s="17"/>
      <c r="AP485" s="28" t="str">
        <f t="shared" si="152"/>
        <v>20209</v>
      </c>
      <c r="AQ485" s="28" t="str">
        <f t="shared" si="153"/>
        <v>20209RMB</v>
      </c>
      <c r="AR485" s="206" t="str">
        <f t="shared" si="154"/>
        <v>YAMAHA_Mounter</v>
      </c>
      <c r="AS485" s="22">
        <f t="shared" si="155"/>
        <v>2</v>
      </c>
      <c r="AT485" s="24" t="str">
        <f t="shared" si="156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1"/>
        <v>0.12581216063459488</v>
      </c>
      <c r="AL486" s="17"/>
      <c r="AM486" s="17"/>
      <c r="AN486" s="17"/>
      <c r="AO486" s="17"/>
      <c r="AP486" s="28" t="str">
        <f t="shared" si="152"/>
        <v>20209</v>
      </c>
      <c r="AQ486" s="28" t="str">
        <f t="shared" si="153"/>
        <v>20209RMB</v>
      </c>
      <c r="AR486" s="206" t="str">
        <f t="shared" si="154"/>
        <v>YAMAHA_Mounter</v>
      </c>
      <c r="AS486" s="22">
        <f t="shared" si="155"/>
        <v>2</v>
      </c>
      <c r="AT486" s="24" t="str">
        <f t="shared" si="156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1"/>
        <v>0.1494810557466355</v>
      </c>
      <c r="AL487" s="17"/>
      <c r="AM487" s="17"/>
      <c r="AN487" s="17"/>
      <c r="AO487" s="17"/>
      <c r="AP487" s="28" t="str">
        <f t="shared" si="152"/>
        <v>20217</v>
      </c>
      <c r="AQ487" s="28" t="str">
        <f t="shared" si="153"/>
        <v>20217RMB</v>
      </c>
      <c r="AR487" s="206" t="str">
        <f t="shared" si="154"/>
        <v>YAMAHA_Mounter</v>
      </c>
      <c r="AS487" s="22">
        <f t="shared" si="155"/>
        <v>2</v>
      </c>
      <c r="AT487" s="24" t="str">
        <f t="shared" si="156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1"/>
        <v>0.1494810557466355</v>
      </c>
      <c r="AL488" s="17"/>
      <c r="AM488" s="17"/>
      <c r="AN488" s="17"/>
      <c r="AO488" s="17"/>
      <c r="AP488" s="28" t="str">
        <f t="shared" si="152"/>
        <v>20217</v>
      </c>
      <c r="AQ488" s="28" t="str">
        <f t="shared" si="153"/>
        <v>20217RMB</v>
      </c>
      <c r="AR488" s="206" t="str">
        <f t="shared" si="154"/>
        <v>YAMAHA_Mounter</v>
      </c>
      <c r="AS488" s="22">
        <f t="shared" si="155"/>
        <v>2</v>
      </c>
      <c r="AT488" s="24" t="str">
        <f t="shared" si="156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1"/>
        <v>0.11467191436184473</v>
      </c>
      <c r="AL489" s="17"/>
      <c r="AM489" s="17"/>
      <c r="AN489" s="17"/>
      <c r="AO489" s="17"/>
      <c r="AP489" s="28" t="str">
        <f t="shared" si="152"/>
        <v>20196</v>
      </c>
      <c r="AQ489" s="28" t="str">
        <f t="shared" si="153"/>
        <v>20196JPY</v>
      </c>
      <c r="AR489" s="206" t="str">
        <f t="shared" si="154"/>
        <v>YAMAHA_Mounter</v>
      </c>
      <c r="AS489" s="22">
        <f t="shared" si="155"/>
        <v>1</v>
      </c>
      <c r="AT489" s="24" t="str">
        <f t="shared" si="156"/>
        <v>0-3 months</v>
      </c>
      <c r="AU489" s="22" t="s">
        <v>3745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1"/>
        <v>0.12516738767237401</v>
      </c>
      <c r="AL490" s="17"/>
      <c r="AM490" s="17"/>
      <c r="AN490" s="17"/>
      <c r="AO490" s="17"/>
      <c r="AP490" s="28" t="str">
        <f t="shared" si="152"/>
        <v>20212</v>
      </c>
      <c r="AQ490" s="28" t="str">
        <f t="shared" si="153"/>
        <v>20212JPY</v>
      </c>
      <c r="AR490" s="206" t="str">
        <f t="shared" si="154"/>
        <v>YAMAHA_Mounter</v>
      </c>
      <c r="AS490" s="22">
        <f t="shared" si="155"/>
        <v>5</v>
      </c>
      <c r="AT490" s="24" t="str">
        <f t="shared" si="156"/>
        <v>4-6 months</v>
      </c>
      <c r="AU490" s="22" t="s">
        <v>3745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1"/>
        <v>0.12516738767237401</v>
      </c>
      <c r="AL491" s="17"/>
      <c r="AM491" s="17"/>
      <c r="AN491" s="17"/>
      <c r="AO491" s="17"/>
      <c r="AP491" s="28" t="str">
        <f t="shared" si="152"/>
        <v>20212</v>
      </c>
      <c r="AQ491" s="28" t="str">
        <f t="shared" si="153"/>
        <v>20212JPY</v>
      </c>
      <c r="AR491" s="206" t="str">
        <f t="shared" si="154"/>
        <v>YAMAHA_Mounter</v>
      </c>
      <c r="AS491" s="22">
        <f t="shared" si="155"/>
        <v>5</v>
      </c>
      <c r="AT491" s="24" t="str">
        <f t="shared" si="156"/>
        <v>4-6 months</v>
      </c>
      <c r="AU491" s="22" t="s">
        <v>3745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1"/>
        <v>0.12565028406083667</v>
      </c>
      <c r="AL492" s="17"/>
      <c r="AM492" s="17"/>
      <c r="AN492" s="17"/>
      <c r="AO492" s="17"/>
      <c r="AP492" s="28" t="str">
        <f t="shared" si="152"/>
        <v>20213</v>
      </c>
      <c r="AQ492" s="28" t="str">
        <f t="shared" si="153"/>
        <v>20213JPY</v>
      </c>
      <c r="AR492" s="206" t="str">
        <f t="shared" si="154"/>
        <v>YAMAHA_Mounter</v>
      </c>
      <c r="AS492" s="22">
        <f t="shared" si="155"/>
        <v>6</v>
      </c>
      <c r="AT492" s="24" t="str">
        <f t="shared" si="156"/>
        <v>4-6 months</v>
      </c>
      <c r="AU492" s="22" t="s">
        <v>3745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1"/>
        <v>0.12565028406083667</v>
      </c>
      <c r="AL493" s="17"/>
      <c r="AM493" s="17"/>
      <c r="AN493" s="17"/>
      <c r="AO493" s="17"/>
      <c r="AP493" s="28" t="str">
        <f t="shared" si="152"/>
        <v>20213</v>
      </c>
      <c r="AQ493" s="28" t="str">
        <f t="shared" si="153"/>
        <v>20213JPY</v>
      </c>
      <c r="AR493" s="206" t="str">
        <f t="shared" si="154"/>
        <v>YAMAHA_Mounter</v>
      </c>
      <c r="AS493" s="22">
        <f t="shared" si="155"/>
        <v>6</v>
      </c>
      <c r="AT493" s="24" t="str">
        <f t="shared" si="156"/>
        <v>4-6 months</v>
      </c>
      <c r="AU493" s="22" t="s">
        <v>3745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1"/>
        <v>0.141215124388995</v>
      </c>
      <c r="AL494" s="17"/>
      <c r="AM494" s="17"/>
      <c r="AN494" s="17"/>
      <c r="AO494" s="17"/>
      <c r="AP494" s="28" t="str">
        <f t="shared" si="152"/>
        <v>20215</v>
      </c>
      <c r="AQ494" s="28" t="str">
        <f t="shared" si="153"/>
        <v>20215RMB</v>
      </c>
      <c r="AR494" s="206" t="str">
        <f t="shared" si="154"/>
        <v>YAMAHA_Mounter</v>
      </c>
      <c r="AS494" s="22">
        <f t="shared" si="155"/>
        <v>0</v>
      </c>
      <c r="AT494" s="24" t="str">
        <f t="shared" si="156"/>
        <v>0-3 months</v>
      </c>
      <c r="AU494" s="22" t="s">
        <v>3751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20319282.700884953</v>
      </c>
      <c r="AJ495" s="27">
        <f t="shared" si="142"/>
        <v>2408851.9638623013</v>
      </c>
      <c r="AK495" s="28">
        <f t="shared" si="151"/>
        <v>0.11855004919821259</v>
      </c>
      <c r="AL495" s="24"/>
      <c r="AM495" s="24"/>
      <c r="AN495" s="24"/>
      <c r="AO495" s="24"/>
      <c r="AP495" s="28" t="str">
        <f t="shared" si="152"/>
        <v>20244</v>
      </c>
      <c r="AQ495" s="28" t="str">
        <f t="shared" si="153"/>
        <v>20244RMB</v>
      </c>
      <c r="AR495" s="206" t="str">
        <f t="shared" si="154"/>
        <v>YAMAHA_Mounter</v>
      </c>
      <c r="AS495" s="22">
        <f t="shared" si="155"/>
        <v>1</v>
      </c>
      <c r="AT495" s="24" t="str">
        <f t="shared" si="156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41"/>
        <v>20319282.700884953</v>
      </c>
      <c r="AJ496" s="27">
        <f t="shared" si="142"/>
        <v>2408851.9638623013</v>
      </c>
      <c r="AK496" s="28">
        <f t="shared" si="151"/>
        <v>0.11855004919821259</v>
      </c>
      <c r="AL496" s="24"/>
      <c r="AM496" s="24"/>
      <c r="AN496" s="24"/>
      <c r="AO496" s="24"/>
      <c r="AP496" s="28" t="str">
        <f t="shared" si="152"/>
        <v>20244</v>
      </c>
      <c r="AQ496" s="28" t="str">
        <f t="shared" si="153"/>
        <v>20244RMB</v>
      </c>
      <c r="AR496" s="206" t="str">
        <f t="shared" si="154"/>
        <v>YAMAHA_Mounter</v>
      </c>
      <c r="AS496" s="22">
        <f t="shared" si="155"/>
        <v>1</v>
      </c>
      <c r="AT496" s="24" t="str">
        <f t="shared" si="156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1"/>
        <v>0.12581216063459488</v>
      </c>
      <c r="AL497" s="17"/>
      <c r="AM497" s="17"/>
      <c r="AN497" s="17"/>
      <c r="AO497" s="17"/>
      <c r="AP497" s="28" t="str">
        <f t="shared" si="152"/>
        <v>20209</v>
      </c>
      <c r="AQ497" s="28" t="str">
        <f t="shared" si="153"/>
        <v>20209RMB</v>
      </c>
      <c r="AR497" s="206" t="str">
        <f t="shared" si="154"/>
        <v>YAMAHA_Mounter</v>
      </c>
      <c r="AS497" s="22">
        <f t="shared" si="155"/>
        <v>2</v>
      </c>
      <c r="AT497" s="24" t="str">
        <f t="shared" si="156"/>
        <v>0-3 months</v>
      </c>
      <c r="AU497" s="22" t="s">
        <v>3744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1"/>
        <v>0.11939782416131177</v>
      </c>
      <c r="AL498" s="17"/>
      <c r="AM498" s="17"/>
      <c r="AN498" s="17"/>
      <c r="AO498" s="17"/>
      <c r="AP498" s="28" t="str">
        <f t="shared" si="152"/>
        <v>20194</v>
      </c>
      <c r="AQ498" s="28" t="str">
        <f t="shared" si="153"/>
        <v>20194JPY</v>
      </c>
      <c r="AR498" s="206" t="str">
        <f t="shared" si="154"/>
        <v>YAMAHA_Mounter</v>
      </c>
      <c r="AS498" s="22">
        <f t="shared" si="155"/>
        <v>1</v>
      </c>
      <c r="AT498" s="24" t="str">
        <f t="shared" si="156"/>
        <v>0-3 months</v>
      </c>
      <c r="AU498" s="22" t="s">
        <v>3745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1"/>
        <v>0.13845607946397598</v>
      </c>
      <c r="AL499" s="17"/>
      <c r="AM499" s="17"/>
      <c r="AN499" s="17"/>
      <c r="AO499" s="17" t="s">
        <v>1974</v>
      </c>
      <c r="AP499" s="28" t="str">
        <f t="shared" si="152"/>
        <v>20222</v>
      </c>
      <c r="AQ499" s="28" t="str">
        <f t="shared" si="153"/>
        <v>20222JPY</v>
      </c>
      <c r="AR499" s="206" t="str">
        <f t="shared" si="154"/>
        <v>YAMAHA_Mounter</v>
      </c>
      <c r="AS499" s="22">
        <f t="shared" si="155"/>
        <v>2</v>
      </c>
      <c r="AT499" s="24" t="str">
        <f t="shared" si="156"/>
        <v>0-3 months</v>
      </c>
      <c r="AU499" s="22" t="s">
        <v>3746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1"/>
        <v>0.12327425538313459</v>
      </c>
      <c r="AL500" s="17"/>
      <c r="AM500" s="17"/>
      <c r="AN500" s="17"/>
      <c r="AO500" s="17" t="s">
        <v>1974</v>
      </c>
      <c r="AP500" s="28" t="str">
        <f t="shared" si="152"/>
        <v>20237</v>
      </c>
      <c r="AQ500" s="28" t="str">
        <f t="shared" si="153"/>
        <v>20237JPY</v>
      </c>
      <c r="AR500" s="206" t="str">
        <f t="shared" si="154"/>
        <v>YAMAHA_Mounter</v>
      </c>
      <c r="AS500" s="22">
        <f t="shared" si="155"/>
        <v>19</v>
      </c>
      <c r="AT500" s="24" t="str">
        <f t="shared" si="156"/>
        <v>&gt; 6 months</v>
      </c>
      <c r="AU500" s="22" t="s">
        <v>3746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1"/>
        <v>0.12327425538313459</v>
      </c>
      <c r="AL501" s="17"/>
      <c r="AM501" s="17"/>
      <c r="AN501" s="17"/>
      <c r="AO501" s="17" t="s">
        <v>1974</v>
      </c>
      <c r="AP501" s="28" t="str">
        <f t="shared" si="152"/>
        <v>20237</v>
      </c>
      <c r="AQ501" s="28" t="str">
        <f t="shared" si="153"/>
        <v>20237JPY</v>
      </c>
      <c r="AR501" s="206" t="str">
        <f t="shared" si="154"/>
        <v>YAMAHA_Mounter</v>
      </c>
      <c r="AS501" s="22">
        <f t="shared" si="155"/>
        <v>19</v>
      </c>
      <c r="AT501" s="24" t="str">
        <f t="shared" si="156"/>
        <v>&gt; 6 months</v>
      </c>
      <c r="AU501" s="22" t="s">
        <v>3746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1"/>
        <v>0.12272431622253084</v>
      </c>
      <c r="AL502" s="17"/>
      <c r="AM502" s="17"/>
      <c r="AN502" s="17"/>
      <c r="AO502" s="17"/>
      <c r="AP502" s="28" t="str">
        <f t="shared" si="152"/>
        <v>202311</v>
      </c>
      <c r="AQ502" s="28" t="str">
        <f t="shared" si="153"/>
        <v>202311JPY</v>
      </c>
      <c r="AR502" s="206" t="str">
        <f t="shared" si="154"/>
        <v>YAMAHA_Non_Mounter</v>
      </c>
      <c r="AS502" s="22">
        <f t="shared" si="155"/>
        <v>9</v>
      </c>
      <c r="AT502" s="24" t="str">
        <f t="shared" si="156"/>
        <v>&gt; 6 months</v>
      </c>
      <c r="AU502" s="22" t="s">
        <v>3746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1"/>
        <v>0.1278167874546958</v>
      </c>
      <c r="AL503" s="17"/>
      <c r="AM503" s="17"/>
      <c r="AN503" s="17"/>
      <c r="AO503" s="17"/>
      <c r="AP503" s="28" t="str">
        <f t="shared" si="152"/>
        <v>20224</v>
      </c>
      <c r="AQ503" s="28" t="str">
        <f t="shared" si="153"/>
        <v>20224JPY</v>
      </c>
      <c r="AR503" s="206" t="str">
        <f t="shared" si="154"/>
        <v>YAMAHA_Non_Mounter</v>
      </c>
      <c r="AS503" s="22">
        <f t="shared" si="155"/>
        <v>4</v>
      </c>
      <c r="AT503" s="24" t="str">
        <f t="shared" si="156"/>
        <v>4-6 months</v>
      </c>
      <c r="AU503" s="22" t="s">
        <v>3746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58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499582152.5142017</v>
      </c>
      <c r="AJ504" s="19">
        <f t="shared" si="142"/>
        <v>59520528.679470733</v>
      </c>
      <c r="AK504" s="20">
        <f t="shared" si="151"/>
        <v>0.11914062257814291</v>
      </c>
      <c r="AL504" s="17"/>
      <c r="AM504" s="17"/>
      <c r="AN504" s="17"/>
      <c r="AO504" s="17"/>
      <c r="AP504" s="28" t="str">
        <f t="shared" si="152"/>
        <v>CancelCancel</v>
      </c>
      <c r="AQ504" s="28" t="str">
        <f t="shared" si="153"/>
        <v>CancelCancelJPY</v>
      </c>
      <c r="AR504" s="206" t="str">
        <f t="shared" si="154"/>
        <v>YAMAHA_Non_Mounter</v>
      </c>
      <c r="AS504" s="22" t="str">
        <f t="shared" si="155"/>
        <v/>
      </c>
      <c r="AT504" s="24" t="str">
        <f t="shared" si="156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58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30033846.584070798</v>
      </c>
      <c r="AJ505" s="19">
        <f t="shared" si="142"/>
        <v>3534936.4750884958</v>
      </c>
      <c r="AK505" s="20">
        <f t="shared" si="151"/>
        <v>0.11769842618039268</v>
      </c>
      <c r="AL505" s="17"/>
      <c r="AM505" s="17"/>
      <c r="AN505" s="17"/>
      <c r="AO505" s="17" t="s">
        <v>3087</v>
      </c>
      <c r="AP505" s="28" t="str">
        <f t="shared" si="152"/>
        <v>TBATBA</v>
      </c>
      <c r="AQ505" s="28" t="str">
        <f t="shared" si="153"/>
        <v>TBATBAJPY</v>
      </c>
      <c r="AR505" s="206" t="str">
        <f t="shared" si="154"/>
        <v>YAMAHA_Mounter</v>
      </c>
      <c r="AS505" s="22" t="str">
        <f t="shared" si="155"/>
        <v/>
      </c>
      <c r="AT505" s="24" t="str">
        <f t="shared" si="156"/>
        <v/>
      </c>
      <c r="AU505" s="22" t="s">
        <v>3746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58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30033846.584070798</v>
      </c>
      <c r="AJ506" s="19">
        <f t="shared" si="142"/>
        <v>3534936.4750884958</v>
      </c>
      <c r="AK506" s="20">
        <f t="shared" si="151"/>
        <v>0.11769842618039268</v>
      </c>
      <c r="AL506" s="17"/>
      <c r="AM506" s="17"/>
      <c r="AN506" s="17"/>
      <c r="AO506" s="17" t="s">
        <v>3087</v>
      </c>
      <c r="AP506" s="28" t="str">
        <f t="shared" si="152"/>
        <v>TBATBA</v>
      </c>
      <c r="AQ506" s="28" t="str">
        <f t="shared" si="153"/>
        <v>TBATBAJPY</v>
      </c>
      <c r="AR506" s="206" t="str">
        <f t="shared" si="154"/>
        <v>YAMAHA_Mounter</v>
      </c>
      <c r="AS506" s="22" t="str">
        <f t="shared" si="155"/>
        <v/>
      </c>
      <c r="AT506" s="24" t="str">
        <f t="shared" si="156"/>
        <v/>
      </c>
      <c r="AU506" s="22" t="s">
        <v>3746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58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30033846.584070798</v>
      </c>
      <c r="AJ507" s="19">
        <f t="shared" si="142"/>
        <v>3534936.4750884958</v>
      </c>
      <c r="AK507" s="20">
        <f t="shared" si="151"/>
        <v>0.11769842618039268</v>
      </c>
      <c r="AL507" s="17"/>
      <c r="AM507" s="17"/>
      <c r="AN507" s="17"/>
      <c r="AO507" s="17" t="s">
        <v>3087</v>
      </c>
      <c r="AP507" s="28" t="str">
        <f t="shared" si="152"/>
        <v>TBATBA</v>
      </c>
      <c r="AQ507" s="28" t="str">
        <f t="shared" si="153"/>
        <v>TBATBAJPY</v>
      </c>
      <c r="AR507" s="206" t="str">
        <f t="shared" si="154"/>
        <v>YAMAHA_Mounter</v>
      </c>
      <c r="AS507" s="22" t="str">
        <f t="shared" si="155"/>
        <v/>
      </c>
      <c r="AT507" s="24" t="str">
        <f t="shared" si="156"/>
        <v/>
      </c>
      <c r="AU507" s="22" t="s">
        <v>3746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58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30033846.584070798</v>
      </c>
      <c r="AJ508" s="19">
        <f t="shared" si="142"/>
        <v>3534936.4750884958</v>
      </c>
      <c r="AK508" s="20">
        <f t="shared" si="151"/>
        <v>0.11769842618039268</v>
      </c>
      <c r="AL508" s="17"/>
      <c r="AM508" s="17"/>
      <c r="AN508" s="17"/>
      <c r="AO508" s="17" t="s">
        <v>3087</v>
      </c>
      <c r="AP508" s="28" t="str">
        <f t="shared" si="152"/>
        <v>TBATBA</v>
      </c>
      <c r="AQ508" s="28" t="str">
        <f t="shared" si="153"/>
        <v>TBATBAJPY</v>
      </c>
      <c r="AR508" s="206" t="str">
        <f t="shared" si="154"/>
        <v>YAMAHA_Mounter</v>
      </c>
      <c r="AS508" s="22" t="str">
        <f t="shared" si="155"/>
        <v/>
      </c>
      <c r="AT508" s="24" t="str">
        <f t="shared" si="156"/>
        <v/>
      </c>
      <c r="AU508" s="22" t="s">
        <v>3746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58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20319282.700884953</v>
      </c>
      <c r="AJ509" s="27">
        <f t="shared" si="142"/>
        <v>2408851.9638623013</v>
      </c>
      <c r="AK509" s="28">
        <f t="shared" si="151"/>
        <v>0.11855004919821259</v>
      </c>
      <c r="AL509" s="24"/>
      <c r="AM509" s="24"/>
      <c r="AN509" s="24"/>
      <c r="AO509" s="24"/>
      <c r="AP509" s="28" t="str">
        <f t="shared" si="152"/>
        <v>20244</v>
      </c>
      <c r="AQ509" s="28" t="str">
        <f t="shared" si="153"/>
        <v>20244RMB</v>
      </c>
      <c r="AR509" s="206" t="str">
        <f t="shared" si="154"/>
        <v>YAMAHA_Mounter</v>
      </c>
      <c r="AS509" s="22">
        <f t="shared" si="155"/>
        <v>1</v>
      </c>
      <c r="AT509" s="24" t="str">
        <f t="shared" si="156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58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20319282.700884953</v>
      </c>
      <c r="AJ510" s="27">
        <f t="shared" si="142"/>
        <v>2408851.9638623013</v>
      </c>
      <c r="AK510" s="28">
        <f t="shared" si="151"/>
        <v>0.11855004919821259</v>
      </c>
      <c r="AL510" s="24"/>
      <c r="AM510" s="24"/>
      <c r="AN510" s="24"/>
      <c r="AO510" s="24"/>
      <c r="AP510" s="28" t="str">
        <f t="shared" si="152"/>
        <v>20244</v>
      </c>
      <c r="AQ510" s="28" t="str">
        <f t="shared" si="153"/>
        <v>20244RMB</v>
      </c>
      <c r="AR510" s="206" t="str">
        <f t="shared" si="154"/>
        <v>YAMAHA_Mounter</v>
      </c>
      <c r="AS510" s="22">
        <f t="shared" si="155"/>
        <v>1</v>
      </c>
      <c r="AT510" s="24" t="str">
        <f t="shared" si="156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1"/>
        <v>0.11939782416131177</v>
      </c>
      <c r="AL511" s="17"/>
      <c r="AM511" s="17"/>
      <c r="AN511" s="17"/>
      <c r="AO511" s="17"/>
      <c r="AP511" s="28" t="str">
        <f t="shared" si="152"/>
        <v>20194</v>
      </c>
      <c r="AQ511" s="28" t="str">
        <f t="shared" si="153"/>
        <v>20194JPY</v>
      </c>
      <c r="AR511" s="206" t="str">
        <f t="shared" si="154"/>
        <v>YAMAHA_Mounter</v>
      </c>
      <c r="AS511" s="22">
        <f t="shared" si="155"/>
        <v>0</v>
      </c>
      <c r="AT511" s="24" t="str">
        <f t="shared" si="156"/>
        <v>0-3 months</v>
      </c>
      <c r="AU511" s="22" t="s">
        <v>3745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1"/>
        <v>0.11939782416131177</v>
      </c>
      <c r="AL512" s="17"/>
      <c r="AM512" s="17"/>
      <c r="AN512" s="17"/>
      <c r="AO512" s="17"/>
      <c r="AP512" s="28" t="str">
        <f t="shared" si="152"/>
        <v>20194</v>
      </c>
      <c r="AQ512" s="28" t="str">
        <f t="shared" si="153"/>
        <v>20194JPY</v>
      </c>
      <c r="AR512" s="206" t="str">
        <f t="shared" si="154"/>
        <v>YAMAHA_Mounter</v>
      </c>
      <c r="AS512" s="22">
        <f t="shared" si="155"/>
        <v>0</v>
      </c>
      <c r="AT512" s="24" t="str">
        <f t="shared" si="156"/>
        <v>0-3 months</v>
      </c>
      <c r="AU512" s="22" t="s">
        <v>3745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1"/>
        <v>0.11939782416131177</v>
      </c>
      <c r="AL513" s="17"/>
      <c r="AM513" s="17"/>
      <c r="AN513" s="17"/>
      <c r="AO513" s="17"/>
      <c r="AP513" s="28" t="str">
        <f t="shared" si="152"/>
        <v>20194</v>
      </c>
      <c r="AQ513" s="28" t="str">
        <f t="shared" si="153"/>
        <v>20194JPY</v>
      </c>
      <c r="AR513" s="206" t="str">
        <f t="shared" si="154"/>
        <v>YAMAHA_Mounter</v>
      </c>
      <c r="AS513" s="22">
        <f t="shared" si="155"/>
        <v>0</v>
      </c>
      <c r="AT513" s="24" t="str">
        <f t="shared" si="156"/>
        <v>0-3 months</v>
      </c>
      <c r="AU513" s="22" t="s">
        <v>3745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59">IF(P514="C66 SERVICE","",SUMIFS(AB:AB,F:F,F514,G:G,G514,E:E,E514))</f>
        <v>26147030.909862842</v>
      </c>
      <c r="AJ514" s="19">
        <f t="shared" ref="AJ514:AJ577" si="160">IF(P514="C66 SERVICE","",SUMIFS(AC:AC,F:F,F514,G:G,G514,E:E,E514))</f>
        <v>2743862.8630715334</v>
      </c>
      <c r="AK514" s="20">
        <f t="shared" si="151"/>
        <v>0.10493974908778378</v>
      </c>
      <c r="AL514" s="17"/>
      <c r="AM514" s="17"/>
      <c r="AN514" s="17"/>
      <c r="AO514" s="17"/>
      <c r="AP514" s="28" t="str">
        <f t="shared" si="152"/>
        <v>201911</v>
      </c>
      <c r="AQ514" s="28" t="str">
        <f t="shared" si="153"/>
        <v>201911JPY</v>
      </c>
      <c r="AR514" s="206" t="str">
        <f t="shared" si="154"/>
        <v>YAMAHA_Mounter</v>
      </c>
      <c r="AS514" s="22">
        <f t="shared" si="155"/>
        <v>0</v>
      </c>
      <c r="AT514" s="24" t="str">
        <f t="shared" si="156"/>
        <v>0-3 months</v>
      </c>
      <c r="AU514" s="22" t="s">
        <v>3745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9"/>
        <v>35384300.169380538</v>
      </c>
      <c r="AJ515" s="19">
        <f t="shared" si="160"/>
        <v>5044538.8896988509</v>
      </c>
      <c r="AK515" s="20">
        <f t="shared" si="151"/>
        <v>0.14256432557804533</v>
      </c>
      <c r="AL515" s="17"/>
      <c r="AM515" s="17"/>
      <c r="AN515" s="17"/>
      <c r="AO515" s="17"/>
      <c r="AP515" s="28" t="str">
        <f t="shared" si="152"/>
        <v>20207</v>
      </c>
      <c r="AQ515" s="28" t="str">
        <f t="shared" si="153"/>
        <v>20207JPY</v>
      </c>
      <c r="AR515" s="206" t="str">
        <f t="shared" si="154"/>
        <v>YAMAHA_Mounter</v>
      </c>
      <c r="AS515" s="22">
        <f t="shared" si="155"/>
        <v>1</v>
      </c>
      <c r="AT515" s="24" t="str">
        <f t="shared" si="156"/>
        <v>0-3 months</v>
      </c>
      <c r="AU515" s="22" t="s">
        <v>3745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9"/>
        <v>28065694.408805311</v>
      </c>
      <c r="AJ516" s="19">
        <f t="shared" si="160"/>
        <v>4157433.2906989697</v>
      </c>
      <c r="AK516" s="20">
        <f t="shared" si="151"/>
        <v>0.14813220831602228</v>
      </c>
      <c r="AL516" s="17"/>
      <c r="AM516" s="17"/>
      <c r="AN516" s="17"/>
      <c r="AO516" s="17"/>
      <c r="AP516" s="28" t="str">
        <f t="shared" si="152"/>
        <v>20205</v>
      </c>
      <c r="AQ516" s="28" t="str">
        <f t="shared" si="153"/>
        <v>20205JPY</v>
      </c>
      <c r="AR516" s="206" t="str">
        <f t="shared" si="154"/>
        <v>YAMAHA_Mounter</v>
      </c>
      <c r="AS516" s="22">
        <f t="shared" si="155"/>
        <v>2</v>
      </c>
      <c r="AT516" s="24" t="str">
        <f t="shared" si="156"/>
        <v>0-3 months</v>
      </c>
      <c r="AU516" s="22" t="s">
        <v>3745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9"/>
        <v>17329060.066371687</v>
      </c>
      <c r="AJ517" s="19">
        <f t="shared" si="160"/>
        <v>2472600.2142256643</v>
      </c>
      <c r="AK517" s="20">
        <f t="shared" si="151"/>
        <v>0.14268518919984163</v>
      </c>
      <c r="AL517" s="17"/>
      <c r="AM517" s="17"/>
      <c r="AN517" s="17"/>
      <c r="AO517" s="17"/>
      <c r="AP517" s="28" t="str">
        <f t="shared" si="152"/>
        <v>202212</v>
      </c>
      <c r="AQ517" s="28" t="str">
        <f t="shared" si="153"/>
        <v>202212RMB</v>
      </c>
      <c r="AR517" s="206" t="str">
        <f t="shared" si="154"/>
        <v>YAMAHA_Mounter</v>
      </c>
      <c r="AS517" s="22">
        <f t="shared" si="155"/>
        <v>0</v>
      </c>
      <c r="AT517" s="24" t="str">
        <f t="shared" si="156"/>
        <v>0-3 months</v>
      </c>
      <c r="AU517" s="22" t="s">
        <v>3751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59"/>
        <v>17329060.066371687</v>
      </c>
      <c r="AJ518" s="19">
        <f t="shared" si="160"/>
        <v>2472600.2142256643</v>
      </c>
      <c r="AK518" s="20">
        <f t="shared" ref="AK518:AK581" si="169">IF(AJ518&gt;0,AJ518/AI518,"")</f>
        <v>0.14268518919984163</v>
      </c>
      <c r="AL518" s="17"/>
      <c r="AM518" s="17"/>
      <c r="AN518" s="17"/>
      <c r="AO518" s="17"/>
      <c r="AP518" s="28" t="str">
        <f t="shared" ref="AP518:AP581" si="170">IF(F518="","",F518&amp;G518)</f>
        <v>202212</v>
      </c>
      <c r="AQ518" s="28" t="str">
        <f t="shared" ref="AQ518:AQ581" si="171">IF(W518="","",F518&amp;G518&amp;W518)</f>
        <v>202212RMB</v>
      </c>
      <c r="AR518" s="206" t="str">
        <f t="shared" ref="AR518:AR581" si="172">IFERROR(IF(AND(M518="YAMAHA", R518="C28"), "YAMAHA_Non_Mounter", IF(AND(M518="YAMAHA", R518="C49"), "YAMAHA_Mounter", M518)),"")</f>
        <v>YAMAHA_Mounter</v>
      </c>
      <c r="AS518" s="22">
        <f t="shared" ref="AS518:AS581" si="173">IFERROR(IF(OR(G518="TBA", G518=""), "", DATEDIF(DATE(B518, C518, 1), DATE(F518, G518, 1), "M")),"")</f>
        <v>0</v>
      </c>
      <c r="AT518" s="24" t="str">
        <f t="shared" ref="AT518:AT581" si="174">IF(ISNUMBER(AS518), IF(AS518&gt;=0, IF(AS518&lt;=3, "0-3 months", IF(AS518&lt;=6, "4-6 months", "&gt; 6 months"))), "")</f>
        <v>0-3 months</v>
      </c>
      <c r="AU518" s="22" t="s">
        <v>3751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59"/>
        <v>33477255.428389374</v>
      </c>
      <c r="AJ519" s="19">
        <f t="shared" si="160"/>
        <v>4578663.362915583</v>
      </c>
      <c r="AK519" s="20">
        <f t="shared" si="169"/>
        <v>0.13676937682988152</v>
      </c>
      <c r="AL519" s="17"/>
      <c r="AM519" s="17"/>
      <c r="AN519" s="17"/>
      <c r="AO519" s="17"/>
      <c r="AP519" s="28" t="str">
        <f t="shared" si="170"/>
        <v>20204</v>
      </c>
      <c r="AQ519" s="28" t="str">
        <f t="shared" si="171"/>
        <v>20204JPY</v>
      </c>
      <c r="AR519" s="206" t="str">
        <f t="shared" si="172"/>
        <v>YAMAHA_Mounter</v>
      </c>
      <c r="AS519" s="22">
        <f t="shared" si="173"/>
        <v>3</v>
      </c>
      <c r="AT519" s="24" t="str">
        <f t="shared" si="174"/>
        <v>0-3 months</v>
      </c>
      <c r="AU519" s="22" t="s">
        <v>3745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59"/>
        <v>33477255.428389374</v>
      </c>
      <c r="AJ520" s="19">
        <f t="shared" si="160"/>
        <v>4578663.362915583</v>
      </c>
      <c r="AK520" s="20">
        <f t="shared" si="169"/>
        <v>0.13676937682988152</v>
      </c>
      <c r="AL520" s="17"/>
      <c r="AM520" s="17"/>
      <c r="AN520" s="17"/>
      <c r="AO520" s="17"/>
      <c r="AP520" s="28" t="str">
        <f t="shared" si="170"/>
        <v>20204</v>
      </c>
      <c r="AQ520" s="28" t="str">
        <f t="shared" si="171"/>
        <v>20204JPY</v>
      </c>
      <c r="AR520" s="206" t="str">
        <f t="shared" si="172"/>
        <v>YAMAHA_Mounter</v>
      </c>
      <c r="AS520" s="22">
        <f t="shared" si="173"/>
        <v>3</v>
      </c>
      <c r="AT520" s="24" t="str">
        <f t="shared" si="174"/>
        <v>0-3 months</v>
      </c>
      <c r="AU520" s="22" t="s">
        <v>3745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59"/>
        <v>28011162.254106201</v>
      </c>
      <c r="AJ521" s="19">
        <f t="shared" si="160"/>
        <v>3401347.1124888416</v>
      </c>
      <c r="AK521" s="20">
        <f t="shared" si="169"/>
        <v>0.12142827497242578</v>
      </c>
      <c r="AL521" s="17"/>
      <c r="AM521" s="17"/>
      <c r="AN521" s="17"/>
      <c r="AO521" s="17"/>
      <c r="AP521" s="28" t="str">
        <f t="shared" si="170"/>
        <v>202010</v>
      </c>
      <c r="AQ521" s="28" t="str">
        <f t="shared" si="171"/>
        <v>202010JPY</v>
      </c>
      <c r="AR521" s="206" t="str">
        <f t="shared" si="172"/>
        <v>YAMAHA_Mounter</v>
      </c>
      <c r="AS521" s="22">
        <f t="shared" si="173"/>
        <v>3</v>
      </c>
      <c r="AT521" s="24" t="str">
        <f t="shared" si="174"/>
        <v>0-3 months</v>
      </c>
      <c r="AU521" s="22" t="s">
        <v>3745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59"/>
        <v>43684091.636631854</v>
      </c>
      <c r="AJ522" s="19">
        <f t="shared" si="160"/>
        <v>6483951.8242071122</v>
      </c>
      <c r="AK522" s="20">
        <f t="shared" si="169"/>
        <v>0.14842821680123736</v>
      </c>
      <c r="AL522" s="17"/>
      <c r="AM522" s="17"/>
      <c r="AN522" s="17"/>
      <c r="AO522" s="17"/>
      <c r="AP522" s="28" t="str">
        <f t="shared" si="170"/>
        <v>20214</v>
      </c>
      <c r="AQ522" s="28" t="str">
        <f t="shared" si="171"/>
        <v>20214JPY</v>
      </c>
      <c r="AR522" s="206" t="str">
        <f t="shared" si="172"/>
        <v>YAMAHA_Mounter</v>
      </c>
      <c r="AS522" s="22">
        <f t="shared" si="173"/>
        <v>4</v>
      </c>
      <c r="AT522" s="24" t="str">
        <f t="shared" si="174"/>
        <v>4-6 months</v>
      </c>
      <c r="AU522" s="22" t="s">
        <v>3745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59"/>
        <v>46600814.041769907</v>
      </c>
      <c r="AJ523" s="19">
        <f t="shared" si="160"/>
        <v>5956366.3435927071</v>
      </c>
      <c r="AK523" s="20">
        <f t="shared" si="169"/>
        <v>0.1278167874546958</v>
      </c>
      <c r="AL523" s="17"/>
      <c r="AM523" s="17"/>
      <c r="AN523" s="17"/>
      <c r="AO523" s="17"/>
      <c r="AP523" s="28" t="str">
        <f t="shared" si="170"/>
        <v>20224</v>
      </c>
      <c r="AQ523" s="28" t="str">
        <f t="shared" si="171"/>
        <v>20224JPY</v>
      </c>
      <c r="AR523" s="206" t="str">
        <f t="shared" si="172"/>
        <v>YAMAHA_Mounter</v>
      </c>
      <c r="AS523" s="22">
        <f t="shared" si="173"/>
        <v>10</v>
      </c>
      <c r="AT523" s="24" t="str">
        <f t="shared" si="174"/>
        <v>&gt; 6 months</v>
      </c>
      <c r="AU523" s="22" t="s">
        <v>3745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59"/>
        <v>46600814.041769907</v>
      </c>
      <c r="AJ524" s="19">
        <f t="shared" si="160"/>
        <v>5956366.3435927071</v>
      </c>
      <c r="AK524" s="20">
        <f t="shared" si="169"/>
        <v>0.1278167874546958</v>
      </c>
      <c r="AL524" s="17"/>
      <c r="AM524" s="17"/>
      <c r="AN524" s="17"/>
      <c r="AO524" s="17"/>
      <c r="AP524" s="28" t="str">
        <f t="shared" si="170"/>
        <v>20224</v>
      </c>
      <c r="AQ524" s="28" t="str">
        <f t="shared" si="171"/>
        <v>20224JPY</v>
      </c>
      <c r="AR524" s="206" t="str">
        <f t="shared" si="172"/>
        <v>YAMAHA_Mounter</v>
      </c>
      <c r="AS524" s="22">
        <f t="shared" si="173"/>
        <v>10</v>
      </c>
      <c r="AT524" s="24" t="str">
        <f t="shared" si="174"/>
        <v>&gt; 6 months</v>
      </c>
      <c r="AU524" s="22" t="s">
        <v>3745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59"/>
        <v>17329060.066371687</v>
      </c>
      <c r="AJ525" s="19">
        <f t="shared" si="160"/>
        <v>2472600.2142256643</v>
      </c>
      <c r="AK525" s="20">
        <f t="shared" si="169"/>
        <v>0.14268518919984163</v>
      </c>
      <c r="AL525" s="17"/>
      <c r="AM525" s="17"/>
      <c r="AN525" s="17"/>
      <c r="AO525" s="17"/>
      <c r="AP525" s="28" t="str">
        <f t="shared" si="170"/>
        <v>202212</v>
      </c>
      <c r="AQ525" s="28" t="str">
        <f t="shared" si="171"/>
        <v>202212RMB</v>
      </c>
      <c r="AR525" s="206" t="str">
        <f t="shared" si="172"/>
        <v>YAMAHA_Mounter</v>
      </c>
      <c r="AS525" s="22">
        <f t="shared" si="173"/>
        <v>1</v>
      </c>
      <c r="AT525" s="24" t="str">
        <f t="shared" si="174"/>
        <v>0-3 months</v>
      </c>
      <c r="AU525" s="22" t="s">
        <v>3751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59"/>
        <v>29288201.603076916</v>
      </c>
      <c r="AJ526" s="19">
        <f t="shared" si="160"/>
        <v>3870159.1769246152</v>
      </c>
      <c r="AK526" s="20">
        <f t="shared" si="169"/>
        <v>0.13214055370740244</v>
      </c>
      <c r="AL526" s="17"/>
      <c r="AM526" s="17"/>
      <c r="AN526" s="17"/>
      <c r="AO526" s="17"/>
      <c r="AP526" s="28" t="str">
        <f t="shared" si="170"/>
        <v>20184</v>
      </c>
      <c r="AQ526" s="28" t="str">
        <f t="shared" si="171"/>
        <v>20184RMB</v>
      </c>
      <c r="AR526" s="206" t="str">
        <f t="shared" si="172"/>
        <v>YAMAHA_Mounter</v>
      </c>
      <c r="AS526" s="22">
        <f t="shared" si="173"/>
        <v>3</v>
      </c>
      <c r="AT526" s="24" t="str">
        <f t="shared" si="174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59"/>
        <v>57778307.282035396</v>
      </c>
      <c r="AJ527" s="19">
        <f t="shared" si="160"/>
        <v>7259860.7225420559</v>
      </c>
      <c r="AK527" s="20">
        <f t="shared" si="169"/>
        <v>0.12565028406083667</v>
      </c>
      <c r="AL527" s="17"/>
      <c r="AM527" s="17"/>
      <c r="AN527" s="17"/>
      <c r="AO527" s="17"/>
      <c r="AP527" s="28" t="str">
        <f t="shared" si="170"/>
        <v>20213</v>
      </c>
      <c r="AQ527" s="28" t="str">
        <f t="shared" si="171"/>
        <v>20213RMB</v>
      </c>
      <c r="AR527" s="206" t="str">
        <f t="shared" si="172"/>
        <v>YAMAHA_Mounter</v>
      </c>
      <c r="AS527" s="22">
        <f t="shared" si="173"/>
        <v>3</v>
      </c>
      <c r="AT527" s="24" t="str">
        <f t="shared" si="174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59"/>
        <v>37599388.802345134</v>
      </c>
      <c r="AJ528" s="19">
        <f t="shared" si="160"/>
        <v>4866784.3630338367</v>
      </c>
      <c r="AK528" s="20">
        <f t="shared" si="169"/>
        <v>0.12943785838163113</v>
      </c>
      <c r="AL528" s="17"/>
      <c r="AM528" s="17"/>
      <c r="AN528" s="17"/>
      <c r="AO528" s="17"/>
      <c r="AP528" s="28" t="str">
        <f t="shared" si="170"/>
        <v>20199</v>
      </c>
      <c r="AQ528" s="28" t="str">
        <f t="shared" si="171"/>
        <v>20199RMB</v>
      </c>
      <c r="AR528" s="206" t="str">
        <f t="shared" si="172"/>
        <v>YAMAHA_Mounter</v>
      </c>
      <c r="AS528" s="22">
        <f t="shared" si="173"/>
        <v>3</v>
      </c>
      <c r="AT528" s="24" t="str">
        <f t="shared" si="174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59"/>
        <v>37599388.802345134</v>
      </c>
      <c r="AJ529" s="19">
        <f t="shared" si="160"/>
        <v>4866784.3630338367</v>
      </c>
      <c r="AK529" s="20">
        <f t="shared" si="169"/>
        <v>0.12943785838163113</v>
      </c>
      <c r="AL529" s="17"/>
      <c r="AM529" s="17"/>
      <c r="AN529" s="17"/>
      <c r="AO529" s="17"/>
      <c r="AP529" s="28" t="str">
        <f t="shared" si="170"/>
        <v>20199</v>
      </c>
      <c r="AQ529" s="28" t="str">
        <f t="shared" si="171"/>
        <v>20199RMB</v>
      </c>
      <c r="AR529" s="206" t="str">
        <f t="shared" si="172"/>
        <v>LOCAL SUPPLIER</v>
      </c>
      <c r="AS529" s="22">
        <f t="shared" si="173"/>
        <v>3</v>
      </c>
      <c r="AT529" s="24" t="str">
        <f t="shared" si="174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59"/>
        <v>37599388.802345134</v>
      </c>
      <c r="AJ530" s="19">
        <f t="shared" si="160"/>
        <v>4866784.3630338367</v>
      </c>
      <c r="AK530" s="20">
        <f t="shared" si="169"/>
        <v>0.12943785838163113</v>
      </c>
      <c r="AL530" s="17"/>
      <c r="AM530" s="17"/>
      <c r="AN530" s="17"/>
      <c r="AO530" s="17"/>
      <c r="AP530" s="28" t="str">
        <f t="shared" si="170"/>
        <v>20199</v>
      </c>
      <c r="AQ530" s="28" t="str">
        <f t="shared" si="171"/>
        <v>20199RMB</v>
      </c>
      <c r="AR530" s="206" t="str">
        <f t="shared" si="172"/>
        <v>LOCAL SUPPLIER</v>
      </c>
      <c r="AS530" s="22">
        <f t="shared" si="173"/>
        <v>3</v>
      </c>
      <c r="AT530" s="24" t="str">
        <f t="shared" si="174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59"/>
        <v>37599388.802345134</v>
      </c>
      <c r="AJ531" s="19">
        <f t="shared" si="160"/>
        <v>4866784.3630338367</v>
      </c>
      <c r="AK531" s="20">
        <f t="shared" si="169"/>
        <v>0.12943785838163113</v>
      </c>
      <c r="AL531" s="17"/>
      <c r="AM531" s="17"/>
      <c r="AN531" s="17"/>
      <c r="AO531" s="17"/>
      <c r="AP531" s="28" t="str">
        <f t="shared" si="170"/>
        <v>20199</v>
      </c>
      <c r="AQ531" s="28" t="str">
        <f t="shared" si="171"/>
        <v>20199RMB</v>
      </c>
      <c r="AR531" s="206" t="str">
        <f t="shared" si="172"/>
        <v>LOCAL SUPPLIER</v>
      </c>
      <c r="AS531" s="22">
        <f t="shared" si="173"/>
        <v>3</v>
      </c>
      <c r="AT531" s="24" t="str">
        <f t="shared" si="174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59"/>
        <v>37599388.802345134</v>
      </c>
      <c r="AJ532" s="19">
        <f t="shared" si="160"/>
        <v>4866784.3630338367</v>
      </c>
      <c r="AK532" s="20">
        <f t="shared" si="169"/>
        <v>0.12943785838163113</v>
      </c>
      <c r="AL532" s="17"/>
      <c r="AM532" s="17"/>
      <c r="AN532" s="17"/>
      <c r="AO532" s="17"/>
      <c r="AP532" s="28" t="str">
        <f t="shared" si="170"/>
        <v>20199</v>
      </c>
      <c r="AQ532" s="28" t="str">
        <f t="shared" si="171"/>
        <v>20199RMB</v>
      </c>
      <c r="AR532" s="206" t="str">
        <f t="shared" si="172"/>
        <v>YAMAHA_Non_Mounter</v>
      </c>
      <c r="AS532" s="22">
        <f t="shared" si="173"/>
        <v>3</v>
      </c>
      <c r="AT532" s="24" t="str">
        <f t="shared" si="174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59"/>
        <v>37599388.802345134</v>
      </c>
      <c r="AJ533" s="19">
        <f t="shared" si="160"/>
        <v>4866784.3630338367</v>
      </c>
      <c r="AK533" s="20">
        <f t="shared" si="169"/>
        <v>0.12943785838163113</v>
      </c>
      <c r="AL533" s="17"/>
      <c r="AM533" s="17"/>
      <c r="AN533" s="17"/>
      <c r="AO533" s="17"/>
      <c r="AP533" s="28" t="str">
        <f t="shared" si="170"/>
        <v>20199</v>
      </c>
      <c r="AQ533" s="28" t="str">
        <f t="shared" si="171"/>
        <v>20199RMB</v>
      </c>
      <c r="AR533" s="206" t="str">
        <f t="shared" si="172"/>
        <v>HELLER</v>
      </c>
      <c r="AS533" s="22">
        <f t="shared" si="173"/>
        <v>3</v>
      </c>
      <c r="AT533" s="24" t="str">
        <f t="shared" si="174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59"/>
        <v>37599388.802345134</v>
      </c>
      <c r="AJ534" s="19">
        <f t="shared" si="160"/>
        <v>4866784.3630338367</v>
      </c>
      <c r="AK534" s="20">
        <f t="shared" si="169"/>
        <v>0.12943785838163113</v>
      </c>
      <c r="AL534" s="17"/>
      <c r="AM534" s="17"/>
      <c r="AN534" s="17"/>
      <c r="AO534" s="17"/>
      <c r="AP534" s="28" t="str">
        <f t="shared" si="170"/>
        <v>20199</v>
      </c>
      <c r="AQ534" s="28" t="str">
        <f t="shared" si="171"/>
        <v>20199RMB</v>
      </c>
      <c r="AR534" s="206" t="str">
        <f t="shared" si="172"/>
        <v>YAMAHA_Non_Mounter</v>
      </c>
      <c r="AS534" s="22">
        <f t="shared" si="173"/>
        <v>3</v>
      </c>
      <c r="AT534" s="24" t="str">
        <f t="shared" si="174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59"/>
        <v>30573205.452778768</v>
      </c>
      <c r="AJ535" s="19">
        <f t="shared" si="160"/>
        <v>3790930.1683151261</v>
      </c>
      <c r="AK535" s="20">
        <f t="shared" si="169"/>
        <v>0.12399518179964254</v>
      </c>
      <c r="AL535" s="17"/>
      <c r="AM535" s="17"/>
      <c r="AN535" s="17"/>
      <c r="AO535" s="17"/>
      <c r="AP535" s="28" t="str">
        <f t="shared" si="170"/>
        <v>20234</v>
      </c>
      <c r="AQ535" s="28" t="str">
        <f t="shared" si="171"/>
        <v>20234RMB</v>
      </c>
      <c r="AR535" s="206" t="str">
        <f t="shared" si="172"/>
        <v>YAMAHA_Mounter</v>
      </c>
      <c r="AS535" s="22">
        <f t="shared" si="173"/>
        <v>2</v>
      </c>
      <c r="AT535" s="24" t="str">
        <f t="shared" si="174"/>
        <v>0-3 months</v>
      </c>
      <c r="AU535" s="22" t="s">
        <v>3751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59"/>
        <v>30573205.452778768</v>
      </c>
      <c r="AJ536" s="19">
        <f t="shared" si="160"/>
        <v>3790930.1683151261</v>
      </c>
      <c r="AK536" s="20">
        <f t="shared" si="169"/>
        <v>0.12399518179964254</v>
      </c>
      <c r="AL536" s="17"/>
      <c r="AM536" s="17"/>
      <c r="AN536" s="17"/>
      <c r="AO536" s="17"/>
      <c r="AP536" s="28" t="str">
        <f t="shared" si="170"/>
        <v>20234</v>
      </c>
      <c r="AQ536" s="28" t="str">
        <f t="shared" si="171"/>
        <v>20234RMB</v>
      </c>
      <c r="AR536" s="206" t="str">
        <f t="shared" si="172"/>
        <v>YAMAHA_Mounter</v>
      </c>
      <c r="AS536" s="22">
        <f t="shared" si="173"/>
        <v>2</v>
      </c>
      <c r="AT536" s="24" t="str">
        <f t="shared" si="174"/>
        <v>0-3 months</v>
      </c>
      <c r="AU536" s="22" t="s">
        <v>3751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59"/>
        <v>21386017.707964607</v>
      </c>
      <c r="AJ537" s="19">
        <f t="shared" si="160"/>
        <v>2238764.3265707968</v>
      </c>
      <c r="AK537" s="20">
        <f t="shared" si="169"/>
        <v>0.10468355339185161</v>
      </c>
      <c r="AL537" s="17"/>
      <c r="AM537" s="17"/>
      <c r="AN537" s="17"/>
      <c r="AO537" s="17"/>
      <c r="AP537" s="28" t="str">
        <f t="shared" si="170"/>
        <v>20198</v>
      </c>
      <c r="AQ537" s="28" t="str">
        <f t="shared" si="171"/>
        <v>20198RMB</v>
      </c>
      <c r="AR537" s="206" t="str">
        <f t="shared" si="172"/>
        <v>YAMAHA_Mounter</v>
      </c>
      <c r="AS537" s="22">
        <f t="shared" si="173"/>
        <v>2</v>
      </c>
      <c r="AT537" s="24" t="str">
        <f t="shared" si="174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59"/>
        <v>21386017.707964607</v>
      </c>
      <c r="AJ538" s="19">
        <f t="shared" si="160"/>
        <v>2238764.3265707968</v>
      </c>
      <c r="AK538" s="20">
        <f t="shared" si="169"/>
        <v>0.10468355339185161</v>
      </c>
      <c r="AL538" s="17"/>
      <c r="AM538" s="17"/>
      <c r="AN538" s="17"/>
      <c r="AO538" s="17"/>
      <c r="AP538" s="28" t="str">
        <f t="shared" si="170"/>
        <v>20198</v>
      </c>
      <c r="AQ538" s="28" t="str">
        <f t="shared" si="171"/>
        <v>20198RMB</v>
      </c>
      <c r="AR538" s="206" t="str">
        <f t="shared" si="172"/>
        <v>YAMAHA_Mounter</v>
      </c>
      <c r="AS538" s="22">
        <f t="shared" si="173"/>
        <v>2</v>
      </c>
      <c r="AT538" s="24" t="str">
        <f t="shared" si="174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59"/>
        <v>21386017.707964607</v>
      </c>
      <c r="AJ539" s="19">
        <f t="shared" si="160"/>
        <v>2238764.3265707968</v>
      </c>
      <c r="AK539" s="20">
        <f t="shared" si="169"/>
        <v>0.10468355339185161</v>
      </c>
      <c r="AL539" s="17"/>
      <c r="AM539" s="17"/>
      <c r="AN539" s="17"/>
      <c r="AO539" s="17"/>
      <c r="AP539" s="28" t="str">
        <f t="shared" si="170"/>
        <v>20198</v>
      </c>
      <c r="AQ539" s="28" t="str">
        <f t="shared" si="171"/>
        <v>20198RMB</v>
      </c>
      <c r="AR539" s="206" t="str">
        <f t="shared" si="172"/>
        <v>YAMAHA_Mounter</v>
      </c>
      <c r="AS539" s="22">
        <f t="shared" si="173"/>
        <v>2</v>
      </c>
      <c r="AT539" s="24" t="str">
        <f t="shared" si="174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59"/>
        <v>30033846.584070798</v>
      </c>
      <c r="AJ540" s="19">
        <f t="shared" si="160"/>
        <v>3534936.4750884958</v>
      </c>
      <c r="AK540" s="20">
        <f t="shared" si="169"/>
        <v>0.11769842618039268</v>
      </c>
      <c r="AL540" s="17"/>
      <c r="AM540" s="17"/>
      <c r="AN540" s="17"/>
      <c r="AO540" s="17"/>
      <c r="AP540" s="28" t="str">
        <f t="shared" si="170"/>
        <v>TBATBA</v>
      </c>
      <c r="AQ540" s="28" t="str">
        <f t="shared" si="171"/>
        <v>TBATBARMB</v>
      </c>
      <c r="AR540" s="206" t="str">
        <f t="shared" si="172"/>
        <v>YAMAHA_Mounter</v>
      </c>
      <c r="AS540" s="22" t="str">
        <f t="shared" si="173"/>
        <v/>
      </c>
      <c r="AT540" s="24" t="str">
        <f t="shared" si="174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59"/>
        <v>30033846.584070798</v>
      </c>
      <c r="AJ541" s="19">
        <f t="shared" si="160"/>
        <v>3534936.4750884958</v>
      </c>
      <c r="AK541" s="20">
        <f t="shared" si="169"/>
        <v>0.11769842618039268</v>
      </c>
      <c r="AL541" s="17"/>
      <c r="AM541" s="17"/>
      <c r="AN541" s="17"/>
      <c r="AO541" s="17"/>
      <c r="AP541" s="28" t="str">
        <f t="shared" si="170"/>
        <v>TBATBA</v>
      </c>
      <c r="AQ541" s="28" t="str">
        <f t="shared" si="171"/>
        <v>TBATBARMB</v>
      </c>
      <c r="AR541" s="206" t="str">
        <f t="shared" si="172"/>
        <v>YAMAHA_Mounter</v>
      </c>
      <c r="AS541" s="22" t="str">
        <f t="shared" si="173"/>
        <v/>
      </c>
      <c r="AT541" s="24" t="str">
        <f t="shared" si="174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59"/>
        <v>30033846.584070798</v>
      </c>
      <c r="AJ542" s="19">
        <f t="shared" si="160"/>
        <v>3534936.4750884958</v>
      </c>
      <c r="AK542" s="20">
        <f t="shared" si="169"/>
        <v>0.11769842618039268</v>
      </c>
      <c r="AL542" s="17"/>
      <c r="AM542" s="17"/>
      <c r="AN542" s="17"/>
      <c r="AO542" s="17"/>
      <c r="AP542" s="28" t="str">
        <f t="shared" si="170"/>
        <v>TBATBA</v>
      </c>
      <c r="AQ542" s="28" t="str">
        <f t="shared" si="171"/>
        <v>TBATBARMB</v>
      </c>
      <c r="AR542" s="206" t="str">
        <f t="shared" si="172"/>
        <v>YAMAHA_Mounter</v>
      </c>
      <c r="AS542" s="22" t="str">
        <f t="shared" si="173"/>
        <v/>
      </c>
      <c r="AT542" s="24" t="str">
        <f t="shared" si="174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59"/>
        <v>31017966.201968137</v>
      </c>
      <c r="AJ543" s="19">
        <f t="shared" si="160"/>
        <v>4704250.3347305888</v>
      </c>
      <c r="AK543" s="20">
        <f t="shared" si="169"/>
        <v>0.15166211427595458</v>
      </c>
      <c r="AL543" s="17"/>
      <c r="AM543" s="17"/>
      <c r="AN543" s="17"/>
      <c r="AO543" s="17"/>
      <c r="AP543" s="28" t="str">
        <f t="shared" si="170"/>
        <v>202211</v>
      </c>
      <c r="AQ543" s="28" t="str">
        <f t="shared" si="171"/>
        <v>202211RMB</v>
      </c>
      <c r="AR543" s="206" t="str">
        <f t="shared" si="172"/>
        <v>HELLER</v>
      </c>
      <c r="AS543" s="22">
        <f t="shared" si="173"/>
        <v>1</v>
      </c>
      <c r="AT543" s="24" t="str">
        <f t="shared" si="174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5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59"/>
        <v>63006605.696460173</v>
      </c>
      <c r="AJ544" s="19">
        <f t="shared" si="160"/>
        <v>8897485.660753984</v>
      </c>
      <c r="AK544" s="20">
        <f t="shared" si="169"/>
        <v>0.141215124388995</v>
      </c>
      <c r="AL544" s="17"/>
      <c r="AM544" s="17"/>
      <c r="AN544" s="17"/>
      <c r="AO544" s="17"/>
      <c r="AP544" s="28" t="str">
        <f t="shared" si="170"/>
        <v>20215</v>
      </c>
      <c r="AQ544" s="28" t="str">
        <f t="shared" si="171"/>
        <v>20215RMB</v>
      </c>
      <c r="AR544" s="206" t="str">
        <f t="shared" si="172"/>
        <v>YAMAHA_Mounter</v>
      </c>
      <c r="AS544" s="22">
        <f t="shared" si="173"/>
        <v>2</v>
      </c>
      <c r="AT544" s="24" t="str">
        <f t="shared" si="174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5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59"/>
        <v>44014086.982070789</v>
      </c>
      <c r="AJ545" s="19">
        <f t="shared" si="160"/>
        <v>6419974.0221889298</v>
      </c>
      <c r="AK545" s="20">
        <f t="shared" si="169"/>
        <v>0.14586180158193709</v>
      </c>
      <c r="AL545" s="17"/>
      <c r="AM545" s="17"/>
      <c r="AN545" s="17"/>
      <c r="AO545" s="17"/>
      <c r="AP545" s="28" t="str">
        <f t="shared" si="170"/>
        <v>20225</v>
      </c>
      <c r="AQ545" s="28" t="str">
        <f t="shared" si="171"/>
        <v>20225RMB</v>
      </c>
      <c r="AR545" s="206" t="str">
        <f t="shared" si="172"/>
        <v>YAMAHA_Mounter</v>
      </c>
      <c r="AS545" s="22">
        <f t="shared" si="173"/>
        <v>5</v>
      </c>
      <c r="AT545" s="24" t="str">
        <f t="shared" si="174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5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59"/>
        <v>48763143.537654862</v>
      </c>
      <c r="AJ546" s="19">
        <f t="shared" si="160"/>
        <v>5924029.9702154724</v>
      </c>
      <c r="AK546" s="20">
        <f t="shared" si="169"/>
        <v>0.1214858095774925</v>
      </c>
      <c r="AL546" s="17"/>
      <c r="AM546" s="17"/>
      <c r="AN546" s="17"/>
      <c r="AO546" s="17"/>
      <c r="AP546" s="28" t="str">
        <f t="shared" si="170"/>
        <v>202012</v>
      </c>
      <c r="AQ546" s="28" t="str">
        <f t="shared" si="171"/>
        <v>202012RMB</v>
      </c>
      <c r="AR546" s="206" t="str">
        <f t="shared" si="172"/>
        <v>YAMAHA_Mounter</v>
      </c>
      <c r="AS546" s="22">
        <f t="shared" si="173"/>
        <v>2</v>
      </c>
      <c r="AT546" s="24" t="str">
        <f t="shared" si="174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5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59"/>
        <v>48763143.537654862</v>
      </c>
      <c r="AJ547" s="19">
        <f t="shared" si="160"/>
        <v>5924029.9702154724</v>
      </c>
      <c r="AK547" s="20">
        <f t="shared" si="169"/>
        <v>0.1214858095774925</v>
      </c>
      <c r="AL547" s="17"/>
      <c r="AM547" s="17"/>
      <c r="AN547" s="17"/>
      <c r="AO547" s="17"/>
      <c r="AP547" s="28" t="str">
        <f t="shared" si="170"/>
        <v>202012</v>
      </c>
      <c r="AQ547" s="28" t="str">
        <f t="shared" si="171"/>
        <v>202012RMB</v>
      </c>
      <c r="AR547" s="206" t="str">
        <f t="shared" si="172"/>
        <v>YAMAHA_Mounter</v>
      </c>
      <c r="AS547" s="22">
        <f t="shared" si="173"/>
        <v>2</v>
      </c>
      <c r="AT547" s="24" t="str">
        <f t="shared" si="174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5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59"/>
        <v>48763143.537654862</v>
      </c>
      <c r="AJ548" s="19">
        <f t="shared" si="160"/>
        <v>5924029.9702154724</v>
      </c>
      <c r="AK548" s="20">
        <f t="shared" si="169"/>
        <v>0.1214858095774925</v>
      </c>
      <c r="AL548" s="17"/>
      <c r="AM548" s="17"/>
      <c r="AN548" s="17"/>
      <c r="AO548" s="17"/>
      <c r="AP548" s="28" t="str">
        <f t="shared" si="170"/>
        <v>202012</v>
      </c>
      <c r="AQ548" s="28" t="str">
        <f t="shared" si="171"/>
        <v>202012RMB</v>
      </c>
      <c r="AR548" s="206" t="str">
        <f t="shared" si="172"/>
        <v>YAMAHA_Mounter</v>
      </c>
      <c r="AS548" s="22">
        <f t="shared" si="173"/>
        <v>2</v>
      </c>
      <c r="AT548" s="24" t="str">
        <f t="shared" si="174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5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59"/>
        <v>499582152.5142017</v>
      </c>
      <c r="AJ549" s="19">
        <f t="shared" si="160"/>
        <v>59520528.679470733</v>
      </c>
      <c r="AK549" s="20">
        <f t="shared" si="169"/>
        <v>0.11914062257814291</v>
      </c>
      <c r="AL549" s="17"/>
      <c r="AM549" s="17"/>
      <c r="AN549" s="17"/>
      <c r="AO549" s="17"/>
      <c r="AP549" s="28" t="str">
        <f t="shared" si="170"/>
        <v>CancelCANCEL</v>
      </c>
      <c r="AQ549" s="28" t="str">
        <f t="shared" si="171"/>
        <v>CancelCANCELRMB</v>
      </c>
      <c r="AR549" s="206" t="str">
        <f t="shared" si="172"/>
        <v>YAMAHA_Mounter</v>
      </c>
      <c r="AS549" s="22" t="str">
        <f t="shared" si="173"/>
        <v/>
      </c>
      <c r="AT549" s="24" t="str">
        <f t="shared" si="174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5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59"/>
        <v>499582152.5142017</v>
      </c>
      <c r="AJ550" s="19">
        <f t="shared" si="160"/>
        <v>59520528.679470733</v>
      </c>
      <c r="AK550" s="20">
        <f t="shared" si="169"/>
        <v>0.11914062257814291</v>
      </c>
      <c r="AL550" s="17"/>
      <c r="AM550" s="17"/>
      <c r="AN550" s="17"/>
      <c r="AO550" s="17"/>
      <c r="AP550" s="28" t="str">
        <f t="shared" si="170"/>
        <v>CancelCANCEL</v>
      </c>
      <c r="AQ550" s="28" t="str">
        <f t="shared" si="171"/>
        <v>CancelCANCELRMB</v>
      </c>
      <c r="AR550" s="206" t="str">
        <f t="shared" si="172"/>
        <v>YAMAHA_Mounter</v>
      </c>
      <c r="AS550" s="22" t="str">
        <f t="shared" si="173"/>
        <v/>
      </c>
      <c r="AT550" s="24" t="str">
        <f t="shared" si="174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5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59"/>
        <v>26078226.463097349</v>
      </c>
      <c r="AJ551" s="19">
        <f t="shared" si="160"/>
        <v>3137870.4427774516</v>
      </c>
      <c r="AK551" s="20">
        <f t="shared" si="169"/>
        <v>0.12032530077218917</v>
      </c>
      <c r="AL551" s="17"/>
      <c r="AM551" s="17"/>
      <c r="AN551" s="17"/>
      <c r="AO551" s="17"/>
      <c r="AP551" s="28" t="str">
        <f t="shared" si="170"/>
        <v>20239</v>
      </c>
      <c r="AQ551" s="28" t="str">
        <f t="shared" si="171"/>
        <v>20239RMB</v>
      </c>
      <c r="AR551" s="206" t="str">
        <f t="shared" si="172"/>
        <v>YAMAHA_Mounter</v>
      </c>
      <c r="AS551" s="22">
        <f t="shared" si="173"/>
        <v>1</v>
      </c>
      <c r="AT551" s="24" t="str">
        <f t="shared" si="174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5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59"/>
        <v>35682787.057522126</v>
      </c>
      <c r="AJ552" s="19">
        <f t="shared" si="160"/>
        <v>5833368.3789623892</v>
      </c>
      <c r="AK552" s="20">
        <f t="shared" si="169"/>
        <v>0.16347849649632912</v>
      </c>
      <c r="AL552" s="17"/>
      <c r="AM552" s="17"/>
      <c r="AN552" s="17"/>
      <c r="AO552" s="17"/>
      <c r="AP552" s="28" t="str">
        <f t="shared" si="170"/>
        <v>20226</v>
      </c>
      <c r="AQ552" s="28" t="str">
        <f t="shared" si="171"/>
        <v>20226RMB</v>
      </c>
      <c r="AR552" s="206" t="str">
        <f t="shared" si="172"/>
        <v>YAMAHA_Mounter</v>
      </c>
      <c r="AS552" s="22">
        <f t="shared" si="173"/>
        <v>0</v>
      </c>
      <c r="AT552" s="24" t="str">
        <f t="shared" si="174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59"/>
        <v>28647263.974455759</v>
      </c>
      <c r="AJ553" s="19">
        <f t="shared" si="160"/>
        <v>3219855.6912513468</v>
      </c>
      <c r="AK553" s="20">
        <f t="shared" si="169"/>
        <v>0.11239662168514358</v>
      </c>
      <c r="AL553" s="17"/>
      <c r="AM553" s="17"/>
      <c r="AN553" s="17"/>
      <c r="AO553" s="17"/>
      <c r="AP553" s="28" t="str">
        <f t="shared" si="170"/>
        <v>201910</v>
      </c>
      <c r="AQ553" s="28" t="str">
        <f t="shared" si="171"/>
        <v>201910RMB</v>
      </c>
      <c r="AR553" s="206" t="str">
        <f t="shared" si="172"/>
        <v>YAMAHA_Mounter</v>
      </c>
      <c r="AS553" s="22">
        <f t="shared" si="173"/>
        <v>0</v>
      </c>
      <c r="AT553" s="24" t="str">
        <f t="shared" si="174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59"/>
        <v>28647263.974455759</v>
      </c>
      <c r="AJ554" s="19">
        <f t="shared" si="160"/>
        <v>3219855.6912513468</v>
      </c>
      <c r="AK554" s="20">
        <f t="shared" si="169"/>
        <v>0.11239662168514358</v>
      </c>
      <c r="AL554" s="17"/>
      <c r="AM554" s="17"/>
      <c r="AN554" s="17"/>
      <c r="AO554" s="17"/>
      <c r="AP554" s="28" t="str">
        <f t="shared" si="170"/>
        <v>201910</v>
      </c>
      <c r="AQ554" s="28" t="str">
        <f t="shared" si="171"/>
        <v>201910RMB</v>
      </c>
      <c r="AR554" s="206" t="str">
        <f t="shared" si="172"/>
        <v>YAMAHA_Mounter</v>
      </c>
      <c r="AS554" s="22">
        <f t="shared" si="173"/>
        <v>0</v>
      </c>
      <c r="AT554" s="24" t="str">
        <f t="shared" si="174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59"/>
        <v>32843736.557277881</v>
      </c>
      <c r="AJ555" s="19">
        <f t="shared" si="160"/>
        <v>3921470.6822663117</v>
      </c>
      <c r="AK555" s="20">
        <f t="shared" si="169"/>
        <v>0.11939782416131177</v>
      </c>
      <c r="AL555" s="17"/>
      <c r="AM555" s="17"/>
      <c r="AN555" s="17"/>
      <c r="AO555" s="17"/>
      <c r="AP555" s="28" t="str">
        <f t="shared" si="170"/>
        <v>20194</v>
      </c>
      <c r="AQ555" s="28" t="str">
        <f t="shared" si="171"/>
        <v>20194RMB</v>
      </c>
      <c r="AR555" s="206" t="str">
        <f t="shared" si="172"/>
        <v>YAMAHA_Mounter</v>
      </c>
      <c r="AS555" s="22">
        <f t="shared" si="173"/>
        <v>1</v>
      </c>
      <c r="AT555" s="24" t="str">
        <f t="shared" si="174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59"/>
        <v>32843736.557277881</v>
      </c>
      <c r="AJ556" s="19">
        <f t="shared" si="160"/>
        <v>3921470.6822663117</v>
      </c>
      <c r="AK556" s="20">
        <f t="shared" si="169"/>
        <v>0.11939782416131177</v>
      </c>
      <c r="AL556" s="17"/>
      <c r="AM556" s="17"/>
      <c r="AN556" s="17"/>
      <c r="AO556" s="17"/>
      <c r="AP556" s="28" t="str">
        <f t="shared" si="170"/>
        <v>20194</v>
      </c>
      <c r="AQ556" s="28" t="str">
        <f t="shared" si="171"/>
        <v>20194RMB</v>
      </c>
      <c r="AR556" s="206" t="str">
        <f t="shared" si="172"/>
        <v>YAMAHA_Mounter</v>
      </c>
      <c r="AS556" s="22">
        <f t="shared" si="173"/>
        <v>1</v>
      </c>
      <c r="AT556" s="24" t="str">
        <f t="shared" si="174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59"/>
        <v>32843736.557277881</v>
      </c>
      <c r="AJ557" s="19">
        <f t="shared" si="160"/>
        <v>3921470.6822663117</v>
      </c>
      <c r="AK557" s="20">
        <f t="shared" si="169"/>
        <v>0.11939782416131177</v>
      </c>
      <c r="AL557" s="17"/>
      <c r="AM557" s="17"/>
      <c r="AN557" s="17"/>
      <c r="AO557" s="17"/>
      <c r="AP557" s="28" t="str">
        <f t="shared" si="170"/>
        <v>20194</v>
      </c>
      <c r="AQ557" s="28" t="str">
        <f t="shared" si="171"/>
        <v>20194RMB</v>
      </c>
      <c r="AR557" s="206" t="str">
        <f t="shared" si="172"/>
        <v>HELLER</v>
      </c>
      <c r="AS557" s="22">
        <f t="shared" si="173"/>
        <v>1</v>
      </c>
      <c r="AT557" s="24" t="str">
        <f t="shared" si="174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6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59"/>
        <v>30573205.452778768</v>
      </c>
      <c r="AJ558" s="19">
        <f t="shared" si="160"/>
        <v>3790930.1683151261</v>
      </c>
      <c r="AK558" s="20">
        <f t="shared" si="169"/>
        <v>0.12399518179964254</v>
      </c>
      <c r="AL558" s="17"/>
      <c r="AM558" s="17"/>
      <c r="AN558" s="17"/>
      <c r="AO558" s="17"/>
      <c r="AP558" s="28" t="str">
        <f t="shared" si="170"/>
        <v>20234</v>
      </c>
      <c r="AQ558" s="28" t="str">
        <f t="shared" si="171"/>
        <v>20234RMB</v>
      </c>
      <c r="AR558" s="206" t="str">
        <f t="shared" si="172"/>
        <v>YAMAHA_Mounter</v>
      </c>
      <c r="AS558" s="22">
        <f t="shared" si="173"/>
        <v>3</v>
      </c>
      <c r="AT558" s="24" t="str">
        <f t="shared" si="174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6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59"/>
        <v>13640480.497522123</v>
      </c>
      <c r="AJ559" s="19">
        <f t="shared" si="160"/>
        <v>1928605.8020906283</v>
      </c>
      <c r="AK559" s="20">
        <f t="shared" si="169"/>
        <v>0.1413884065477731</v>
      </c>
      <c r="AL559" s="17"/>
      <c r="AM559" s="17"/>
      <c r="AN559" s="17"/>
      <c r="AO559" s="17"/>
      <c r="AP559" s="28" t="str">
        <f t="shared" si="170"/>
        <v>20236</v>
      </c>
      <c r="AQ559" s="28" t="str">
        <f t="shared" si="171"/>
        <v>20236RMB</v>
      </c>
      <c r="AR559" s="206" t="str">
        <f t="shared" si="172"/>
        <v>YAMAHA_Mounter</v>
      </c>
      <c r="AS559" s="22">
        <f t="shared" si="173"/>
        <v>5</v>
      </c>
      <c r="AT559" s="24" t="str">
        <f t="shared" si="174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6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59"/>
        <v>25380121.402654871</v>
      </c>
      <c r="AJ560" s="19">
        <f t="shared" si="160"/>
        <v>3850343.1237796471</v>
      </c>
      <c r="AK560" s="20">
        <f t="shared" si="169"/>
        <v>0.1517070412191521</v>
      </c>
      <c r="AL560" s="17"/>
      <c r="AM560" s="17"/>
      <c r="AN560" s="17"/>
      <c r="AO560" s="17"/>
      <c r="AP560" s="28" t="str">
        <f t="shared" si="170"/>
        <v>202112</v>
      </c>
      <c r="AQ560" s="28" t="str">
        <f t="shared" si="171"/>
        <v>202112RMB</v>
      </c>
      <c r="AR560" s="206" t="str">
        <f t="shared" si="172"/>
        <v>YAMAHA_Mounter</v>
      </c>
      <c r="AS560" s="22">
        <f t="shared" si="173"/>
        <v>6</v>
      </c>
      <c r="AT560" s="24" t="str">
        <f t="shared" si="174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6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59"/>
        <v>25380121.402654871</v>
      </c>
      <c r="AJ561" s="19">
        <f t="shared" si="160"/>
        <v>3850343.1237796471</v>
      </c>
      <c r="AK561" s="20">
        <f t="shared" si="169"/>
        <v>0.1517070412191521</v>
      </c>
      <c r="AL561" s="17"/>
      <c r="AM561" s="17"/>
      <c r="AN561" s="17"/>
      <c r="AO561" s="17"/>
      <c r="AP561" s="28" t="str">
        <f t="shared" si="170"/>
        <v>202112</v>
      </c>
      <c r="AQ561" s="28" t="str">
        <f t="shared" si="171"/>
        <v>202112RMB</v>
      </c>
      <c r="AR561" s="206" t="str">
        <f t="shared" si="172"/>
        <v>YAMAHA_Mounter</v>
      </c>
      <c r="AS561" s="22">
        <f t="shared" si="173"/>
        <v>6</v>
      </c>
      <c r="AT561" s="24" t="str">
        <f t="shared" si="174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6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59"/>
        <v>35682787.057522126</v>
      </c>
      <c r="AJ562" s="19">
        <f t="shared" si="160"/>
        <v>5833368.3789623892</v>
      </c>
      <c r="AK562" s="20">
        <f t="shared" si="169"/>
        <v>0.16347849649632912</v>
      </c>
      <c r="AL562" s="17"/>
      <c r="AM562" s="17"/>
      <c r="AN562" s="17"/>
      <c r="AO562" s="17"/>
      <c r="AP562" s="28" t="str">
        <f t="shared" si="170"/>
        <v>20226</v>
      </c>
      <c r="AQ562" s="28" t="str">
        <f t="shared" si="171"/>
        <v>20226RMB</v>
      </c>
      <c r="AR562" s="206" t="str">
        <f t="shared" si="172"/>
        <v>YAMAHA_Mounter</v>
      </c>
      <c r="AS562" s="22">
        <f t="shared" si="173"/>
        <v>12</v>
      </c>
      <c r="AT562" s="24" t="str">
        <f t="shared" si="174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6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59"/>
        <v>35682787.057522126</v>
      </c>
      <c r="AJ563" s="19">
        <f t="shared" si="160"/>
        <v>5833368.3789623892</v>
      </c>
      <c r="AK563" s="20">
        <f t="shared" si="169"/>
        <v>0.16347849649632912</v>
      </c>
      <c r="AL563" s="17"/>
      <c r="AM563" s="17"/>
      <c r="AN563" s="17"/>
      <c r="AO563" s="17"/>
      <c r="AP563" s="28" t="str">
        <f t="shared" si="170"/>
        <v>20226</v>
      </c>
      <c r="AQ563" s="28" t="str">
        <f t="shared" si="171"/>
        <v>20226RMB</v>
      </c>
      <c r="AR563" s="206" t="str">
        <f t="shared" si="172"/>
        <v>YAMAHA_Mounter</v>
      </c>
      <c r="AS563" s="22">
        <f t="shared" si="173"/>
        <v>12</v>
      </c>
      <c r="AT563" s="24" t="str">
        <f t="shared" si="174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6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59"/>
        <v>35682787.057522126</v>
      </c>
      <c r="AJ564" s="19">
        <f t="shared" si="160"/>
        <v>5833368.3789623892</v>
      </c>
      <c r="AK564" s="20">
        <f t="shared" si="169"/>
        <v>0.16347849649632912</v>
      </c>
      <c r="AL564" s="17"/>
      <c r="AM564" s="17"/>
      <c r="AN564" s="17"/>
      <c r="AO564" s="17"/>
      <c r="AP564" s="28" t="str">
        <f t="shared" si="170"/>
        <v>20226</v>
      </c>
      <c r="AQ564" s="28" t="str">
        <f t="shared" si="171"/>
        <v>20226RMB</v>
      </c>
      <c r="AR564" s="206" t="str">
        <f t="shared" si="172"/>
        <v>YAMAHA_Mounter</v>
      </c>
      <c r="AS564" s="22">
        <f t="shared" si="173"/>
        <v>12</v>
      </c>
      <c r="AT564" s="24" t="str">
        <f t="shared" si="174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6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59"/>
        <v>25380121.402654871</v>
      </c>
      <c r="AJ565" s="19">
        <f t="shared" si="160"/>
        <v>3850343.1237796471</v>
      </c>
      <c r="AK565" s="20">
        <f t="shared" si="169"/>
        <v>0.1517070412191521</v>
      </c>
      <c r="AL565" s="17"/>
      <c r="AM565" s="17"/>
      <c r="AN565" s="17"/>
      <c r="AO565" s="17"/>
      <c r="AP565" s="28" t="str">
        <f t="shared" si="170"/>
        <v>202112</v>
      </c>
      <c r="AQ565" s="28" t="str">
        <f t="shared" si="171"/>
        <v>202112RMB</v>
      </c>
      <c r="AR565" s="206" t="str">
        <f t="shared" si="172"/>
        <v>PEMTRON</v>
      </c>
      <c r="AS565" s="22">
        <f t="shared" si="173"/>
        <v>3</v>
      </c>
      <c r="AT565" s="24" t="str">
        <f t="shared" si="174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6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59"/>
        <v>25380121.402654871</v>
      </c>
      <c r="AJ566" s="19">
        <f t="shared" si="160"/>
        <v>3850343.1237796471</v>
      </c>
      <c r="AK566" s="20">
        <f t="shared" si="169"/>
        <v>0.1517070412191521</v>
      </c>
      <c r="AL566" s="17"/>
      <c r="AM566" s="17"/>
      <c r="AN566" s="17"/>
      <c r="AO566" s="17"/>
      <c r="AP566" s="28" t="str">
        <f t="shared" si="170"/>
        <v>202112</v>
      </c>
      <c r="AQ566" s="28" t="str">
        <f t="shared" si="171"/>
        <v>202112RMB</v>
      </c>
      <c r="AR566" s="206" t="str">
        <f t="shared" si="172"/>
        <v>PEMTRON</v>
      </c>
      <c r="AS566" s="22">
        <f t="shared" si="173"/>
        <v>3</v>
      </c>
      <c r="AT566" s="24" t="str">
        <f t="shared" si="174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59"/>
        <v>26078226.463097349</v>
      </c>
      <c r="AJ567" s="19">
        <f t="shared" si="160"/>
        <v>3137870.4427774516</v>
      </c>
      <c r="AK567" s="20">
        <f t="shared" si="169"/>
        <v>0.12032530077218917</v>
      </c>
      <c r="AL567" s="17"/>
      <c r="AM567" s="17"/>
      <c r="AN567" s="17"/>
      <c r="AO567" s="17" t="s">
        <v>2989</v>
      </c>
      <c r="AP567" s="28" t="str">
        <f t="shared" si="170"/>
        <v>20239</v>
      </c>
      <c r="AQ567" s="28" t="str">
        <f t="shared" si="171"/>
        <v>20239RMB</v>
      </c>
      <c r="AR567" s="206" t="str">
        <f t="shared" si="172"/>
        <v>PEMTRON</v>
      </c>
      <c r="AS567" s="22">
        <f t="shared" si="173"/>
        <v>24</v>
      </c>
      <c r="AT567" s="24" t="str">
        <f t="shared" si="174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59"/>
        <v>26078226.463097349</v>
      </c>
      <c r="AJ568" s="19">
        <f t="shared" si="160"/>
        <v>3137870.4427774516</v>
      </c>
      <c r="AK568" s="20">
        <f t="shared" si="169"/>
        <v>0.12032530077218917</v>
      </c>
      <c r="AL568" s="17"/>
      <c r="AM568" s="17"/>
      <c r="AN568" s="17"/>
      <c r="AO568" s="17" t="s">
        <v>2989</v>
      </c>
      <c r="AP568" s="28" t="str">
        <f t="shared" si="170"/>
        <v>20239</v>
      </c>
      <c r="AQ568" s="28" t="str">
        <f t="shared" si="171"/>
        <v>20239RMB</v>
      </c>
      <c r="AR568" s="206" t="str">
        <f t="shared" si="172"/>
        <v>PEMTRON</v>
      </c>
      <c r="AS568" s="22">
        <f t="shared" si="173"/>
        <v>24</v>
      </c>
      <c r="AT568" s="24" t="str">
        <f t="shared" si="174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59"/>
        <v>26754147.763010349</v>
      </c>
      <c r="AJ569" s="19">
        <f t="shared" si="160"/>
        <v>3429137.9965357962</v>
      </c>
      <c r="AK569" s="20">
        <f t="shared" si="169"/>
        <v>0.12817220069617921</v>
      </c>
      <c r="AL569" s="17"/>
      <c r="AM569" s="17"/>
      <c r="AN569" s="17"/>
      <c r="AO569" s="17" t="s">
        <v>388</v>
      </c>
      <c r="AP569" s="28" t="str">
        <f t="shared" si="170"/>
        <v>20188</v>
      </c>
      <c r="AQ569" s="28" t="str">
        <f t="shared" si="171"/>
        <v>20188RMB</v>
      </c>
      <c r="AR569" s="206" t="str">
        <f t="shared" si="172"/>
        <v>YAMAHA_Mounter</v>
      </c>
      <c r="AS569" s="22">
        <f t="shared" si="173"/>
        <v>2</v>
      </c>
      <c r="AT569" s="24" t="str">
        <f t="shared" si="174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59"/>
        <v>26754147.763010349</v>
      </c>
      <c r="AJ570" s="19">
        <f t="shared" si="160"/>
        <v>3429137.9965357962</v>
      </c>
      <c r="AK570" s="20">
        <f t="shared" si="169"/>
        <v>0.12817220069617921</v>
      </c>
      <c r="AL570" s="17"/>
      <c r="AM570" s="17"/>
      <c r="AN570" s="17"/>
      <c r="AO570" s="17" t="s">
        <v>388</v>
      </c>
      <c r="AP570" s="28" t="str">
        <f t="shared" si="170"/>
        <v>20188</v>
      </c>
      <c r="AQ570" s="28" t="str">
        <f t="shared" si="171"/>
        <v>20188RMB</v>
      </c>
      <c r="AR570" s="206" t="str">
        <f t="shared" si="172"/>
        <v>YAMAHA_Mounter</v>
      </c>
      <c r="AS570" s="22">
        <f t="shared" si="173"/>
        <v>2</v>
      </c>
      <c r="AT570" s="24" t="str">
        <f t="shared" si="174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59"/>
        <v>13250187.062905986</v>
      </c>
      <c r="AJ571" s="19">
        <f t="shared" si="160"/>
        <v>1545643.7555487182</v>
      </c>
      <c r="AK571" s="20">
        <f t="shared" si="169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0"/>
        <v>20183</v>
      </c>
      <c r="AQ571" s="28" t="str">
        <f t="shared" si="171"/>
        <v>20183RMB</v>
      </c>
      <c r="AR571" s="206" t="str">
        <f t="shared" si="172"/>
        <v>YAMAHA_Mounter</v>
      </c>
      <c r="AS571" s="22">
        <f t="shared" si="173"/>
        <v>2</v>
      </c>
      <c r="AT571" s="24" t="str">
        <f t="shared" si="174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59"/>
        <v>13250187.062905986</v>
      </c>
      <c r="AJ572" s="19">
        <f t="shared" si="160"/>
        <v>1545643.7555487182</v>
      </c>
      <c r="AK572" s="20">
        <f t="shared" si="169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0"/>
        <v>20183</v>
      </c>
      <c r="AQ572" s="28" t="str">
        <f t="shared" si="171"/>
        <v>20183RMB</v>
      </c>
      <c r="AR572" s="206" t="str">
        <f t="shared" si="172"/>
        <v>YAMAHA_Mounter</v>
      </c>
      <c r="AS572" s="22">
        <f t="shared" si="173"/>
        <v>2</v>
      </c>
      <c r="AT572" s="24" t="str">
        <f t="shared" si="174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59"/>
        <v>32843736.557277881</v>
      </c>
      <c r="AJ573" s="19">
        <f t="shared" si="160"/>
        <v>3921470.6822663117</v>
      </c>
      <c r="AK573" s="20">
        <f t="shared" si="169"/>
        <v>0.11939782416131177</v>
      </c>
      <c r="AL573" s="17"/>
      <c r="AM573" s="17"/>
      <c r="AN573" s="17"/>
      <c r="AO573" s="17"/>
      <c r="AP573" s="28" t="str">
        <f t="shared" si="170"/>
        <v>20194</v>
      </c>
      <c r="AQ573" s="28" t="str">
        <f t="shared" si="171"/>
        <v>20194RMB</v>
      </c>
      <c r="AR573" s="206" t="str">
        <f t="shared" si="172"/>
        <v>YAMAHA_Mounter</v>
      </c>
      <c r="AS573" s="22">
        <f t="shared" si="173"/>
        <v>0</v>
      </c>
      <c r="AT573" s="24" t="str">
        <f t="shared" si="174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59"/>
        <v>32843736.557277881</v>
      </c>
      <c r="AJ574" s="19">
        <f t="shared" si="160"/>
        <v>3921470.6822663117</v>
      </c>
      <c r="AK574" s="20">
        <f t="shared" si="169"/>
        <v>0.11939782416131177</v>
      </c>
      <c r="AL574" s="17"/>
      <c r="AM574" s="17"/>
      <c r="AN574" s="17"/>
      <c r="AO574" s="17"/>
      <c r="AP574" s="28" t="str">
        <f t="shared" si="170"/>
        <v>20194</v>
      </c>
      <c r="AQ574" s="28" t="str">
        <f t="shared" si="171"/>
        <v>20194RMB</v>
      </c>
      <c r="AR574" s="206" t="str">
        <f t="shared" si="172"/>
        <v>YAMAHA_Mounter</v>
      </c>
      <c r="AS574" s="22">
        <f t="shared" si="173"/>
        <v>0</v>
      </c>
      <c r="AT574" s="24" t="str">
        <f t="shared" si="174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7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59"/>
        <v>54700260.692079648</v>
      </c>
      <c r="AJ575" s="19">
        <f t="shared" si="160"/>
        <v>7482899.5749188727</v>
      </c>
      <c r="AK575" s="20">
        <f t="shared" si="169"/>
        <v>0.13679824337660537</v>
      </c>
      <c r="AL575" s="17"/>
      <c r="AM575" s="17"/>
      <c r="AN575" s="17"/>
      <c r="AO575" s="17"/>
      <c r="AP575" s="28" t="str">
        <f t="shared" si="170"/>
        <v>20216</v>
      </c>
      <c r="AQ575" s="28" t="str">
        <f t="shared" si="171"/>
        <v>20216RMB</v>
      </c>
      <c r="AR575" s="206" t="str">
        <f t="shared" si="172"/>
        <v>YAMAHA_Mounter</v>
      </c>
      <c r="AS575" s="22">
        <f t="shared" si="173"/>
        <v>1</v>
      </c>
      <c r="AT575" s="24" t="str">
        <f t="shared" si="174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7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59"/>
        <v>10844605.840707963</v>
      </c>
      <c r="AJ576" s="19">
        <f t="shared" si="160"/>
        <v>1523130.9860707966</v>
      </c>
      <c r="AK576" s="20">
        <f t="shared" si="169"/>
        <v>0.14045056209911663</v>
      </c>
      <c r="AL576" s="17"/>
      <c r="AM576" s="17"/>
      <c r="AN576" s="17"/>
      <c r="AO576" s="17"/>
      <c r="AP576" s="28" t="str">
        <f t="shared" si="170"/>
        <v>20219</v>
      </c>
      <c r="AQ576" s="28" t="str">
        <f t="shared" si="171"/>
        <v>20219RMB</v>
      </c>
      <c r="AR576" s="206" t="str">
        <f t="shared" si="172"/>
        <v>YAMAHA_Mounter</v>
      </c>
      <c r="AS576" s="22">
        <f t="shared" si="173"/>
        <v>4</v>
      </c>
      <c r="AT576" s="24" t="str">
        <f t="shared" si="174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7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59"/>
        <v>31750699.113741599</v>
      </c>
      <c r="AJ577" s="19">
        <f t="shared" si="160"/>
        <v>4396077.3195289988</v>
      </c>
      <c r="AK577" s="20">
        <f t="shared" si="169"/>
        <v>0.13845607946397598</v>
      </c>
      <c r="AL577" s="17"/>
      <c r="AM577" s="17"/>
      <c r="AN577" s="17"/>
      <c r="AO577" s="17"/>
      <c r="AP577" s="28" t="str">
        <f t="shared" si="170"/>
        <v>20222</v>
      </c>
      <c r="AQ577" s="28" t="str">
        <f t="shared" si="171"/>
        <v>20222RMB</v>
      </c>
      <c r="AR577" s="206" t="str">
        <f t="shared" si="172"/>
        <v>YAMAHA_Mounter</v>
      </c>
      <c r="AS577" s="22">
        <f t="shared" si="173"/>
        <v>9</v>
      </c>
      <c r="AT577" s="24" t="str">
        <f t="shared" si="174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7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8">IF(P578="C66 SERVICE","",SUMIFS(AB:AB,F:F,F578,G:G,G578,E:E,E578))</f>
        <v>499582152.5142017</v>
      </c>
      <c r="AJ578" s="19">
        <f t="shared" ref="AJ578:AJ641" si="179">IF(P578="C66 SERVICE","",SUMIFS(AC:AC,F:F,F578,G:G,G578,E:E,E578))</f>
        <v>59520528.679470733</v>
      </c>
      <c r="AK578" s="20">
        <f t="shared" si="169"/>
        <v>0.11914062257814291</v>
      </c>
      <c r="AL578" s="17"/>
      <c r="AM578" s="17"/>
      <c r="AN578" s="17"/>
      <c r="AO578" s="17"/>
      <c r="AP578" s="28" t="str">
        <f t="shared" si="170"/>
        <v>CancelCANCEL</v>
      </c>
      <c r="AQ578" s="28" t="str">
        <f t="shared" si="171"/>
        <v>CancelCANCELRMB</v>
      </c>
      <c r="AR578" s="206" t="str">
        <f t="shared" si="172"/>
        <v>YAMAHA_Mounter</v>
      </c>
      <c r="AS578" s="22" t="str">
        <f t="shared" si="173"/>
        <v/>
      </c>
      <c r="AT578" s="24" t="str">
        <f t="shared" si="174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7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8"/>
        <v>499582152.5142017</v>
      </c>
      <c r="AJ579" s="19">
        <f t="shared" si="179"/>
        <v>59520528.679470733</v>
      </c>
      <c r="AK579" s="20">
        <f t="shared" si="169"/>
        <v>0.11914062257814291</v>
      </c>
      <c r="AL579" s="17"/>
      <c r="AM579" s="17"/>
      <c r="AN579" s="17"/>
      <c r="AO579" s="17"/>
      <c r="AP579" s="28" t="str">
        <f t="shared" si="170"/>
        <v>CancelCANCEL</v>
      </c>
      <c r="AQ579" s="28" t="str">
        <f t="shared" si="171"/>
        <v>CancelCANCELRMB</v>
      </c>
      <c r="AR579" s="206" t="str">
        <f t="shared" si="172"/>
        <v>YAMAHA_Mounter</v>
      </c>
      <c r="AS579" s="22" t="str">
        <f t="shared" si="173"/>
        <v/>
      </c>
      <c r="AT579" s="24" t="str">
        <f t="shared" si="174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7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8"/>
        <v>499582152.5142017</v>
      </c>
      <c r="AJ580" s="19">
        <f t="shared" si="179"/>
        <v>59520528.679470733</v>
      </c>
      <c r="AK580" s="20">
        <f t="shared" si="169"/>
        <v>0.11914062257814291</v>
      </c>
      <c r="AL580" s="17"/>
      <c r="AM580" s="17"/>
      <c r="AN580" s="17"/>
      <c r="AO580" s="17"/>
      <c r="AP580" s="28" t="str">
        <f t="shared" si="170"/>
        <v>CancelCANCEL</v>
      </c>
      <c r="AQ580" s="28" t="str">
        <f t="shared" si="171"/>
        <v>CancelCANCELRMB</v>
      </c>
      <c r="AR580" s="206" t="str">
        <f t="shared" si="172"/>
        <v>YAMAHA_Mounter</v>
      </c>
      <c r="AS580" s="22" t="str">
        <f t="shared" si="173"/>
        <v/>
      </c>
      <c r="AT580" s="24" t="str">
        <f t="shared" si="174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7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8"/>
        <v>499582152.5142017</v>
      </c>
      <c r="AJ581" s="19">
        <f t="shared" si="179"/>
        <v>59520528.679470733</v>
      </c>
      <c r="AK581" s="20">
        <f t="shared" si="169"/>
        <v>0.11914062257814291</v>
      </c>
      <c r="AL581" s="17"/>
      <c r="AM581" s="17"/>
      <c r="AN581" s="17"/>
      <c r="AO581" s="17"/>
      <c r="AP581" s="28" t="str">
        <f t="shared" si="170"/>
        <v>CancelCANCEL</v>
      </c>
      <c r="AQ581" s="28" t="str">
        <f t="shared" si="171"/>
        <v>CancelCANCELRMB</v>
      </c>
      <c r="AR581" s="206" t="str">
        <f t="shared" si="172"/>
        <v>YAMAHA_Mounter</v>
      </c>
      <c r="AS581" s="22" t="str">
        <f t="shared" si="173"/>
        <v/>
      </c>
      <c r="AT581" s="24" t="str">
        <f t="shared" si="174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8"/>
        <v>16455710.386637932</v>
      </c>
      <c r="AJ582" s="19">
        <f t="shared" si="179"/>
        <v>2150644.6466930606</v>
      </c>
      <c r="AK582" s="20">
        <f t="shared" ref="AK582:AK645" si="188">IF(AJ582&gt;0,AJ582/AI582,"")</f>
        <v>0.13069290818580451</v>
      </c>
      <c r="AL582" s="17"/>
      <c r="AM582" s="17"/>
      <c r="AN582" s="17"/>
      <c r="AO582" s="17"/>
      <c r="AP582" s="28" t="str">
        <f t="shared" ref="AP582:AP645" si="189">IF(F582="","",F582&amp;G582)</f>
        <v>20192</v>
      </c>
      <c r="AQ582" s="28" t="str">
        <f t="shared" ref="AQ582:AQ645" si="190">IF(W582="","",F582&amp;G582&amp;W582)</f>
        <v>20192RMB</v>
      </c>
      <c r="AR582" s="206" t="str">
        <f t="shared" ref="AR582:AR645" si="191">IFERROR(IF(AND(M582="YAMAHA", R582="C28"), "YAMAHA_Non_Mounter", IF(AND(M582="YAMAHA", R582="C49"), "YAMAHA_Mounter", M582)),"")</f>
        <v>YAMAHA_Mounter</v>
      </c>
      <c r="AS582" s="22">
        <f t="shared" ref="AS582:AS645" si="192">IFERROR(IF(OR(G582="TBA", G582=""), "", DATEDIF(DATE(B582, C582, 1), DATE(F582, G582, 1), "M")),"")</f>
        <v>1</v>
      </c>
      <c r="AT582" s="24" t="str">
        <f t="shared" ref="AT582:AT645" si="19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8"/>
        <v>44078731.611185849</v>
      </c>
      <c r="AJ583" s="19">
        <f t="shared" si="179"/>
        <v>5508173.2163771465</v>
      </c>
      <c r="AK583" s="20">
        <f t="shared" si="188"/>
        <v>0.12496215328889679</v>
      </c>
      <c r="AL583" s="17"/>
      <c r="AM583" s="17"/>
      <c r="AN583" s="17"/>
      <c r="AO583" s="17"/>
      <c r="AP583" s="28" t="str">
        <f t="shared" si="189"/>
        <v>202011</v>
      </c>
      <c r="AQ583" s="28" t="str">
        <f t="shared" si="190"/>
        <v>202011RMB</v>
      </c>
      <c r="AR583" s="206" t="str">
        <f t="shared" si="191"/>
        <v>HELLER</v>
      </c>
      <c r="AS583" s="22">
        <f t="shared" si="192"/>
        <v>1</v>
      </c>
      <c r="AT583" s="24" t="str">
        <f t="shared" si="193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8"/>
        <v>47416008.333399981</v>
      </c>
      <c r="AJ584" s="19">
        <f t="shared" si="179"/>
        <v>6981738.4465290187</v>
      </c>
      <c r="AK584" s="20">
        <f t="shared" si="188"/>
        <v>0.14724433143839863</v>
      </c>
      <c r="AL584" s="17"/>
      <c r="AM584" s="17"/>
      <c r="AN584" s="17"/>
      <c r="AO584" s="17"/>
      <c r="AP584" s="28" t="str">
        <f t="shared" si="189"/>
        <v>20193</v>
      </c>
      <c r="AQ584" s="28" t="str">
        <f t="shared" si="190"/>
        <v>20193RMB</v>
      </c>
      <c r="AR584" s="206" t="str">
        <f t="shared" si="191"/>
        <v>HELLER</v>
      </c>
      <c r="AS584" s="22">
        <f t="shared" si="192"/>
        <v>2</v>
      </c>
      <c r="AT584" s="24" t="str">
        <f t="shared" si="193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8"/>
        <v>28177779.013274338</v>
      </c>
      <c r="AJ585" s="19">
        <f t="shared" si="179"/>
        <v>4727216.6376190251</v>
      </c>
      <c r="AK585" s="20">
        <f t="shared" si="188"/>
        <v>0.1677639900359808</v>
      </c>
      <c r="AL585" s="17"/>
      <c r="AM585" s="17"/>
      <c r="AN585" s="17"/>
      <c r="AO585" s="17"/>
      <c r="AP585" s="28" t="str">
        <f t="shared" si="189"/>
        <v>20235</v>
      </c>
      <c r="AQ585" s="28" t="str">
        <f t="shared" si="190"/>
        <v>20235RMB</v>
      </c>
      <c r="AR585" s="206" t="str">
        <f t="shared" si="191"/>
        <v>HELLER</v>
      </c>
      <c r="AS585" s="22">
        <f t="shared" si="192"/>
        <v>2</v>
      </c>
      <c r="AT585" s="24" t="str">
        <f t="shared" si="193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4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8"/>
        <v>7502645.9971681423</v>
      </c>
      <c r="AJ586" s="19">
        <f t="shared" si="179"/>
        <v>664841.72044240718</v>
      </c>
      <c r="AK586" s="20">
        <f t="shared" si="188"/>
        <v>8.861429963420242E-2</v>
      </c>
      <c r="AL586" s="17"/>
      <c r="AM586" s="17"/>
      <c r="AN586" s="17"/>
      <c r="AO586" s="17"/>
      <c r="AP586" s="28" t="str">
        <f t="shared" si="189"/>
        <v>20231</v>
      </c>
      <c r="AQ586" s="28" t="str">
        <f t="shared" si="190"/>
        <v>20231RMB</v>
      </c>
      <c r="AR586" s="206" t="str">
        <f t="shared" si="191"/>
        <v>YAMAHA_Mounter</v>
      </c>
      <c r="AS586" s="22">
        <f t="shared" si="192"/>
        <v>0</v>
      </c>
      <c r="AT586" s="24" t="str">
        <f t="shared" si="193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4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8"/>
        <v>35682787.057522126</v>
      </c>
      <c r="AJ587" s="19">
        <f t="shared" si="179"/>
        <v>5833368.3789623892</v>
      </c>
      <c r="AK587" s="20">
        <f t="shared" si="188"/>
        <v>0.16347849649632912</v>
      </c>
      <c r="AL587" s="17"/>
      <c r="AM587" s="17"/>
      <c r="AN587" s="17"/>
      <c r="AO587" s="17"/>
      <c r="AP587" s="28" t="str">
        <f t="shared" si="189"/>
        <v>20226</v>
      </c>
      <c r="AQ587" s="28" t="str">
        <f t="shared" si="190"/>
        <v>20226RMB</v>
      </c>
      <c r="AR587" s="206" t="str">
        <f t="shared" si="191"/>
        <v>PEMTRON</v>
      </c>
      <c r="AS587" s="22">
        <f t="shared" si="192"/>
        <v>3</v>
      </c>
      <c r="AT587" s="24" t="str">
        <f t="shared" si="193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4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8"/>
        <v>35682787.057522126</v>
      </c>
      <c r="AJ588" s="19">
        <f t="shared" si="179"/>
        <v>5833368.3789623892</v>
      </c>
      <c r="AK588" s="20">
        <f t="shared" si="188"/>
        <v>0.16347849649632912</v>
      </c>
      <c r="AL588" s="17"/>
      <c r="AM588" s="17"/>
      <c r="AN588" s="17"/>
      <c r="AO588" s="17"/>
      <c r="AP588" s="28" t="str">
        <f t="shared" si="189"/>
        <v>20226</v>
      </c>
      <c r="AQ588" s="28" t="str">
        <f t="shared" si="190"/>
        <v>20226RMB</v>
      </c>
      <c r="AR588" s="206" t="str">
        <f t="shared" si="191"/>
        <v>PEMTRON</v>
      </c>
      <c r="AS588" s="22">
        <f t="shared" si="192"/>
        <v>3</v>
      </c>
      <c r="AT588" s="24" t="str">
        <f t="shared" si="193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4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8"/>
        <v>35682787.057522126</v>
      </c>
      <c r="AJ589" s="19">
        <f t="shared" si="179"/>
        <v>5833368.3789623892</v>
      </c>
      <c r="AK589" s="20">
        <f t="shared" si="188"/>
        <v>0.16347849649632912</v>
      </c>
      <c r="AL589" s="17"/>
      <c r="AM589" s="17"/>
      <c r="AN589" s="17"/>
      <c r="AO589" s="17"/>
      <c r="AP589" s="28" t="str">
        <f t="shared" si="189"/>
        <v>20226</v>
      </c>
      <c r="AQ589" s="28" t="str">
        <f t="shared" si="190"/>
        <v>20226RMB</v>
      </c>
      <c r="AR589" s="206" t="str">
        <f t="shared" si="191"/>
        <v>LOCAL SUPPLIER</v>
      </c>
      <c r="AS589" s="22">
        <f t="shared" si="192"/>
        <v>2</v>
      </c>
      <c r="AT589" s="24" t="str">
        <f t="shared" si="193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4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8"/>
        <v>36480247.665929198</v>
      </c>
      <c r="AJ590" s="19">
        <f t="shared" si="179"/>
        <v>5330996.6372757526</v>
      </c>
      <c r="AK590" s="20">
        <f t="shared" si="188"/>
        <v>0.14613378412599562</v>
      </c>
      <c r="AL590" s="17"/>
      <c r="AM590" s="17"/>
      <c r="AN590" s="17"/>
      <c r="AO590" s="17"/>
      <c r="AP590" s="28" t="str">
        <f t="shared" si="189"/>
        <v>20227</v>
      </c>
      <c r="AQ590" s="28" t="str">
        <f t="shared" si="190"/>
        <v>20227RMB</v>
      </c>
      <c r="AR590" s="206" t="str">
        <f t="shared" si="191"/>
        <v>HELLER</v>
      </c>
      <c r="AS590" s="22">
        <f t="shared" si="192"/>
        <v>4</v>
      </c>
      <c r="AT590" s="24" t="str">
        <f t="shared" si="193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4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8"/>
        <v>36480247.665929198</v>
      </c>
      <c r="AJ591" s="19">
        <f t="shared" si="179"/>
        <v>5330996.6372757526</v>
      </c>
      <c r="AK591" s="20">
        <f t="shared" si="188"/>
        <v>0.14613378412599562</v>
      </c>
      <c r="AL591" s="17"/>
      <c r="AM591" s="17"/>
      <c r="AN591" s="17"/>
      <c r="AO591" s="17"/>
      <c r="AP591" s="28" t="str">
        <f t="shared" si="189"/>
        <v>20227</v>
      </c>
      <c r="AQ591" s="28" t="str">
        <f t="shared" si="190"/>
        <v>20227RMB</v>
      </c>
      <c r="AR591" s="206" t="str">
        <f t="shared" si="191"/>
        <v>LOCAL SUPPLIER</v>
      </c>
      <c r="AS591" s="22">
        <f t="shared" si="192"/>
        <v>4</v>
      </c>
      <c r="AT591" s="24" t="str">
        <f t="shared" si="193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4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8"/>
        <v>45803245.025628321</v>
      </c>
      <c r="AJ592" s="19">
        <f t="shared" si="179"/>
        <v>5664636.2584379362</v>
      </c>
      <c r="AK592" s="20">
        <f t="shared" si="188"/>
        <v>0.12367325186825515</v>
      </c>
      <c r="AL592" s="17"/>
      <c r="AM592" s="17"/>
      <c r="AN592" s="17"/>
      <c r="AO592" s="17"/>
      <c r="AP592" s="28" t="str">
        <f t="shared" si="189"/>
        <v>20211</v>
      </c>
      <c r="AQ592" s="28" t="str">
        <f t="shared" si="190"/>
        <v>20211RMB</v>
      </c>
      <c r="AR592" s="206" t="str">
        <f t="shared" si="191"/>
        <v>YAMAHA_Mounter</v>
      </c>
      <c r="AS592" s="22">
        <f t="shared" si="192"/>
        <v>1</v>
      </c>
      <c r="AT592" s="24" t="str">
        <f t="shared" si="193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4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8"/>
        <v>45803245.025628321</v>
      </c>
      <c r="AJ593" s="19">
        <f t="shared" si="179"/>
        <v>5664636.2584379362</v>
      </c>
      <c r="AK593" s="20">
        <f t="shared" si="188"/>
        <v>0.12367325186825515</v>
      </c>
      <c r="AL593" s="17"/>
      <c r="AM593" s="17"/>
      <c r="AN593" s="17"/>
      <c r="AO593" s="17"/>
      <c r="AP593" s="28" t="str">
        <f t="shared" si="189"/>
        <v>20211</v>
      </c>
      <c r="AQ593" s="28" t="str">
        <f t="shared" si="190"/>
        <v>20211RMB</v>
      </c>
      <c r="AR593" s="206" t="str">
        <f t="shared" si="191"/>
        <v>YAMAHA_Mounter</v>
      </c>
      <c r="AS593" s="22">
        <f t="shared" si="192"/>
        <v>1</v>
      </c>
      <c r="AT593" s="24" t="str">
        <f t="shared" si="193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4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8"/>
        <v>31017966.201968137</v>
      </c>
      <c r="AJ594" s="19">
        <f t="shared" si="179"/>
        <v>4704250.3347305888</v>
      </c>
      <c r="AK594" s="20">
        <f t="shared" si="188"/>
        <v>0.15166211427595458</v>
      </c>
      <c r="AL594" s="17"/>
      <c r="AM594" s="17"/>
      <c r="AN594" s="17"/>
      <c r="AO594" s="17"/>
      <c r="AP594" s="28" t="str">
        <f t="shared" si="189"/>
        <v>202211</v>
      </c>
      <c r="AQ594" s="28" t="str">
        <f t="shared" si="190"/>
        <v>202211RMB</v>
      </c>
      <c r="AR594" s="206" t="str">
        <f t="shared" si="191"/>
        <v>YAMAHA_Mounter</v>
      </c>
      <c r="AS594" s="22">
        <f t="shared" si="192"/>
        <v>0</v>
      </c>
      <c r="AT594" s="24" t="str">
        <f t="shared" si="193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4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8"/>
        <v>31017966.201968137</v>
      </c>
      <c r="AJ595" s="19">
        <f t="shared" si="179"/>
        <v>4704250.3347305888</v>
      </c>
      <c r="AK595" s="20">
        <f t="shared" si="188"/>
        <v>0.15166211427595458</v>
      </c>
      <c r="AL595" s="17"/>
      <c r="AM595" s="17"/>
      <c r="AN595" s="17"/>
      <c r="AO595" s="17"/>
      <c r="AP595" s="28" t="str">
        <f t="shared" si="189"/>
        <v>202211</v>
      </c>
      <c r="AQ595" s="28" t="str">
        <f t="shared" si="190"/>
        <v>202211RMB</v>
      </c>
      <c r="AR595" s="206" t="str">
        <f t="shared" si="191"/>
        <v>YAMAHA_Mounter</v>
      </c>
      <c r="AS595" s="22">
        <f t="shared" si="192"/>
        <v>0</v>
      </c>
      <c r="AT595" s="24" t="str">
        <f t="shared" si="193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8"/>
        <v>28647263.974455759</v>
      </c>
      <c r="AJ596" s="19">
        <f t="shared" si="179"/>
        <v>3219855.6912513468</v>
      </c>
      <c r="AK596" s="20">
        <f t="shared" si="188"/>
        <v>0.11239662168514358</v>
      </c>
      <c r="AL596" s="17"/>
      <c r="AM596" s="17"/>
      <c r="AN596" s="17"/>
      <c r="AO596" s="17"/>
      <c r="AP596" s="28" t="str">
        <f t="shared" si="189"/>
        <v>201910</v>
      </c>
      <c r="AQ596" s="28" t="str">
        <f t="shared" si="190"/>
        <v>201910RMB</v>
      </c>
      <c r="AR596" s="206" t="str">
        <f t="shared" si="191"/>
        <v>YAMAHA_Mounter</v>
      </c>
      <c r="AS596" s="22">
        <f t="shared" si="192"/>
        <v>1</v>
      </c>
      <c r="AT596" s="24" t="str">
        <f t="shared" si="193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8"/>
        <v>54700260.692079648</v>
      </c>
      <c r="AJ597" s="19">
        <f t="shared" si="179"/>
        <v>7482899.5749188727</v>
      </c>
      <c r="AK597" s="20">
        <f t="shared" si="188"/>
        <v>0.13679824337660537</v>
      </c>
      <c r="AL597" s="17"/>
      <c r="AM597" s="17"/>
      <c r="AN597" s="17"/>
      <c r="AO597" s="17"/>
      <c r="AP597" s="28" t="str">
        <f t="shared" si="189"/>
        <v>20216</v>
      </c>
      <c r="AQ597" s="28" t="str">
        <f t="shared" si="190"/>
        <v>20216RMB</v>
      </c>
      <c r="AR597" s="206" t="str">
        <f t="shared" si="191"/>
        <v>YAMAHA_Mounter</v>
      </c>
      <c r="AS597" s="22">
        <f t="shared" si="192"/>
        <v>2</v>
      </c>
      <c r="AT597" s="24" t="str">
        <f t="shared" si="193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8"/>
        <v>30573205.452778768</v>
      </c>
      <c r="AJ598" s="19">
        <f t="shared" si="179"/>
        <v>3790930.1683151261</v>
      </c>
      <c r="AK598" s="20">
        <f t="shared" si="188"/>
        <v>0.12399518179964254</v>
      </c>
      <c r="AL598" s="17"/>
      <c r="AM598" s="17"/>
      <c r="AN598" s="17"/>
      <c r="AO598" s="17"/>
      <c r="AP598" s="28" t="str">
        <f t="shared" si="189"/>
        <v>20234</v>
      </c>
      <c r="AQ598" s="28" t="str">
        <f t="shared" si="190"/>
        <v>20234RMB</v>
      </c>
      <c r="AR598" s="206" t="str">
        <f t="shared" si="191"/>
        <v>YAMAHA_Mounter</v>
      </c>
      <c r="AS598" s="22">
        <f t="shared" si="192"/>
        <v>5</v>
      </c>
      <c r="AT598" s="24" t="str">
        <f t="shared" si="193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8"/>
        <v>30573205.452778768</v>
      </c>
      <c r="AJ599" s="19">
        <f t="shared" si="179"/>
        <v>3790930.1683151261</v>
      </c>
      <c r="AK599" s="20">
        <f t="shared" si="188"/>
        <v>0.12399518179964254</v>
      </c>
      <c r="AL599" s="17"/>
      <c r="AM599" s="17"/>
      <c r="AN599" s="17"/>
      <c r="AO599" s="17"/>
      <c r="AP599" s="28" t="str">
        <f t="shared" si="189"/>
        <v>20234</v>
      </c>
      <c r="AQ599" s="28" t="str">
        <f t="shared" si="190"/>
        <v>20234RMB</v>
      </c>
      <c r="AR599" s="206" t="str">
        <f t="shared" si="191"/>
        <v>YAMAHA_Mounter</v>
      </c>
      <c r="AS599" s="22">
        <f t="shared" si="192"/>
        <v>5</v>
      </c>
      <c r="AT599" s="24" t="str">
        <f t="shared" si="193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8"/>
        <v>499582152.5142017</v>
      </c>
      <c r="AJ600" s="19">
        <f t="shared" si="179"/>
        <v>59520528.679470733</v>
      </c>
      <c r="AK600" s="20">
        <f t="shared" si="188"/>
        <v>0.11914062257814291</v>
      </c>
      <c r="AL600" s="17"/>
      <c r="AM600" s="17"/>
      <c r="AN600" s="17"/>
      <c r="AO600" s="17"/>
      <c r="AP600" s="28" t="str">
        <f t="shared" si="189"/>
        <v>CancelCancel</v>
      </c>
      <c r="AQ600" s="28" t="str">
        <f t="shared" si="190"/>
        <v>CancelCancelRMB</v>
      </c>
      <c r="AR600" s="206" t="str">
        <f t="shared" si="191"/>
        <v>YAMAHA_Mounter</v>
      </c>
      <c r="AS600" s="22" t="str">
        <f t="shared" si="192"/>
        <v/>
      </c>
      <c r="AT600" s="24" t="str">
        <f t="shared" si="193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8"/>
        <v>20319282.700884953</v>
      </c>
      <c r="AJ601" s="27">
        <f t="shared" si="179"/>
        <v>2408851.9638623013</v>
      </c>
      <c r="AK601" s="28">
        <f t="shared" si="188"/>
        <v>0.11855004919821259</v>
      </c>
      <c r="AL601" s="24"/>
      <c r="AM601" s="24"/>
      <c r="AN601" s="24"/>
      <c r="AO601" s="24"/>
      <c r="AP601" s="28" t="str">
        <f t="shared" si="189"/>
        <v>20244</v>
      </c>
      <c r="AQ601" s="28" t="str">
        <f t="shared" si="190"/>
        <v>20244RMB</v>
      </c>
      <c r="AR601" s="206" t="str">
        <f t="shared" si="191"/>
        <v>YAMAHA_Mounter</v>
      </c>
      <c r="AS601" s="22">
        <f t="shared" si="192"/>
        <v>1</v>
      </c>
      <c r="AT601" s="24" t="str">
        <f t="shared" si="193"/>
        <v>0-3 months</v>
      </c>
      <c r="AU601" s="22" t="s">
        <v>3751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78"/>
        <v>20319282.700884953</v>
      </c>
      <c r="AJ602" s="27">
        <f t="shared" si="179"/>
        <v>2408851.9638623013</v>
      </c>
      <c r="AK602" s="28">
        <f t="shared" si="188"/>
        <v>0.11855004919821259</v>
      </c>
      <c r="AL602" s="24"/>
      <c r="AM602" s="24"/>
      <c r="AN602" s="24"/>
      <c r="AO602" s="24"/>
      <c r="AP602" s="28" t="str">
        <f t="shared" si="189"/>
        <v>20244</v>
      </c>
      <c r="AQ602" s="28" t="str">
        <f t="shared" si="190"/>
        <v>20244RMB</v>
      </c>
      <c r="AR602" s="206" t="str">
        <f t="shared" si="191"/>
        <v>YAMAHA_Mounter</v>
      </c>
      <c r="AS602" s="22">
        <f t="shared" si="192"/>
        <v>1</v>
      </c>
      <c r="AT602" s="24" t="str">
        <f t="shared" si="193"/>
        <v>0-3 months</v>
      </c>
      <c r="AU602" s="22" t="s">
        <v>3751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8"/>
        <v>28647263.974455759</v>
      </c>
      <c r="AJ603" s="19">
        <f t="shared" si="179"/>
        <v>3219855.6912513468</v>
      </c>
      <c r="AK603" s="20">
        <f t="shared" si="188"/>
        <v>0.11239662168514358</v>
      </c>
      <c r="AL603" s="17"/>
      <c r="AM603" s="17"/>
      <c r="AN603" s="17"/>
      <c r="AO603" s="17"/>
      <c r="AP603" s="28" t="str">
        <f t="shared" si="189"/>
        <v>201910</v>
      </c>
      <c r="AQ603" s="28" t="str">
        <f t="shared" si="190"/>
        <v>201910RMB</v>
      </c>
      <c r="AR603" s="206" t="str">
        <f t="shared" si="191"/>
        <v>YAMAHA_Mounter</v>
      </c>
      <c r="AS603" s="22">
        <f t="shared" si="192"/>
        <v>1</v>
      </c>
      <c r="AT603" s="24" t="str">
        <f t="shared" si="193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8"/>
        <v>44078731.611185849</v>
      </c>
      <c r="AJ604" s="19">
        <f t="shared" si="179"/>
        <v>5508173.2163771465</v>
      </c>
      <c r="AK604" s="20">
        <f t="shared" si="188"/>
        <v>0.12496215328889679</v>
      </c>
      <c r="AL604" s="17"/>
      <c r="AM604" s="17"/>
      <c r="AN604" s="17"/>
      <c r="AO604" s="17"/>
      <c r="AP604" s="28" t="str">
        <f t="shared" si="189"/>
        <v>202011</v>
      </c>
      <c r="AQ604" s="28" t="str">
        <f t="shared" si="190"/>
        <v>202011RMB</v>
      </c>
      <c r="AR604" s="206" t="str">
        <f t="shared" si="191"/>
        <v>YAMAHA_Mounter</v>
      </c>
      <c r="AS604" s="22">
        <f t="shared" si="192"/>
        <v>3</v>
      </c>
      <c r="AT604" s="24" t="str">
        <f t="shared" si="193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5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8"/>
        <v>47907808.356810622</v>
      </c>
      <c r="AJ605" s="19">
        <f t="shared" si="179"/>
        <v>6027384.8806384448</v>
      </c>
      <c r="AK605" s="20">
        <f t="shared" si="188"/>
        <v>0.12581216063459488</v>
      </c>
      <c r="AL605" s="17"/>
      <c r="AM605" s="17"/>
      <c r="AN605" s="17"/>
      <c r="AO605" s="17"/>
      <c r="AP605" s="28" t="str">
        <f t="shared" si="189"/>
        <v>20209</v>
      </c>
      <c r="AQ605" s="28" t="str">
        <f t="shared" si="190"/>
        <v>20209RMB</v>
      </c>
      <c r="AR605" s="206" t="str">
        <f t="shared" si="191"/>
        <v>YAMAHA_Non_Mounter</v>
      </c>
      <c r="AS605" s="22">
        <f t="shared" si="192"/>
        <v>12</v>
      </c>
      <c r="AT605" s="24" t="str">
        <f t="shared" si="193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5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8"/>
        <v>44014086.982070789</v>
      </c>
      <c r="AJ606" s="19">
        <f t="shared" si="179"/>
        <v>6419974.0221889298</v>
      </c>
      <c r="AK606" s="20">
        <f t="shared" si="188"/>
        <v>0.14586180158193709</v>
      </c>
      <c r="AL606" s="17"/>
      <c r="AM606" s="17"/>
      <c r="AN606" s="17"/>
      <c r="AO606" s="17"/>
      <c r="AP606" s="28" t="str">
        <f t="shared" si="189"/>
        <v>20225</v>
      </c>
      <c r="AQ606" s="28" t="str">
        <f t="shared" si="190"/>
        <v>20225RMB</v>
      </c>
      <c r="AR606" s="206" t="str">
        <f t="shared" si="191"/>
        <v>YAMAHA_Mounter</v>
      </c>
      <c r="AS606" s="22">
        <f t="shared" si="192"/>
        <v>2</v>
      </c>
      <c r="AT606" s="24" t="str">
        <f t="shared" si="193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5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8"/>
        <v>22717528.991150443</v>
      </c>
      <c r="AJ607" s="19">
        <f t="shared" si="179"/>
        <v>3947747.192555753</v>
      </c>
      <c r="AK607" s="20">
        <f t="shared" si="188"/>
        <v>0.1737753782153679</v>
      </c>
      <c r="AL607" s="17"/>
      <c r="AM607" s="17"/>
      <c r="AN607" s="17"/>
      <c r="AO607" s="17"/>
      <c r="AP607" s="28" t="str">
        <f t="shared" si="189"/>
        <v>202210</v>
      </c>
      <c r="AQ607" s="28" t="str">
        <f t="shared" si="190"/>
        <v>202210RMB</v>
      </c>
      <c r="AR607" s="206" t="str">
        <f t="shared" si="191"/>
        <v>YAMAHA_Mounter</v>
      </c>
      <c r="AS607" s="22">
        <f t="shared" si="192"/>
        <v>0</v>
      </c>
      <c r="AT607" s="24" t="str">
        <f t="shared" si="193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5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8"/>
        <v>499582152.5142017</v>
      </c>
      <c r="AJ608" s="19">
        <f t="shared" si="179"/>
        <v>59520528.679470733</v>
      </c>
      <c r="AK608" s="20">
        <f t="shared" si="188"/>
        <v>0.11914062257814291</v>
      </c>
      <c r="AL608" s="17"/>
      <c r="AM608" s="17"/>
      <c r="AN608" s="17"/>
      <c r="AO608" s="17"/>
      <c r="AP608" s="28" t="str">
        <f t="shared" si="189"/>
        <v>CancelCANCEL</v>
      </c>
      <c r="AQ608" s="28" t="str">
        <f t="shared" si="190"/>
        <v>CancelCANCELRMB</v>
      </c>
      <c r="AR608" s="206" t="str">
        <f t="shared" si="191"/>
        <v>YAMAHA_Mounter</v>
      </c>
      <c r="AS608" s="22" t="str">
        <f t="shared" si="192"/>
        <v/>
      </c>
      <c r="AT608" s="24" t="str">
        <f t="shared" si="193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5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8"/>
        <v>499582152.5142017</v>
      </c>
      <c r="AJ609" s="19">
        <f t="shared" si="179"/>
        <v>59520528.679470733</v>
      </c>
      <c r="AK609" s="20">
        <f t="shared" si="188"/>
        <v>0.11914062257814291</v>
      </c>
      <c r="AL609" s="17"/>
      <c r="AM609" s="17"/>
      <c r="AN609" s="17"/>
      <c r="AO609" s="17"/>
      <c r="AP609" s="28" t="str">
        <f t="shared" si="189"/>
        <v>CancelCANCEL</v>
      </c>
      <c r="AQ609" s="28" t="str">
        <f t="shared" si="190"/>
        <v>CancelCANCELRMB</v>
      </c>
      <c r="AR609" s="206" t="str">
        <f t="shared" si="191"/>
        <v>YAMAHA_Mounter</v>
      </c>
      <c r="AS609" s="22" t="str">
        <f t="shared" si="192"/>
        <v/>
      </c>
      <c r="AT609" s="24" t="str">
        <f t="shared" si="193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5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8"/>
        <v>30573205.452778768</v>
      </c>
      <c r="AJ610" s="19">
        <f t="shared" si="179"/>
        <v>3790930.1683151261</v>
      </c>
      <c r="AK610" s="20">
        <f t="shared" si="188"/>
        <v>0.12399518179964254</v>
      </c>
      <c r="AL610" s="17"/>
      <c r="AM610" s="17"/>
      <c r="AN610" s="17"/>
      <c r="AO610" s="17"/>
      <c r="AP610" s="28" t="str">
        <f t="shared" si="189"/>
        <v>20234</v>
      </c>
      <c r="AQ610" s="28" t="str">
        <f t="shared" si="190"/>
        <v>20234RMB</v>
      </c>
      <c r="AR610" s="206" t="str">
        <f t="shared" si="191"/>
        <v>YAMAHA_Mounter</v>
      </c>
      <c r="AS610" s="22">
        <f t="shared" si="192"/>
        <v>1</v>
      </c>
      <c r="AT610" s="24" t="str">
        <f t="shared" si="193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5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8"/>
        <v>13640480.497522123</v>
      </c>
      <c r="AJ611" s="19">
        <f t="shared" si="179"/>
        <v>1928605.8020906283</v>
      </c>
      <c r="AK611" s="20">
        <f t="shared" si="188"/>
        <v>0.1413884065477731</v>
      </c>
      <c r="AL611" s="17"/>
      <c r="AM611" s="17"/>
      <c r="AN611" s="17"/>
      <c r="AO611" s="17"/>
      <c r="AP611" s="28" t="str">
        <f t="shared" si="189"/>
        <v>20236</v>
      </c>
      <c r="AQ611" s="28" t="str">
        <f t="shared" si="190"/>
        <v>20236RMB</v>
      </c>
      <c r="AR611" s="206" t="str">
        <f t="shared" si="191"/>
        <v>YAMAHA_Mounter</v>
      </c>
      <c r="AS611" s="22">
        <f t="shared" si="192"/>
        <v>3</v>
      </c>
      <c r="AT611" s="24" t="str">
        <f t="shared" si="193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8"/>
        <v>21241742.157380536</v>
      </c>
      <c r="AJ612" s="27">
        <f t="shared" si="179"/>
        <v>2987081.1613773629</v>
      </c>
      <c r="AK612" s="28">
        <f t="shared" si="188"/>
        <v>0.14062317201884914</v>
      </c>
      <c r="AL612" s="24"/>
      <c r="AM612" s="24"/>
      <c r="AN612" s="24"/>
      <c r="AO612" s="24"/>
      <c r="AP612" s="28" t="str">
        <f t="shared" si="189"/>
        <v>20243</v>
      </c>
      <c r="AQ612" s="28" t="str">
        <f t="shared" si="190"/>
        <v>20243RMB</v>
      </c>
      <c r="AR612" s="206" t="str">
        <f t="shared" si="191"/>
        <v>YAMAHA_Non_Mounter</v>
      </c>
      <c r="AS612" s="22">
        <f t="shared" si="192"/>
        <v>0</v>
      </c>
      <c r="AT612" s="24" t="str">
        <f t="shared" si="193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6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8"/>
        <v>44078731.611185849</v>
      </c>
      <c r="AJ613" s="19">
        <f t="shared" si="179"/>
        <v>5508173.2163771465</v>
      </c>
      <c r="AK613" s="20">
        <f t="shared" si="188"/>
        <v>0.12496215328889679</v>
      </c>
      <c r="AL613" s="17"/>
      <c r="AM613" s="17"/>
      <c r="AN613" s="17"/>
      <c r="AO613" s="17"/>
      <c r="AP613" s="28" t="str">
        <f t="shared" si="189"/>
        <v>202011</v>
      </c>
      <c r="AQ613" s="28" t="str">
        <f t="shared" si="190"/>
        <v>202011RMB</v>
      </c>
      <c r="AR613" s="206" t="str">
        <f t="shared" si="191"/>
        <v>YAMAHA_Mounter</v>
      </c>
      <c r="AS613" s="22">
        <f t="shared" si="192"/>
        <v>1</v>
      </c>
      <c r="AT613" s="24" t="str">
        <f t="shared" si="193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6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8"/>
        <v>44078731.611185849</v>
      </c>
      <c r="AJ614" s="19">
        <f t="shared" si="179"/>
        <v>5508173.2163771465</v>
      </c>
      <c r="AK614" s="20">
        <f t="shared" si="188"/>
        <v>0.12496215328889679</v>
      </c>
      <c r="AL614" s="17"/>
      <c r="AM614" s="17"/>
      <c r="AN614" s="17"/>
      <c r="AO614" s="17"/>
      <c r="AP614" s="28" t="str">
        <f t="shared" si="189"/>
        <v>202011</v>
      </c>
      <c r="AQ614" s="28" t="str">
        <f t="shared" si="190"/>
        <v>202011RMB</v>
      </c>
      <c r="AR614" s="206" t="str">
        <f t="shared" si="191"/>
        <v>YAMAHA_Mounter</v>
      </c>
      <c r="AS614" s="22">
        <f t="shared" si="192"/>
        <v>1</v>
      </c>
      <c r="AT614" s="24" t="str">
        <f t="shared" si="193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6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8"/>
        <v>499582152.5142017</v>
      </c>
      <c r="AJ615" s="19">
        <f t="shared" si="179"/>
        <v>59520528.679470733</v>
      </c>
      <c r="AK615" s="20">
        <f t="shared" si="188"/>
        <v>0.11914062257814291</v>
      </c>
      <c r="AL615" s="17"/>
      <c r="AM615" s="17"/>
      <c r="AN615" s="17"/>
      <c r="AO615" s="17"/>
      <c r="AP615" s="28" t="str">
        <f t="shared" si="189"/>
        <v>CancelCANCEL</v>
      </c>
      <c r="AQ615" s="28" t="str">
        <f t="shared" si="190"/>
        <v>CancelCANCELRMB</v>
      </c>
      <c r="AR615" s="206" t="str">
        <f t="shared" si="191"/>
        <v>YAMAHA_Mounter</v>
      </c>
      <c r="AS615" s="22" t="str">
        <f t="shared" si="192"/>
        <v/>
      </c>
      <c r="AT615" s="24" t="str">
        <f t="shared" si="193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6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8"/>
        <v>499582152.5142017</v>
      </c>
      <c r="AJ616" s="19">
        <f t="shared" si="179"/>
        <v>59520528.679470733</v>
      </c>
      <c r="AK616" s="20">
        <f t="shared" si="188"/>
        <v>0.11914062257814291</v>
      </c>
      <c r="AL616" s="17"/>
      <c r="AM616" s="17"/>
      <c r="AN616" s="17"/>
      <c r="AO616" s="17"/>
      <c r="AP616" s="28" t="str">
        <f t="shared" si="189"/>
        <v>CancelCANCEL</v>
      </c>
      <c r="AQ616" s="28" t="str">
        <f t="shared" si="190"/>
        <v>CancelCANCELRMB</v>
      </c>
      <c r="AR616" s="206" t="str">
        <f t="shared" si="191"/>
        <v>YAMAHA_Mounter</v>
      </c>
      <c r="AS616" s="22" t="str">
        <f t="shared" si="192"/>
        <v/>
      </c>
      <c r="AT616" s="24" t="str">
        <f t="shared" si="193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6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8"/>
        <v>7502645.9971681423</v>
      </c>
      <c r="AJ617" s="19">
        <f t="shared" si="179"/>
        <v>664841.72044240718</v>
      </c>
      <c r="AK617" s="20">
        <f t="shared" si="188"/>
        <v>8.861429963420242E-2</v>
      </c>
      <c r="AL617" s="17"/>
      <c r="AM617" s="17"/>
      <c r="AN617" s="17"/>
      <c r="AO617" s="17"/>
      <c r="AP617" s="28" t="str">
        <f t="shared" si="189"/>
        <v>20231</v>
      </c>
      <c r="AQ617" s="28" t="str">
        <f t="shared" si="190"/>
        <v>20231RMB</v>
      </c>
      <c r="AR617" s="206" t="str">
        <f t="shared" si="191"/>
        <v>YAMAHA_Mounter</v>
      </c>
      <c r="AS617" s="22">
        <f t="shared" si="192"/>
        <v>3</v>
      </c>
      <c r="AT617" s="24" t="str">
        <f t="shared" si="193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6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8"/>
        <v>28011162.254106201</v>
      </c>
      <c r="AJ618" s="19">
        <f t="shared" si="179"/>
        <v>3401347.1124888416</v>
      </c>
      <c r="AK618" s="20">
        <f t="shared" si="188"/>
        <v>0.12142827497242578</v>
      </c>
      <c r="AL618" s="17"/>
      <c r="AM618" s="17"/>
      <c r="AN618" s="17"/>
      <c r="AO618" s="17"/>
      <c r="AP618" s="28" t="str">
        <f t="shared" si="189"/>
        <v>202010</v>
      </c>
      <c r="AQ618" s="28" t="str">
        <f t="shared" si="190"/>
        <v>202010RMB</v>
      </c>
      <c r="AR618" s="206" t="str">
        <f t="shared" si="191"/>
        <v>SOLDERSTAR</v>
      </c>
      <c r="AS618" s="22">
        <f t="shared" si="192"/>
        <v>3</v>
      </c>
      <c r="AT618" s="24" t="str">
        <f t="shared" si="193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8"/>
        <v>499582152.5142017</v>
      </c>
      <c r="AJ619" s="19">
        <f t="shared" si="179"/>
        <v>59520528.679470733</v>
      </c>
      <c r="AK619" s="20">
        <f t="shared" si="188"/>
        <v>0.11914062257814291</v>
      </c>
      <c r="AL619" s="17"/>
      <c r="AM619" s="17"/>
      <c r="AN619" s="17"/>
      <c r="AO619" s="17" t="s">
        <v>587</v>
      </c>
      <c r="AP619" s="28" t="str">
        <f t="shared" si="189"/>
        <v>CancelCancel</v>
      </c>
      <c r="AQ619" s="28" t="str">
        <f t="shared" si="190"/>
        <v>CancelCancelRMB</v>
      </c>
      <c r="AR619" s="206" t="str">
        <f t="shared" si="191"/>
        <v>YAMAHA_Mounter</v>
      </c>
      <c r="AS619" s="22" t="str">
        <f t="shared" si="192"/>
        <v/>
      </c>
      <c r="AT619" s="24" t="str">
        <f t="shared" si="193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8"/>
        <v>29840797.698275864</v>
      </c>
      <c r="AJ620" s="19">
        <f t="shared" si="179"/>
        <v>3940167.6555448272</v>
      </c>
      <c r="AK620" s="20">
        <f t="shared" si="188"/>
        <v>0.13203962224416277</v>
      </c>
      <c r="AL620" s="17"/>
      <c r="AM620" s="17"/>
      <c r="AN620" s="17"/>
      <c r="AO620" s="17"/>
      <c r="AP620" s="28" t="str">
        <f t="shared" si="189"/>
        <v>201812</v>
      </c>
      <c r="AQ620" s="28" t="str">
        <f t="shared" si="190"/>
        <v>201812RMB</v>
      </c>
      <c r="AR620" s="206" t="str">
        <f t="shared" si="191"/>
        <v>YAMAHA_Mounter</v>
      </c>
      <c r="AS620" s="22">
        <f t="shared" si="192"/>
        <v>7</v>
      </c>
      <c r="AT620" s="24" t="str">
        <f t="shared" si="193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8"/>
        <v>29840797.698275864</v>
      </c>
      <c r="AJ621" s="19">
        <f t="shared" si="179"/>
        <v>3940167.6555448272</v>
      </c>
      <c r="AK621" s="20">
        <f t="shared" si="188"/>
        <v>0.13203962224416277</v>
      </c>
      <c r="AL621" s="17"/>
      <c r="AM621" s="17"/>
      <c r="AN621" s="17"/>
      <c r="AO621" s="17"/>
      <c r="AP621" s="28" t="str">
        <f t="shared" si="189"/>
        <v>201812</v>
      </c>
      <c r="AQ621" s="28" t="str">
        <f t="shared" si="190"/>
        <v>201812RMB</v>
      </c>
      <c r="AR621" s="206" t="str">
        <f t="shared" si="191"/>
        <v>YAMAHA_Mounter</v>
      </c>
      <c r="AS621" s="22">
        <f t="shared" si="192"/>
        <v>7</v>
      </c>
      <c r="AT621" s="24" t="str">
        <f t="shared" si="193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8"/>
        <v>30033846.584070798</v>
      </c>
      <c r="AJ622" s="19">
        <f t="shared" si="179"/>
        <v>3534936.4750884958</v>
      </c>
      <c r="AK622" s="20">
        <f t="shared" si="188"/>
        <v>0.11769842618039268</v>
      </c>
      <c r="AL622" s="17"/>
      <c r="AM622" s="17"/>
      <c r="AN622" s="17"/>
      <c r="AO622" s="17"/>
      <c r="AP622" s="28" t="str">
        <f t="shared" si="189"/>
        <v>TBATBA</v>
      </c>
      <c r="AQ622" s="28" t="str">
        <f t="shared" si="190"/>
        <v>TBATBARMB</v>
      </c>
      <c r="AR622" s="206" t="str">
        <f t="shared" si="191"/>
        <v>HELLER</v>
      </c>
      <c r="AS622" s="22" t="str">
        <f t="shared" si="192"/>
        <v/>
      </c>
      <c r="AT622" s="24" t="str">
        <f t="shared" si="193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8"/>
        <v>15948576.102654871</v>
      </c>
      <c r="AJ623" s="19">
        <f t="shared" si="179"/>
        <v>2739848.7004853105</v>
      </c>
      <c r="AK623" s="20">
        <f t="shared" si="188"/>
        <v>0.17179268436567344</v>
      </c>
      <c r="AL623" s="17"/>
      <c r="AM623" s="17"/>
      <c r="AN623" s="17"/>
      <c r="AO623" s="17"/>
      <c r="AP623" s="28" t="str">
        <f t="shared" si="189"/>
        <v>20229</v>
      </c>
      <c r="AQ623" s="28" t="str">
        <f t="shared" si="190"/>
        <v>20229RMB</v>
      </c>
      <c r="AR623" s="206" t="str">
        <f t="shared" si="191"/>
        <v>YAMAHA_Mounter</v>
      </c>
      <c r="AS623" s="22">
        <f t="shared" si="192"/>
        <v>3</v>
      </c>
      <c r="AT623" s="24" t="str">
        <f t="shared" si="193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8"/>
        <v>15948576.102654871</v>
      </c>
      <c r="AJ624" s="19">
        <f t="shared" si="179"/>
        <v>2739848.7004853105</v>
      </c>
      <c r="AK624" s="20">
        <f t="shared" si="188"/>
        <v>0.17179268436567344</v>
      </c>
      <c r="AL624" s="17"/>
      <c r="AM624" s="17"/>
      <c r="AN624" s="17"/>
      <c r="AO624" s="17"/>
      <c r="AP624" s="28" t="str">
        <f t="shared" si="189"/>
        <v>20229</v>
      </c>
      <c r="AQ624" s="28" t="str">
        <f t="shared" si="190"/>
        <v>20229RMB</v>
      </c>
      <c r="AR624" s="206" t="str">
        <f t="shared" si="191"/>
        <v>YAMAHA_Mounter</v>
      </c>
      <c r="AS624" s="22">
        <f t="shared" si="192"/>
        <v>3</v>
      </c>
      <c r="AT624" s="24" t="str">
        <f t="shared" si="193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8"/>
        <v>31017966.201968137</v>
      </c>
      <c r="AJ625" s="19">
        <f t="shared" si="179"/>
        <v>4704250.3347305888</v>
      </c>
      <c r="AK625" s="20">
        <f t="shared" si="188"/>
        <v>0.15166211427595458</v>
      </c>
      <c r="AL625" s="17"/>
      <c r="AM625" s="17"/>
      <c r="AN625" s="17"/>
      <c r="AO625" s="17"/>
      <c r="AP625" s="28" t="str">
        <f t="shared" si="189"/>
        <v>202211</v>
      </c>
      <c r="AQ625" s="28" t="str">
        <f t="shared" si="190"/>
        <v>202211RMB</v>
      </c>
      <c r="AR625" s="206" t="str">
        <f t="shared" si="191"/>
        <v>YAMAHA_Mounter</v>
      </c>
      <c r="AS625" s="22">
        <f t="shared" si="192"/>
        <v>1</v>
      </c>
      <c r="AT625" s="24" t="str">
        <f t="shared" si="193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8"/>
        <v>31017966.201968137</v>
      </c>
      <c r="AJ626" s="19">
        <f t="shared" si="179"/>
        <v>4704250.3347305888</v>
      </c>
      <c r="AK626" s="20">
        <f t="shared" si="188"/>
        <v>0.15166211427595458</v>
      </c>
      <c r="AL626" s="17"/>
      <c r="AM626" s="17"/>
      <c r="AN626" s="17"/>
      <c r="AO626" s="17"/>
      <c r="AP626" s="28" t="str">
        <f t="shared" si="189"/>
        <v>202211</v>
      </c>
      <c r="AQ626" s="28" t="str">
        <f t="shared" si="190"/>
        <v>202211RMB</v>
      </c>
      <c r="AR626" s="206" t="str">
        <f t="shared" si="191"/>
        <v>YAMAHA_Mounter</v>
      </c>
      <c r="AS626" s="22">
        <f t="shared" si="192"/>
        <v>1</v>
      </c>
      <c r="AT626" s="24" t="str">
        <f t="shared" si="193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8"/>
        <v>23237072.69172414</v>
      </c>
      <c r="AJ627" s="19">
        <f t="shared" si="179"/>
        <v>2402195.7372206897</v>
      </c>
      <c r="AK627" s="20">
        <f t="shared" si="188"/>
        <v>0.10337772614862238</v>
      </c>
      <c r="AL627" s="17"/>
      <c r="AM627" s="17"/>
      <c r="AN627" s="17"/>
      <c r="AO627" s="17" t="s">
        <v>61</v>
      </c>
      <c r="AP627" s="28" t="str">
        <f t="shared" si="189"/>
        <v>20191</v>
      </c>
      <c r="AQ627" s="28" t="str">
        <f t="shared" si="190"/>
        <v>20191RMB</v>
      </c>
      <c r="AR627" s="206" t="str">
        <f t="shared" si="191"/>
        <v>YAMAHA_Mounter</v>
      </c>
      <c r="AS627" s="22">
        <f t="shared" si="192"/>
        <v>6</v>
      </c>
      <c r="AT627" s="24" t="str">
        <f t="shared" si="193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8"/>
        <v>23237072.69172414</v>
      </c>
      <c r="AJ628" s="19">
        <f t="shared" si="179"/>
        <v>2402195.7372206897</v>
      </c>
      <c r="AK628" s="20">
        <f t="shared" si="188"/>
        <v>0.10337772614862238</v>
      </c>
      <c r="AL628" s="17"/>
      <c r="AM628" s="17"/>
      <c r="AN628" s="17"/>
      <c r="AO628" s="17" t="s">
        <v>61</v>
      </c>
      <c r="AP628" s="28" t="str">
        <f t="shared" si="189"/>
        <v>20191</v>
      </c>
      <c r="AQ628" s="28" t="str">
        <f t="shared" si="190"/>
        <v>20191RMB</v>
      </c>
      <c r="AR628" s="206" t="str">
        <f t="shared" si="191"/>
        <v>YAMAHA_Mounter</v>
      </c>
      <c r="AS628" s="22">
        <f t="shared" si="192"/>
        <v>6</v>
      </c>
      <c r="AT628" s="24" t="str">
        <f t="shared" si="193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8"/>
        <v>26147030.909862842</v>
      </c>
      <c r="AJ629" s="19">
        <f t="shared" si="179"/>
        <v>2743862.8630715334</v>
      </c>
      <c r="AK629" s="20">
        <f t="shared" si="188"/>
        <v>0.10493974908778378</v>
      </c>
      <c r="AL629" s="17"/>
      <c r="AM629" s="17"/>
      <c r="AN629" s="17"/>
      <c r="AO629" s="17"/>
      <c r="AP629" s="28" t="str">
        <f t="shared" si="189"/>
        <v>201911</v>
      </c>
      <c r="AQ629" s="28" t="str">
        <f t="shared" si="190"/>
        <v>201911RMB</v>
      </c>
      <c r="AR629" s="206" t="str">
        <f t="shared" si="191"/>
        <v>YAMAHA_Mounter</v>
      </c>
      <c r="AS629" s="22">
        <f t="shared" si="192"/>
        <v>0</v>
      </c>
      <c r="AT629" s="24" t="str">
        <f t="shared" si="193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8"/>
        <v>48763143.537654862</v>
      </c>
      <c r="AJ630" s="19">
        <f t="shared" si="179"/>
        <v>5924029.9702154724</v>
      </c>
      <c r="AK630" s="20">
        <f t="shared" si="188"/>
        <v>0.1214858095774925</v>
      </c>
      <c r="AL630" s="17"/>
      <c r="AM630" s="17"/>
      <c r="AN630" s="17"/>
      <c r="AO630" s="17"/>
      <c r="AP630" s="28" t="str">
        <f t="shared" si="189"/>
        <v>202012</v>
      </c>
      <c r="AQ630" s="28" t="str">
        <f t="shared" si="190"/>
        <v>202012RMB</v>
      </c>
      <c r="AR630" s="206" t="str">
        <f t="shared" si="191"/>
        <v>YAMAHA_Mounter</v>
      </c>
      <c r="AS630" s="22">
        <f t="shared" si="192"/>
        <v>0</v>
      </c>
      <c r="AT630" s="24" t="str">
        <f t="shared" si="193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8"/>
        <v>499582152.5142017</v>
      </c>
      <c r="AJ631" s="19">
        <f t="shared" si="179"/>
        <v>59520528.679470733</v>
      </c>
      <c r="AK631" s="20">
        <f t="shared" si="188"/>
        <v>0.11914062257814291</v>
      </c>
      <c r="AL631" s="17"/>
      <c r="AM631" s="17"/>
      <c r="AN631" s="17"/>
      <c r="AO631" s="17"/>
      <c r="AP631" s="28" t="str">
        <f t="shared" si="189"/>
        <v>CancelCancel</v>
      </c>
      <c r="AQ631" s="28" t="str">
        <f t="shared" si="190"/>
        <v>CancelCancelRMB</v>
      </c>
      <c r="AR631" s="206" t="str">
        <f t="shared" si="191"/>
        <v>YAMAHA_Mounter</v>
      </c>
      <c r="AS631" s="22" t="str">
        <f t="shared" si="192"/>
        <v/>
      </c>
      <c r="AT631" s="24" t="str">
        <f t="shared" si="193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8"/>
        <v>499582152.5142017</v>
      </c>
      <c r="AJ632" s="19">
        <f t="shared" si="179"/>
        <v>59520528.679470733</v>
      </c>
      <c r="AK632" s="20">
        <f t="shared" si="188"/>
        <v>0.11914062257814291</v>
      </c>
      <c r="AL632" s="17"/>
      <c r="AM632" s="17"/>
      <c r="AN632" s="17"/>
      <c r="AO632" s="17"/>
      <c r="AP632" s="28" t="str">
        <f t="shared" si="189"/>
        <v>CancelCancel</v>
      </c>
      <c r="AQ632" s="28" t="str">
        <f t="shared" si="190"/>
        <v>CancelCancelRMB</v>
      </c>
      <c r="AR632" s="206" t="str">
        <f t="shared" si="191"/>
        <v>YAMAHA_Mounter</v>
      </c>
      <c r="AS632" s="22" t="str">
        <f t="shared" si="192"/>
        <v/>
      </c>
      <c r="AT632" s="24" t="str">
        <f t="shared" si="193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8"/>
        <v>30033846.584070798</v>
      </c>
      <c r="AJ633" s="19">
        <f t="shared" si="179"/>
        <v>3534936.4750884958</v>
      </c>
      <c r="AK633" s="20">
        <f t="shared" si="188"/>
        <v>0.11769842618039268</v>
      </c>
      <c r="AL633" s="17"/>
      <c r="AM633" s="17"/>
      <c r="AN633" s="17"/>
      <c r="AO633" s="17"/>
      <c r="AP633" s="28" t="str">
        <f t="shared" si="189"/>
        <v>TBATBA</v>
      </c>
      <c r="AQ633" s="28" t="str">
        <f t="shared" si="190"/>
        <v>TBATBARMB</v>
      </c>
      <c r="AR633" s="206" t="str">
        <f t="shared" si="191"/>
        <v>YAMAHA_Mounter</v>
      </c>
      <c r="AS633" s="22" t="str">
        <f t="shared" si="192"/>
        <v/>
      </c>
      <c r="AT633" s="24" t="str">
        <f t="shared" si="193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8"/>
        <v>30033846.584070798</v>
      </c>
      <c r="AJ634" s="19">
        <f t="shared" si="179"/>
        <v>3534936.4750884958</v>
      </c>
      <c r="AK634" s="20">
        <f t="shared" si="188"/>
        <v>0.11769842618039268</v>
      </c>
      <c r="AL634" s="17"/>
      <c r="AM634" s="17"/>
      <c r="AN634" s="17"/>
      <c r="AO634" s="17"/>
      <c r="AP634" s="28" t="str">
        <f t="shared" si="189"/>
        <v>TBATBA</v>
      </c>
      <c r="AQ634" s="28" t="str">
        <f t="shared" si="190"/>
        <v>TBATBARMB</v>
      </c>
      <c r="AR634" s="206" t="str">
        <f t="shared" si="191"/>
        <v>YAMAHA_Mounter</v>
      </c>
      <c r="AS634" s="22" t="str">
        <f t="shared" si="192"/>
        <v/>
      </c>
      <c r="AT634" s="24" t="str">
        <f t="shared" si="193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8"/>
        <v>32843736.557277881</v>
      </c>
      <c r="AJ635" s="19">
        <f t="shared" si="179"/>
        <v>3921470.6822663117</v>
      </c>
      <c r="AK635" s="20">
        <f t="shared" si="188"/>
        <v>0.11939782416131177</v>
      </c>
      <c r="AL635" s="17"/>
      <c r="AM635" s="17"/>
      <c r="AN635" s="17"/>
      <c r="AO635" s="17"/>
      <c r="AP635" s="28" t="str">
        <f t="shared" si="189"/>
        <v>20194</v>
      </c>
      <c r="AQ635" s="28" t="str">
        <f t="shared" si="190"/>
        <v>20194JPY</v>
      </c>
      <c r="AR635" s="206" t="str">
        <f t="shared" si="191"/>
        <v>YAMAHA_Mounter</v>
      </c>
      <c r="AS635" s="22">
        <f t="shared" si="192"/>
        <v>0</v>
      </c>
      <c r="AT635" s="24" t="str">
        <f t="shared" si="193"/>
        <v>0-3 months</v>
      </c>
      <c r="AU635" s="22" t="s">
        <v>3745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8"/>
        <v>47416008.333399981</v>
      </c>
      <c r="AJ636" s="19">
        <f t="shared" si="179"/>
        <v>6981738.4465290187</v>
      </c>
      <c r="AK636" s="20">
        <f t="shared" si="188"/>
        <v>0.14724433143839863</v>
      </c>
      <c r="AL636" s="17"/>
      <c r="AM636" s="17"/>
      <c r="AN636" s="17"/>
      <c r="AO636" s="17"/>
      <c r="AP636" s="28" t="str">
        <f t="shared" si="189"/>
        <v>20193</v>
      </c>
      <c r="AQ636" s="28" t="str">
        <f t="shared" si="190"/>
        <v>20193JPY</v>
      </c>
      <c r="AR636" s="206" t="str">
        <f t="shared" si="191"/>
        <v>YAMAHA_Mounter</v>
      </c>
      <c r="AS636" s="22">
        <f t="shared" si="192"/>
        <v>5</v>
      </c>
      <c r="AT636" s="24" t="str">
        <f t="shared" si="193"/>
        <v>4-6 months</v>
      </c>
      <c r="AU636" s="22" t="s">
        <v>3745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8"/>
        <v>47416008.333399981</v>
      </c>
      <c r="AJ637" s="19">
        <f t="shared" si="179"/>
        <v>6981738.4465290187</v>
      </c>
      <c r="AK637" s="20">
        <f t="shared" si="188"/>
        <v>0.14724433143839863</v>
      </c>
      <c r="AL637" s="17"/>
      <c r="AM637" s="17"/>
      <c r="AN637" s="17"/>
      <c r="AO637" s="17"/>
      <c r="AP637" s="28" t="str">
        <f t="shared" si="189"/>
        <v>20193</v>
      </c>
      <c r="AQ637" s="28" t="str">
        <f t="shared" si="190"/>
        <v>20193JPY</v>
      </c>
      <c r="AR637" s="206" t="str">
        <f t="shared" si="191"/>
        <v>YAMAHA_Mounter</v>
      </c>
      <c r="AS637" s="22">
        <f t="shared" si="192"/>
        <v>5</v>
      </c>
      <c r="AT637" s="24" t="str">
        <f t="shared" si="193"/>
        <v>4-6 months</v>
      </c>
      <c r="AU637" s="22" t="s">
        <v>3745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8"/>
        <v>57778307.282035396</v>
      </c>
      <c r="AJ638" s="19">
        <f t="shared" si="179"/>
        <v>7259860.7225420559</v>
      </c>
      <c r="AK638" s="20">
        <f t="shared" si="188"/>
        <v>0.12565028406083667</v>
      </c>
      <c r="AL638" s="17"/>
      <c r="AM638" s="17"/>
      <c r="AN638" s="17"/>
      <c r="AO638" s="17"/>
      <c r="AP638" s="28" t="str">
        <f t="shared" si="189"/>
        <v>20213</v>
      </c>
      <c r="AQ638" s="28" t="str">
        <f t="shared" si="190"/>
        <v>20213JPY</v>
      </c>
      <c r="AR638" s="206" t="str">
        <f t="shared" si="191"/>
        <v>YAMAHA_Mounter</v>
      </c>
      <c r="AS638" s="22">
        <f t="shared" si="192"/>
        <v>4</v>
      </c>
      <c r="AT638" s="24" t="str">
        <f t="shared" si="193"/>
        <v>4-6 months</v>
      </c>
      <c r="AU638" s="22" t="s">
        <v>3745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8"/>
        <v>57778307.282035396</v>
      </c>
      <c r="AJ639" s="19">
        <f t="shared" si="179"/>
        <v>7259860.7225420559</v>
      </c>
      <c r="AK639" s="20">
        <f t="shared" si="188"/>
        <v>0.12565028406083667</v>
      </c>
      <c r="AL639" s="17"/>
      <c r="AM639" s="17"/>
      <c r="AN639" s="17"/>
      <c r="AO639" s="17"/>
      <c r="AP639" s="28" t="str">
        <f t="shared" si="189"/>
        <v>20213</v>
      </c>
      <c r="AQ639" s="28" t="str">
        <f t="shared" si="190"/>
        <v>20213JPY</v>
      </c>
      <c r="AR639" s="206" t="str">
        <f t="shared" si="191"/>
        <v>YAMAHA_Mounter</v>
      </c>
      <c r="AS639" s="22">
        <f t="shared" si="192"/>
        <v>4</v>
      </c>
      <c r="AT639" s="24" t="str">
        <f t="shared" si="193"/>
        <v>4-6 months</v>
      </c>
      <c r="AU639" s="22" t="s">
        <v>3745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8"/>
        <v>29183109.05575221</v>
      </c>
      <c r="AJ640" s="19">
        <f t="shared" si="179"/>
        <v>3741266.5648721238</v>
      </c>
      <c r="AK640" s="20">
        <f t="shared" si="188"/>
        <v>0.12819972531798121</v>
      </c>
      <c r="AL640" s="17"/>
      <c r="AM640" s="17"/>
      <c r="AN640" s="17"/>
      <c r="AO640" s="17"/>
      <c r="AP640" s="28" t="str">
        <f t="shared" si="189"/>
        <v>20206</v>
      </c>
      <c r="AQ640" s="28" t="str">
        <f t="shared" si="190"/>
        <v>20206RMB</v>
      </c>
      <c r="AR640" s="206" t="str">
        <f t="shared" si="191"/>
        <v>YAMAHA_Mounter</v>
      </c>
      <c r="AS640" s="22">
        <f t="shared" si="192"/>
        <v>0</v>
      </c>
      <c r="AT640" s="24" t="str">
        <f t="shared" si="193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8"/>
        <v>29183109.05575221</v>
      </c>
      <c r="AJ641" s="19">
        <f t="shared" si="179"/>
        <v>3741266.5648721238</v>
      </c>
      <c r="AK641" s="20">
        <f t="shared" si="188"/>
        <v>0.12819972531798121</v>
      </c>
      <c r="AL641" s="17"/>
      <c r="AM641" s="17"/>
      <c r="AN641" s="17"/>
      <c r="AO641" s="17"/>
      <c r="AP641" s="28" t="str">
        <f t="shared" si="189"/>
        <v>20206</v>
      </c>
      <c r="AQ641" s="28" t="str">
        <f t="shared" si="190"/>
        <v>20206RMB</v>
      </c>
      <c r="AR641" s="206" t="str">
        <f t="shared" si="191"/>
        <v>YAMAHA_Mounter</v>
      </c>
      <c r="AS641" s="22">
        <f t="shared" si="192"/>
        <v>0</v>
      </c>
      <c r="AT641" s="24" t="str">
        <f t="shared" si="193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7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8">IF(P642="C66 SERVICE","",SUMIFS(AB:AB,F:F,F642,G:G,G642,E:E,E642))</f>
        <v>13640480.497522123</v>
      </c>
      <c r="AJ642" s="19">
        <f t="shared" ref="AJ642:AJ705" si="199">IF(P642="C66 SERVICE","",SUMIFS(AC:AC,F:F,F642,G:G,G642,E:E,E642))</f>
        <v>1928605.8020906283</v>
      </c>
      <c r="AK642" s="20">
        <f t="shared" si="188"/>
        <v>0.1413884065477731</v>
      </c>
      <c r="AL642" s="17"/>
      <c r="AM642" s="17"/>
      <c r="AN642" s="17"/>
      <c r="AO642" s="17"/>
      <c r="AP642" s="28" t="str">
        <f t="shared" si="189"/>
        <v>20236</v>
      </c>
      <c r="AQ642" s="28" t="str">
        <f t="shared" si="190"/>
        <v>20236RMB</v>
      </c>
      <c r="AR642" s="206" t="str">
        <f t="shared" si="191"/>
        <v>YAMAHA_Mounter</v>
      </c>
      <c r="AS642" s="22">
        <f t="shared" si="192"/>
        <v>2</v>
      </c>
      <c r="AT642" s="24" t="str">
        <f t="shared" si="193"/>
        <v>0-3 months</v>
      </c>
      <c r="AU642" s="22" t="s">
        <v>3751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7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8"/>
        <v>13640480.497522123</v>
      </c>
      <c r="AJ643" s="19">
        <f t="shared" si="199"/>
        <v>1928605.8020906283</v>
      </c>
      <c r="AK643" s="20">
        <f t="shared" si="188"/>
        <v>0.1413884065477731</v>
      </c>
      <c r="AL643" s="17"/>
      <c r="AM643" s="17"/>
      <c r="AN643" s="17"/>
      <c r="AO643" s="17"/>
      <c r="AP643" s="28" t="str">
        <f t="shared" si="189"/>
        <v>20236</v>
      </c>
      <c r="AQ643" s="28" t="str">
        <f t="shared" si="190"/>
        <v>20236RMB</v>
      </c>
      <c r="AR643" s="206" t="str">
        <f t="shared" si="191"/>
        <v>YAMAHA_Mounter</v>
      </c>
      <c r="AS643" s="22">
        <f t="shared" si="192"/>
        <v>2</v>
      </c>
      <c r="AT643" s="24" t="str">
        <f t="shared" si="193"/>
        <v>0-3 months</v>
      </c>
      <c r="AU643" s="22" t="s">
        <v>3751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7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8"/>
        <v>7502645.9971681423</v>
      </c>
      <c r="AJ644" s="19">
        <f t="shared" si="199"/>
        <v>664841.72044240718</v>
      </c>
      <c r="AK644" s="20">
        <f t="shared" si="188"/>
        <v>8.861429963420242E-2</v>
      </c>
      <c r="AL644" s="17"/>
      <c r="AM644" s="17"/>
      <c r="AN644" s="17"/>
      <c r="AO644" s="17"/>
      <c r="AP644" s="28" t="str">
        <f t="shared" si="189"/>
        <v>20231</v>
      </c>
      <c r="AQ644" s="28" t="str">
        <f t="shared" si="190"/>
        <v>20231RMB</v>
      </c>
      <c r="AR644" s="206" t="str">
        <f t="shared" si="191"/>
        <v>YAMAHA_Mounter</v>
      </c>
      <c r="AS644" s="22">
        <f t="shared" si="192"/>
        <v>1</v>
      </c>
      <c r="AT644" s="24" t="str">
        <f t="shared" si="193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7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8"/>
        <v>7502645.9971681423</v>
      </c>
      <c r="AJ645" s="19">
        <f t="shared" si="199"/>
        <v>664841.72044240718</v>
      </c>
      <c r="AK645" s="20">
        <f t="shared" si="188"/>
        <v>8.861429963420242E-2</v>
      </c>
      <c r="AL645" s="17"/>
      <c r="AM645" s="17"/>
      <c r="AN645" s="17"/>
      <c r="AO645" s="17"/>
      <c r="AP645" s="28" t="str">
        <f t="shared" si="189"/>
        <v>20231</v>
      </c>
      <c r="AQ645" s="28" t="str">
        <f t="shared" si="190"/>
        <v>20231RMB</v>
      </c>
      <c r="AR645" s="206" t="str">
        <f t="shared" si="191"/>
        <v>YAMAHA_Mounter</v>
      </c>
      <c r="AS645" s="22">
        <f t="shared" si="192"/>
        <v>1</v>
      </c>
      <c r="AT645" s="24" t="str">
        <f t="shared" si="193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7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8"/>
        <v>7502645.9971681423</v>
      </c>
      <c r="AJ646" s="19">
        <f t="shared" si="199"/>
        <v>664841.72044240718</v>
      </c>
      <c r="AK646" s="20">
        <f t="shared" ref="AK646:AK709" si="208">IF(AJ646&gt;0,AJ646/AI646,"")</f>
        <v>8.861429963420242E-2</v>
      </c>
      <c r="AL646" s="17"/>
      <c r="AM646" s="17"/>
      <c r="AN646" s="17"/>
      <c r="AO646" s="17"/>
      <c r="AP646" s="28" t="str">
        <f t="shared" ref="AP646:AP709" si="209">IF(F646="","",F646&amp;G646)</f>
        <v>20231</v>
      </c>
      <c r="AQ646" s="28" t="str">
        <f t="shared" ref="AQ646:AQ709" si="210">IF(W646="","",F646&amp;G646&amp;W646)</f>
        <v>20231RMB</v>
      </c>
      <c r="AR646" s="206" t="str">
        <f t="shared" ref="AR646:AR709" si="211">IFERROR(IF(AND(M646="YAMAHA", R646="C28"), "YAMAHA_Non_Mounter", IF(AND(M646="YAMAHA", R646="C49"), "YAMAHA_Mounter", M646)),"")</f>
        <v>YAMAHA_Mounter</v>
      </c>
      <c r="AS646" s="22">
        <f t="shared" ref="AS646:AS709" si="212">IFERROR(IF(OR(G646="TBA", G646=""), "", DATEDIF(DATE(B646, C646, 1), DATE(F646, G646, 1), "M")),"")</f>
        <v>1</v>
      </c>
      <c r="AT646" s="24" t="str">
        <f t="shared" ref="AT646:AT709" si="213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7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8"/>
        <v>41443303.53761062</v>
      </c>
      <c r="AJ647" s="19">
        <f t="shared" si="199"/>
        <v>6194988.76643031</v>
      </c>
      <c r="AK647" s="20">
        <f t="shared" si="208"/>
        <v>0.1494810557466355</v>
      </c>
      <c r="AL647" s="17"/>
      <c r="AM647" s="17"/>
      <c r="AN647" s="17"/>
      <c r="AO647" s="17"/>
      <c r="AP647" s="28" t="str">
        <f t="shared" si="209"/>
        <v>20217</v>
      </c>
      <c r="AQ647" s="28" t="str">
        <f t="shared" si="210"/>
        <v>20217RMB</v>
      </c>
      <c r="AR647" s="206" t="str">
        <f t="shared" si="211"/>
        <v>YAMAHA_Mounter</v>
      </c>
      <c r="AS647" s="22">
        <f t="shared" si="212"/>
        <v>3</v>
      </c>
      <c r="AT647" s="24" t="str">
        <f t="shared" si="213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7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8"/>
        <v>33543315.897345133</v>
      </c>
      <c r="AJ648" s="19">
        <f t="shared" si="199"/>
        <v>4706169.3252984071</v>
      </c>
      <c r="AK648" s="20">
        <f t="shared" si="208"/>
        <v>0.14030125523967318</v>
      </c>
      <c r="AL648" s="17"/>
      <c r="AM648" s="17"/>
      <c r="AN648" s="17"/>
      <c r="AO648" s="17"/>
      <c r="AP648" s="28" t="str">
        <f t="shared" si="209"/>
        <v>20233</v>
      </c>
      <c r="AQ648" s="28" t="str">
        <f t="shared" si="210"/>
        <v>20233RMB</v>
      </c>
      <c r="AR648" s="206" t="str">
        <f t="shared" si="211"/>
        <v>YAMAHA_Mounter</v>
      </c>
      <c r="AS648" s="22">
        <f t="shared" si="212"/>
        <v>1</v>
      </c>
      <c r="AT648" s="24" t="str">
        <f t="shared" si="213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7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8"/>
        <v>15951056.41591504</v>
      </c>
      <c r="AJ649" s="19">
        <f t="shared" si="199"/>
        <v>1966354.6022462982</v>
      </c>
      <c r="AK649" s="20">
        <f t="shared" si="208"/>
        <v>0.12327425538313459</v>
      </c>
      <c r="AL649" s="17"/>
      <c r="AM649" s="17"/>
      <c r="AN649" s="17"/>
      <c r="AO649" s="17"/>
      <c r="AP649" s="28" t="str">
        <f t="shared" si="209"/>
        <v>20237</v>
      </c>
      <c r="AQ649" s="28" t="str">
        <f t="shared" si="210"/>
        <v>20237RMB</v>
      </c>
      <c r="AR649" s="206" t="str">
        <f t="shared" si="211"/>
        <v>YAMAHA_Mounter</v>
      </c>
      <c r="AS649" s="22">
        <f t="shared" si="212"/>
        <v>0</v>
      </c>
      <c r="AT649" s="24" t="str">
        <f t="shared" si="213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7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8"/>
        <v>22953677.784070797</v>
      </c>
      <c r="AJ650" s="19">
        <f t="shared" si="199"/>
        <v>4168706.6744155753</v>
      </c>
      <c r="AK650" s="20">
        <f t="shared" si="208"/>
        <v>0.18161388835511752</v>
      </c>
      <c r="AL650" s="17"/>
      <c r="AM650" s="17"/>
      <c r="AN650" s="17"/>
      <c r="AO650" s="17"/>
      <c r="AP650" s="28" t="str">
        <f t="shared" si="209"/>
        <v>20238</v>
      </c>
      <c r="AQ650" s="28" t="str">
        <f t="shared" si="210"/>
        <v>20238RMB</v>
      </c>
      <c r="AR650" s="206" t="str">
        <f t="shared" si="211"/>
        <v>YAMAHA_Mounter</v>
      </c>
      <c r="AS650" s="22">
        <f t="shared" si="212"/>
        <v>1</v>
      </c>
      <c r="AT650" s="24" t="str">
        <f t="shared" si="213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8"/>
        <v>20319282.700884953</v>
      </c>
      <c r="AJ651" s="27">
        <f t="shared" si="199"/>
        <v>2408851.9638623013</v>
      </c>
      <c r="AK651" s="28">
        <f t="shared" si="208"/>
        <v>0.11855004919821259</v>
      </c>
      <c r="AL651" s="24"/>
      <c r="AM651" s="24"/>
      <c r="AN651" s="24"/>
      <c r="AO651" s="24"/>
      <c r="AP651" s="28" t="str">
        <f t="shared" si="209"/>
        <v>20244</v>
      </c>
      <c r="AQ651" s="28" t="str">
        <f t="shared" si="210"/>
        <v>20244RMB</v>
      </c>
      <c r="AR651" s="206" t="str">
        <f t="shared" si="211"/>
        <v>HELLER</v>
      </c>
      <c r="AS651" s="22">
        <f t="shared" si="212"/>
        <v>1</v>
      </c>
      <c r="AT651" s="24" t="str">
        <f t="shared" si="213"/>
        <v>0-3 months</v>
      </c>
      <c r="AU651" s="22" t="s">
        <v>3751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8"/>
        <v>33543315.897345133</v>
      </c>
      <c r="AJ652" s="19">
        <f t="shared" si="199"/>
        <v>4706169.3252984071</v>
      </c>
      <c r="AK652" s="20">
        <f t="shared" si="208"/>
        <v>0.14030125523967318</v>
      </c>
      <c r="AL652" s="17"/>
      <c r="AM652" s="17"/>
      <c r="AN652" s="17"/>
      <c r="AO652" s="17"/>
      <c r="AP652" s="28" t="str">
        <f t="shared" si="209"/>
        <v>20233</v>
      </c>
      <c r="AQ652" s="28" t="str">
        <f t="shared" si="210"/>
        <v>20233RMB</v>
      </c>
      <c r="AR652" s="206" t="str">
        <f t="shared" si="211"/>
        <v>YAMAHA_Mounter</v>
      </c>
      <c r="AS652" s="22">
        <f t="shared" si="212"/>
        <v>1</v>
      </c>
      <c r="AT652" s="24" t="str">
        <f t="shared" si="213"/>
        <v>0-3 months</v>
      </c>
      <c r="AU652" s="22" t="s">
        <v>3751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8"/>
        <v>24398045.86045352</v>
      </c>
      <c r="AJ653" s="19">
        <f t="shared" si="199"/>
        <v>3478417.4064663448</v>
      </c>
      <c r="AK653" s="20">
        <f t="shared" si="208"/>
        <v>0.14256950849102498</v>
      </c>
      <c r="AL653" s="17"/>
      <c r="AM653" s="17"/>
      <c r="AN653" s="17"/>
      <c r="AO653" s="17"/>
      <c r="AP653" s="28" t="str">
        <f t="shared" si="209"/>
        <v>20186</v>
      </c>
      <c r="AQ653" s="28" t="str">
        <f t="shared" si="210"/>
        <v>20186RMB</v>
      </c>
      <c r="AR653" s="206" t="str">
        <f t="shared" si="211"/>
        <v>SOLDERSTAR</v>
      </c>
      <c r="AS653" s="22">
        <f t="shared" si="212"/>
        <v>1</v>
      </c>
      <c r="AT653" s="24" t="str">
        <f t="shared" si="213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8"/>
        <v>24398045.86045352</v>
      </c>
      <c r="AJ654" s="19">
        <f t="shared" si="199"/>
        <v>3478417.4064663448</v>
      </c>
      <c r="AK654" s="20">
        <f t="shared" si="208"/>
        <v>0.14256950849102498</v>
      </c>
      <c r="AL654" s="17"/>
      <c r="AM654" s="17"/>
      <c r="AN654" s="17"/>
      <c r="AO654" s="17"/>
      <c r="AP654" s="28" t="str">
        <f t="shared" si="209"/>
        <v>20186</v>
      </c>
      <c r="AQ654" s="28" t="str">
        <f t="shared" si="210"/>
        <v>20186RMB</v>
      </c>
      <c r="AR654" s="206" t="str">
        <f t="shared" si="211"/>
        <v>SOLDERSTAR</v>
      </c>
      <c r="AS654" s="22">
        <f t="shared" si="212"/>
        <v>1</v>
      </c>
      <c r="AT654" s="24" t="str">
        <f t="shared" si="213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8"/>
        <v>26407088.359292038</v>
      </c>
      <c r="AJ655" s="19">
        <f t="shared" si="199"/>
        <v>3424510.6998470789</v>
      </c>
      <c r="AK655" s="20">
        <f t="shared" si="208"/>
        <v>0.12968149510667554</v>
      </c>
      <c r="AL655" s="17"/>
      <c r="AM655" s="17"/>
      <c r="AN655" s="17"/>
      <c r="AO655" s="17"/>
      <c r="AP655" s="28" t="str">
        <f t="shared" si="209"/>
        <v>20221</v>
      </c>
      <c r="AQ655" s="28" t="str">
        <f t="shared" si="210"/>
        <v>20221RMB</v>
      </c>
      <c r="AR655" s="206" t="str">
        <f t="shared" si="211"/>
        <v>YAMAHA_Mounter</v>
      </c>
      <c r="AS655" s="22">
        <f t="shared" si="212"/>
        <v>7</v>
      </c>
      <c r="AT655" s="24" t="str">
        <f t="shared" si="213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8"/>
        <v>37969334.083628319</v>
      </c>
      <c r="AJ656" s="19">
        <f t="shared" si="199"/>
        <v>5097226.4551657084</v>
      </c>
      <c r="AK656" s="20">
        <f t="shared" si="208"/>
        <v>0.13424587441904964</v>
      </c>
      <c r="AL656" s="17"/>
      <c r="AM656" s="17"/>
      <c r="AN656" s="17"/>
      <c r="AO656" s="17"/>
      <c r="AP656" s="28" t="str">
        <f t="shared" si="209"/>
        <v>20208</v>
      </c>
      <c r="AQ656" s="28" t="str">
        <f t="shared" si="210"/>
        <v>20208RMB</v>
      </c>
      <c r="AR656" s="206" t="str">
        <f t="shared" si="211"/>
        <v>YAMAHA_Mounter</v>
      </c>
      <c r="AS656" s="22">
        <f t="shared" si="212"/>
        <v>1</v>
      </c>
      <c r="AT656" s="24" t="str">
        <f t="shared" si="213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8"/>
        <v>37969334.083628319</v>
      </c>
      <c r="AJ657" s="19">
        <f t="shared" si="199"/>
        <v>5097226.4551657084</v>
      </c>
      <c r="AK657" s="20">
        <f t="shared" si="208"/>
        <v>0.13424587441904964</v>
      </c>
      <c r="AL657" s="17"/>
      <c r="AM657" s="17"/>
      <c r="AN657" s="17"/>
      <c r="AO657" s="17"/>
      <c r="AP657" s="28" t="str">
        <f t="shared" si="209"/>
        <v>20208</v>
      </c>
      <c r="AQ657" s="28" t="str">
        <f t="shared" si="210"/>
        <v>20208RMB</v>
      </c>
      <c r="AR657" s="206" t="str">
        <f t="shared" si="211"/>
        <v>YAMAHA_Mounter</v>
      </c>
      <c r="AS657" s="22">
        <f t="shared" si="212"/>
        <v>2</v>
      </c>
      <c r="AT657" s="24" t="str">
        <f t="shared" si="213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8"/>
        <v>37969334.083628319</v>
      </c>
      <c r="AJ658" s="19">
        <f t="shared" si="199"/>
        <v>5097226.4551657084</v>
      </c>
      <c r="AK658" s="20">
        <f t="shared" si="208"/>
        <v>0.13424587441904964</v>
      </c>
      <c r="AL658" s="17"/>
      <c r="AM658" s="17"/>
      <c r="AN658" s="17"/>
      <c r="AO658" s="17"/>
      <c r="AP658" s="28" t="str">
        <f t="shared" si="209"/>
        <v>20208</v>
      </c>
      <c r="AQ658" s="28" t="str">
        <f t="shared" si="210"/>
        <v>20208RMB</v>
      </c>
      <c r="AR658" s="206" t="str">
        <f t="shared" si="211"/>
        <v>YAMAHA_Mounter</v>
      </c>
      <c r="AS658" s="22">
        <f t="shared" si="212"/>
        <v>2</v>
      </c>
      <c r="AT658" s="24" t="str">
        <f t="shared" si="213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8"/>
        <v>46600814.041769907</v>
      </c>
      <c r="AJ659" s="19">
        <f t="shared" si="199"/>
        <v>5956366.3435927071</v>
      </c>
      <c r="AK659" s="20">
        <f t="shared" si="208"/>
        <v>0.1278167874546958</v>
      </c>
      <c r="AL659" s="17"/>
      <c r="AM659" s="17"/>
      <c r="AN659" s="17"/>
      <c r="AO659" s="17"/>
      <c r="AP659" s="28" t="str">
        <f t="shared" si="209"/>
        <v>20224</v>
      </c>
      <c r="AQ659" s="28" t="str">
        <f t="shared" si="210"/>
        <v>20224RMB</v>
      </c>
      <c r="AR659" s="206" t="str">
        <f t="shared" si="211"/>
        <v>YAMAHA_Mounter</v>
      </c>
      <c r="AS659" s="22">
        <f t="shared" si="212"/>
        <v>7</v>
      </c>
      <c r="AT659" s="24" t="str">
        <f t="shared" si="213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8"/>
        <v>45803245.025628321</v>
      </c>
      <c r="AJ660" s="19">
        <f t="shared" si="199"/>
        <v>5664636.2584379362</v>
      </c>
      <c r="AK660" s="20">
        <f t="shared" si="208"/>
        <v>0.12367325186825515</v>
      </c>
      <c r="AL660" s="17"/>
      <c r="AM660" s="17"/>
      <c r="AN660" s="17"/>
      <c r="AO660" s="17"/>
      <c r="AP660" s="28" t="str">
        <f t="shared" si="209"/>
        <v>20211</v>
      </c>
      <c r="AQ660" s="28" t="str">
        <f t="shared" si="210"/>
        <v>20211RMB</v>
      </c>
      <c r="AR660" s="206" t="str">
        <f t="shared" si="211"/>
        <v>YAMAHA_Mounter</v>
      </c>
      <c r="AS660" s="22">
        <f t="shared" si="212"/>
        <v>2</v>
      </c>
      <c r="AT660" s="24" t="str">
        <f t="shared" si="213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8"/>
        <v>44078731.611185849</v>
      </c>
      <c r="AJ661" s="19">
        <f t="shared" si="199"/>
        <v>5508173.2163771465</v>
      </c>
      <c r="AK661" s="20">
        <f t="shared" si="208"/>
        <v>0.12496215328889679</v>
      </c>
      <c r="AL661" s="17"/>
      <c r="AM661" s="17"/>
      <c r="AN661" s="17"/>
      <c r="AO661" s="17"/>
      <c r="AP661" s="28" t="str">
        <f t="shared" si="209"/>
        <v>202011</v>
      </c>
      <c r="AQ661" s="28" t="str">
        <f t="shared" si="210"/>
        <v>202011RMB</v>
      </c>
      <c r="AR661" s="206" t="str">
        <f t="shared" si="211"/>
        <v>YAMAHA_Mounter</v>
      </c>
      <c r="AS661" s="22">
        <f t="shared" si="212"/>
        <v>2</v>
      </c>
      <c r="AT661" s="24" t="str">
        <f t="shared" si="213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8"/>
        <v>57778307.282035396</v>
      </c>
      <c r="AJ662" s="19">
        <f t="shared" si="199"/>
        <v>7259860.7225420559</v>
      </c>
      <c r="AK662" s="20">
        <f t="shared" si="208"/>
        <v>0.12565028406083667</v>
      </c>
      <c r="AL662" s="17"/>
      <c r="AM662" s="17"/>
      <c r="AN662" s="17"/>
      <c r="AO662" s="17"/>
      <c r="AP662" s="28" t="str">
        <f t="shared" si="209"/>
        <v>20213</v>
      </c>
      <c r="AQ662" s="28" t="str">
        <f t="shared" si="210"/>
        <v>20213RMB</v>
      </c>
      <c r="AR662" s="206" t="str">
        <f t="shared" si="211"/>
        <v>YAMAHA_Mounter</v>
      </c>
      <c r="AS662" s="22">
        <f t="shared" si="212"/>
        <v>2</v>
      </c>
      <c r="AT662" s="24" t="str">
        <f t="shared" si="213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8"/>
        <v>57778307.282035396</v>
      </c>
      <c r="AJ663" s="19">
        <f t="shared" si="199"/>
        <v>7259860.7225420559</v>
      </c>
      <c r="AK663" s="20">
        <f t="shared" si="208"/>
        <v>0.12565028406083667</v>
      </c>
      <c r="AL663" s="17"/>
      <c r="AM663" s="17"/>
      <c r="AN663" s="17"/>
      <c r="AO663" s="17"/>
      <c r="AP663" s="28" t="str">
        <f t="shared" si="209"/>
        <v>20213</v>
      </c>
      <c r="AQ663" s="28" t="str">
        <f t="shared" si="210"/>
        <v>20213RMB</v>
      </c>
      <c r="AR663" s="206" t="str">
        <f t="shared" si="211"/>
        <v>YAMAHA_Mounter</v>
      </c>
      <c r="AS663" s="22">
        <f t="shared" si="212"/>
        <v>2</v>
      </c>
      <c r="AT663" s="24" t="str">
        <f t="shared" si="213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8"/>
        <v>29946107.503386207</v>
      </c>
      <c r="AJ664" s="19">
        <f t="shared" si="199"/>
        <v>3987206.4954923098</v>
      </c>
      <c r="AK664" s="20">
        <f t="shared" si="208"/>
        <v>0.13314606898547499</v>
      </c>
      <c r="AL664" s="17"/>
      <c r="AM664" s="17"/>
      <c r="AN664" s="17"/>
      <c r="AO664" s="17"/>
      <c r="AP664" s="28" t="str">
        <f t="shared" si="209"/>
        <v>20187</v>
      </c>
      <c r="AQ664" s="28" t="str">
        <f t="shared" si="210"/>
        <v>20187RMB</v>
      </c>
      <c r="AR664" s="206" t="str">
        <f t="shared" si="211"/>
        <v>YAMAHA_Mounter</v>
      </c>
      <c r="AS664" s="22">
        <f t="shared" si="212"/>
        <v>5</v>
      </c>
      <c r="AT664" s="24" t="str">
        <f t="shared" si="213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8"/>
        <v>34015877.71150443</v>
      </c>
      <c r="AJ665" s="19">
        <f t="shared" si="199"/>
        <v>4446292.375441948</v>
      </c>
      <c r="AK665" s="20">
        <f t="shared" si="208"/>
        <v>0.13071226364205143</v>
      </c>
      <c r="AL665" s="17"/>
      <c r="AM665" s="17"/>
      <c r="AN665" s="17"/>
      <c r="AO665" s="17"/>
      <c r="AP665" s="28" t="str">
        <f t="shared" si="209"/>
        <v>20197</v>
      </c>
      <c r="AQ665" s="28" t="str">
        <f t="shared" si="210"/>
        <v>20197RMB</v>
      </c>
      <c r="AR665" s="206" t="str">
        <f t="shared" si="211"/>
        <v>YAMAHA_Mounter</v>
      </c>
      <c r="AS665" s="22">
        <f t="shared" si="212"/>
        <v>4</v>
      </c>
      <c r="AT665" s="24" t="str">
        <f t="shared" si="213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4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8"/>
        <v>63006605.696460173</v>
      </c>
      <c r="AJ666" s="19">
        <f t="shared" si="199"/>
        <v>8897485.660753984</v>
      </c>
      <c r="AK666" s="20">
        <f t="shared" si="208"/>
        <v>0.141215124388995</v>
      </c>
      <c r="AL666" s="17"/>
      <c r="AM666" s="17"/>
      <c r="AN666" s="17"/>
      <c r="AO666" s="17"/>
      <c r="AP666" s="28" t="str">
        <f t="shared" si="209"/>
        <v>20215</v>
      </c>
      <c r="AQ666" s="28" t="str">
        <f t="shared" si="210"/>
        <v>20215JPY</v>
      </c>
      <c r="AR666" s="206" t="str">
        <f t="shared" si="211"/>
        <v>YAMAHA_Mounter</v>
      </c>
      <c r="AS666" s="22">
        <f t="shared" si="212"/>
        <v>1</v>
      </c>
      <c r="AT666" s="24" t="str">
        <f t="shared" si="213"/>
        <v>0-3 months</v>
      </c>
      <c r="AU666" s="22" t="s">
        <v>3745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4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8"/>
        <v>54700260.692079648</v>
      </c>
      <c r="AJ667" s="19">
        <f t="shared" si="199"/>
        <v>7482899.5749188727</v>
      </c>
      <c r="AK667" s="20">
        <f t="shared" si="208"/>
        <v>0.13679824337660537</v>
      </c>
      <c r="AL667" s="17"/>
      <c r="AM667" s="17"/>
      <c r="AN667" s="17"/>
      <c r="AO667" s="17"/>
      <c r="AP667" s="28" t="str">
        <f t="shared" si="209"/>
        <v>20216</v>
      </c>
      <c r="AQ667" s="28" t="str">
        <f t="shared" si="210"/>
        <v>20216JPY</v>
      </c>
      <c r="AR667" s="206" t="str">
        <f t="shared" si="211"/>
        <v>YAMAHA_Mounter</v>
      </c>
      <c r="AS667" s="22">
        <f t="shared" si="212"/>
        <v>2</v>
      </c>
      <c r="AT667" s="24" t="str">
        <f t="shared" si="213"/>
        <v>0-3 months</v>
      </c>
      <c r="AU667" s="22" t="s">
        <v>3745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4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8"/>
        <v>499582152.5142017</v>
      </c>
      <c r="AJ668" s="19">
        <f t="shared" si="199"/>
        <v>59520528.679470733</v>
      </c>
      <c r="AK668" s="20">
        <f t="shared" si="208"/>
        <v>0.11914062257814291</v>
      </c>
      <c r="AL668" s="17"/>
      <c r="AM668" s="17"/>
      <c r="AN668" s="17"/>
      <c r="AO668" s="17"/>
      <c r="AP668" s="28" t="str">
        <f t="shared" si="209"/>
        <v>CancelCancel</v>
      </c>
      <c r="AQ668" s="28" t="str">
        <f t="shared" si="210"/>
        <v>CancelCancelRMB</v>
      </c>
      <c r="AR668" s="206" t="str">
        <f t="shared" si="211"/>
        <v>YAMAHA_Mounter</v>
      </c>
      <c r="AS668" s="22" t="str">
        <f t="shared" si="212"/>
        <v/>
      </c>
      <c r="AT668" s="24" t="str">
        <f t="shared" si="213"/>
        <v/>
      </c>
      <c r="AU668" s="22" t="s">
        <v>3751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4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8"/>
        <v>499582152.5142017</v>
      </c>
      <c r="AJ669" s="19">
        <f t="shared" si="199"/>
        <v>59520528.679470733</v>
      </c>
      <c r="AK669" s="20">
        <f t="shared" si="208"/>
        <v>0.11914062257814291</v>
      </c>
      <c r="AL669" s="17"/>
      <c r="AM669" s="17"/>
      <c r="AN669" s="17"/>
      <c r="AO669" s="17"/>
      <c r="AP669" s="28" t="str">
        <f t="shared" si="209"/>
        <v>CancelCancel</v>
      </c>
      <c r="AQ669" s="28" t="str">
        <f t="shared" si="210"/>
        <v>CancelCancelRMB</v>
      </c>
      <c r="AR669" s="206" t="str">
        <f t="shared" si="211"/>
        <v>YAMAHA_Mounter</v>
      </c>
      <c r="AS669" s="22" t="str">
        <f t="shared" si="212"/>
        <v/>
      </c>
      <c r="AT669" s="24" t="str">
        <f t="shared" si="213"/>
        <v/>
      </c>
      <c r="AU669" s="22" t="s">
        <v>3751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4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8"/>
        <v>63006605.696460173</v>
      </c>
      <c r="AJ670" s="19">
        <f t="shared" si="199"/>
        <v>8897485.660753984</v>
      </c>
      <c r="AK670" s="20">
        <f t="shared" si="208"/>
        <v>0.141215124388995</v>
      </c>
      <c r="AL670" s="17"/>
      <c r="AM670" s="17"/>
      <c r="AN670" s="17"/>
      <c r="AO670" s="17"/>
      <c r="AP670" s="28" t="str">
        <f t="shared" si="209"/>
        <v>20215</v>
      </c>
      <c r="AQ670" s="28" t="str">
        <f t="shared" si="210"/>
        <v>20215JPY</v>
      </c>
      <c r="AR670" s="206" t="str">
        <f t="shared" si="211"/>
        <v>YAMAHA_Mounter</v>
      </c>
      <c r="AS670" s="22">
        <f t="shared" si="212"/>
        <v>2</v>
      </c>
      <c r="AT670" s="24" t="str">
        <f t="shared" si="213"/>
        <v>0-3 months</v>
      </c>
      <c r="AU670" s="22" t="s">
        <v>3745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4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8"/>
        <v>63006605.696460173</v>
      </c>
      <c r="AJ671" s="19">
        <f t="shared" si="199"/>
        <v>8897485.660753984</v>
      </c>
      <c r="AK671" s="20">
        <f t="shared" si="208"/>
        <v>0.141215124388995</v>
      </c>
      <c r="AL671" s="17"/>
      <c r="AM671" s="17"/>
      <c r="AN671" s="17"/>
      <c r="AO671" s="17"/>
      <c r="AP671" s="28" t="str">
        <f t="shared" si="209"/>
        <v>20215</v>
      </c>
      <c r="AQ671" s="28" t="str">
        <f t="shared" si="210"/>
        <v>20215JPY</v>
      </c>
      <c r="AR671" s="206" t="str">
        <f t="shared" si="211"/>
        <v>YAMAHA_Mounter</v>
      </c>
      <c r="AS671" s="22">
        <f t="shared" si="212"/>
        <v>2</v>
      </c>
      <c r="AT671" s="24" t="str">
        <f t="shared" si="213"/>
        <v>0-3 months</v>
      </c>
      <c r="AU671" s="22" t="s">
        <v>3745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4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8"/>
        <v>28177779.013274338</v>
      </c>
      <c r="AJ672" s="19">
        <f t="shared" si="199"/>
        <v>4727216.6376190251</v>
      </c>
      <c r="AK672" s="20">
        <f t="shared" si="208"/>
        <v>0.1677639900359808</v>
      </c>
      <c r="AL672" s="17"/>
      <c r="AM672" s="17"/>
      <c r="AN672" s="17"/>
      <c r="AO672" s="17"/>
      <c r="AP672" s="28" t="str">
        <f t="shared" si="209"/>
        <v>20235</v>
      </c>
      <c r="AQ672" s="28" t="str">
        <f t="shared" si="210"/>
        <v>20235RMB</v>
      </c>
      <c r="AR672" s="206" t="str">
        <f t="shared" si="211"/>
        <v>YAMAHA_Mounter</v>
      </c>
      <c r="AS672" s="22">
        <f t="shared" si="212"/>
        <v>1</v>
      </c>
      <c r="AT672" s="24" t="str">
        <f t="shared" si="213"/>
        <v>0-3 months</v>
      </c>
      <c r="AU672" s="22" t="s">
        <v>3751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4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8"/>
        <v>31017966.201968137</v>
      </c>
      <c r="AJ673" s="19">
        <f t="shared" si="199"/>
        <v>4704250.3347305888</v>
      </c>
      <c r="AK673" s="20">
        <f t="shared" si="208"/>
        <v>0.15166211427595458</v>
      </c>
      <c r="AL673" s="17"/>
      <c r="AM673" s="17"/>
      <c r="AN673" s="17"/>
      <c r="AO673" s="17"/>
      <c r="AP673" s="28" t="str">
        <f t="shared" si="209"/>
        <v>202211</v>
      </c>
      <c r="AQ673" s="28" t="str">
        <f t="shared" si="210"/>
        <v>202211RMB</v>
      </c>
      <c r="AR673" s="206" t="str">
        <f t="shared" si="211"/>
        <v>YAMAHA_Mounter</v>
      </c>
      <c r="AS673" s="22">
        <f t="shared" si="212"/>
        <v>0</v>
      </c>
      <c r="AT673" s="24" t="str">
        <f t="shared" si="213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4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8"/>
        <v>45803245.025628321</v>
      </c>
      <c r="AJ674" s="19">
        <f t="shared" si="199"/>
        <v>5664636.2584379362</v>
      </c>
      <c r="AK674" s="20">
        <f t="shared" si="208"/>
        <v>0.12367325186825515</v>
      </c>
      <c r="AL674" s="17"/>
      <c r="AM674" s="17"/>
      <c r="AN674" s="17"/>
      <c r="AO674" s="17"/>
      <c r="AP674" s="28" t="str">
        <f t="shared" si="209"/>
        <v>20211</v>
      </c>
      <c r="AQ674" s="28" t="str">
        <f t="shared" si="210"/>
        <v>20211RMB</v>
      </c>
      <c r="AR674" s="206" t="str">
        <f t="shared" si="211"/>
        <v>YAMAHA_Mounter</v>
      </c>
      <c r="AS674" s="22">
        <f t="shared" si="212"/>
        <v>1</v>
      </c>
      <c r="AT674" s="24" t="str">
        <f t="shared" si="213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4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8"/>
        <v>37969334.083628319</v>
      </c>
      <c r="AJ675" s="19">
        <f t="shared" si="199"/>
        <v>5097226.4551657084</v>
      </c>
      <c r="AK675" s="20">
        <f t="shared" si="208"/>
        <v>0.13424587441904964</v>
      </c>
      <c r="AL675" s="17"/>
      <c r="AM675" s="17"/>
      <c r="AN675" s="17"/>
      <c r="AO675" s="17"/>
      <c r="AP675" s="28" t="str">
        <f t="shared" si="209"/>
        <v>20208</v>
      </c>
      <c r="AQ675" s="28" t="str">
        <f t="shared" si="210"/>
        <v>20208RMB</v>
      </c>
      <c r="AR675" s="206" t="str">
        <f t="shared" si="211"/>
        <v>LOCAL SUPPLIER</v>
      </c>
      <c r="AS675" s="22">
        <f t="shared" si="212"/>
        <v>5</v>
      </c>
      <c r="AT675" s="24" t="str">
        <f t="shared" si="213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4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8"/>
        <v>37969334.083628319</v>
      </c>
      <c r="AJ676" s="19">
        <f t="shared" si="199"/>
        <v>5097226.4551657084</v>
      </c>
      <c r="AK676" s="20">
        <f t="shared" si="208"/>
        <v>0.13424587441904964</v>
      </c>
      <c r="AL676" s="17"/>
      <c r="AM676" s="17"/>
      <c r="AN676" s="17"/>
      <c r="AO676" s="17"/>
      <c r="AP676" s="28" t="str">
        <f t="shared" si="209"/>
        <v>20208</v>
      </c>
      <c r="AQ676" s="28" t="str">
        <f t="shared" si="210"/>
        <v>20208RMB</v>
      </c>
      <c r="AR676" s="206" t="str">
        <f t="shared" si="211"/>
        <v>LOCAL SUPPLIER</v>
      </c>
      <c r="AS676" s="22">
        <f t="shared" si="212"/>
        <v>5</v>
      </c>
      <c r="AT676" s="24" t="str">
        <f t="shared" si="213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4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8"/>
        <v>37969334.083628319</v>
      </c>
      <c r="AJ677" s="19">
        <f t="shared" si="199"/>
        <v>5097226.4551657084</v>
      </c>
      <c r="AK677" s="20">
        <f t="shared" si="208"/>
        <v>0.13424587441904964</v>
      </c>
      <c r="AL677" s="17"/>
      <c r="AM677" s="17"/>
      <c r="AN677" s="17"/>
      <c r="AO677" s="17"/>
      <c r="AP677" s="28" t="str">
        <f t="shared" si="209"/>
        <v>20208</v>
      </c>
      <c r="AQ677" s="28" t="str">
        <f t="shared" si="210"/>
        <v>20208RMB</v>
      </c>
      <c r="AR677" s="206" t="str">
        <f t="shared" si="211"/>
        <v>LOCAL SUPPLIER</v>
      </c>
      <c r="AS677" s="22">
        <f t="shared" si="212"/>
        <v>5</v>
      </c>
      <c r="AT677" s="24" t="str">
        <f t="shared" si="213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4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8"/>
        <v>37969334.083628319</v>
      </c>
      <c r="AJ678" s="19">
        <f t="shared" si="199"/>
        <v>5097226.4551657084</v>
      </c>
      <c r="AK678" s="20">
        <f t="shared" si="208"/>
        <v>0.13424587441904964</v>
      </c>
      <c r="AL678" s="17"/>
      <c r="AM678" s="17"/>
      <c r="AN678" s="17"/>
      <c r="AO678" s="17"/>
      <c r="AP678" s="28" t="str">
        <f t="shared" si="209"/>
        <v>20208</v>
      </c>
      <c r="AQ678" s="28" t="str">
        <f t="shared" si="210"/>
        <v>20208RMB</v>
      </c>
      <c r="AR678" s="206" t="str">
        <f t="shared" si="211"/>
        <v>YAMAHA_Non_Mounter</v>
      </c>
      <c r="AS678" s="22">
        <f t="shared" si="212"/>
        <v>5</v>
      </c>
      <c r="AT678" s="24" t="str">
        <f t="shared" si="213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4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8"/>
        <v>37969334.083628319</v>
      </c>
      <c r="AJ679" s="19">
        <f t="shared" si="199"/>
        <v>5097226.4551657084</v>
      </c>
      <c r="AK679" s="20">
        <f t="shared" si="208"/>
        <v>0.13424587441904964</v>
      </c>
      <c r="AL679" s="17"/>
      <c r="AM679" s="17"/>
      <c r="AN679" s="17"/>
      <c r="AO679" s="17"/>
      <c r="AP679" s="28" t="str">
        <f t="shared" si="209"/>
        <v>20208</v>
      </c>
      <c r="AQ679" s="28" t="str">
        <f t="shared" si="210"/>
        <v>20208RMB</v>
      </c>
      <c r="AR679" s="206" t="str">
        <f t="shared" si="211"/>
        <v>LOCAL SUPPLIER</v>
      </c>
      <c r="AS679" s="22">
        <f t="shared" si="212"/>
        <v>5</v>
      </c>
      <c r="AT679" s="24" t="str">
        <f t="shared" si="213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4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8"/>
        <v>47458373.787610628</v>
      </c>
      <c r="AJ680" s="19">
        <f t="shared" si="199"/>
        <v>7436880.1411522133</v>
      </c>
      <c r="AK680" s="20">
        <f t="shared" si="208"/>
        <v>0.15670322321692506</v>
      </c>
      <c r="AL680" s="17"/>
      <c r="AM680" s="17"/>
      <c r="AN680" s="17"/>
      <c r="AO680" s="17"/>
      <c r="AP680" s="28" t="str">
        <f t="shared" si="209"/>
        <v>20218</v>
      </c>
      <c r="AQ680" s="28" t="str">
        <f t="shared" si="210"/>
        <v>20218RMB</v>
      </c>
      <c r="AR680" s="206" t="str">
        <f t="shared" si="211"/>
        <v>YAMAHA_Mounter</v>
      </c>
      <c r="AS680" s="22">
        <f t="shared" si="212"/>
        <v>0</v>
      </c>
      <c r="AT680" s="24" t="str">
        <f t="shared" si="213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4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8"/>
        <v>31017966.201968137</v>
      </c>
      <c r="AJ681" s="19">
        <f t="shared" si="199"/>
        <v>4704250.3347305888</v>
      </c>
      <c r="AK681" s="20">
        <f t="shared" si="208"/>
        <v>0.15166211427595458</v>
      </c>
      <c r="AL681" s="17"/>
      <c r="AM681" s="17"/>
      <c r="AN681" s="17"/>
      <c r="AO681" s="17"/>
      <c r="AP681" s="28" t="str">
        <f t="shared" si="209"/>
        <v>202211</v>
      </c>
      <c r="AQ681" s="28" t="str">
        <f t="shared" si="210"/>
        <v>202211RMB</v>
      </c>
      <c r="AR681" s="206" t="str">
        <f t="shared" si="211"/>
        <v>YAMAHA_Mounter</v>
      </c>
      <c r="AS681" s="22">
        <f t="shared" si="212"/>
        <v>0</v>
      </c>
      <c r="AT681" s="24" t="str">
        <f t="shared" si="213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8"/>
        <v>29840797.698275864</v>
      </c>
      <c r="AJ682" s="19">
        <f t="shared" si="199"/>
        <v>3940167.6555448272</v>
      </c>
      <c r="AK682" s="20">
        <f t="shared" si="208"/>
        <v>0.13203962224416277</v>
      </c>
      <c r="AL682" s="17"/>
      <c r="AM682" s="17"/>
      <c r="AN682" s="17"/>
      <c r="AO682" s="17"/>
      <c r="AP682" s="28" t="str">
        <f t="shared" si="209"/>
        <v>201812</v>
      </c>
      <c r="AQ682" s="28" t="str">
        <f t="shared" si="210"/>
        <v>201812RMB</v>
      </c>
      <c r="AR682" s="206" t="str">
        <f t="shared" si="211"/>
        <v>YAMAHA_Mounter</v>
      </c>
      <c r="AS682" s="22">
        <f t="shared" si="212"/>
        <v>2</v>
      </c>
      <c r="AT682" s="24" t="str">
        <f t="shared" si="213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8"/>
        <v>10785027.603448275</v>
      </c>
      <c r="AJ683" s="19">
        <f t="shared" si="199"/>
        <v>1540894.1297982759</v>
      </c>
      <c r="AK683" s="20">
        <f t="shared" si="208"/>
        <v>0.1428734525728621</v>
      </c>
      <c r="AL683" s="17"/>
      <c r="AM683" s="17"/>
      <c r="AN683" s="17"/>
      <c r="AO683" s="17"/>
      <c r="AP683" s="28" t="str">
        <f t="shared" si="209"/>
        <v>201811</v>
      </c>
      <c r="AQ683" s="28" t="str">
        <f t="shared" si="210"/>
        <v>201811RMB</v>
      </c>
      <c r="AR683" s="206" t="str">
        <f t="shared" si="211"/>
        <v>YAMAHA_Mounter</v>
      </c>
      <c r="AS683" s="22">
        <f t="shared" si="212"/>
        <v>1</v>
      </c>
      <c r="AT683" s="24" t="str">
        <f t="shared" si="213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8"/>
        <v>34015877.71150443</v>
      </c>
      <c r="AJ684" s="19">
        <f t="shared" si="199"/>
        <v>4446292.375441948</v>
      </c>
      <c r="AK684" s="20">
        <f t="shared" si="208"/>
        <v>0.13071226364205143</v>
      </c>
      <c r="AL684" s="17"/>
      <c r="AM684" s="17"/>
      <c r="AN684" s="17"/>
      <c r="AO684" s="17"/>
      <c r="AP684" s="28" t="str">
        <f t="shared" si="209"/>
        <v>20197</v>
      </c>
      <c r="AQ684" s="28" t="str">
        <f t="shared" si="210"/>
        <v>20197RMB</v>
      </c>
      <c r="AR684" s="206" t="str">
        <f t="shared" si="211"/>
        <v>YAMAHA_Mounter</v>
      </c>
      <c r="AS684" s="22">
        <f t="shared" si="212"/>
        <v>1</v>
      </c>
      <c r="AT684" s="24" t="str">
        <f t="shared" si="213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8"/>
        <v>45803245.025628321</v>
      </c>
      <c r="AJ685" s="19">
        <f t="shared" si="199"/>
        <v>5664636.2584379362</v>
      </c>
      <c r="AK685" s="20">
        <f t="shared" si="208"/>
        <v>0.12367325186825515</v>
      </c>
      <c r="AL685" s="17"/>
      <c r="AM685" s="17"/>
      <c r="AN685" s="17"/>
      <c r="AO685" s="17"/>
      <c r="AP685" s="28" t="str">
        <f t="shared" si="209"/>
        <v>20211</v>
      </c>
      <c r="AQ685" s="28" t="str">
        <f t="shared" si="210"/>
        <v>20211RMB</v>
      </c>
      <c r="AR685" s="206" t="str">
        <f t="shared" si="211"/>
        <v>YAMAHA_Mounter</v>
      </c>
      <c r="AS685" s="22">
        <f t="shared" si="212"/>
        <v>1</v>
      </c>
      <c r="AT685" s="24" t="str">
        <f t="shared" si="213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8"/>
        <v>57778307.282035396</v>
      </c>
      <c r="AJ686" s="19">
        <f t="shared" si="199"/>
        <v>7259860.7225420559</v>
      </c>
      <c r="AK686" s="20">
        <f t="shared" si="208"/>
        <v>0.12565028406083667</v>
      </c>
      <c r="AL686" s="17"/>
      <c r="AM686" s="17"/>
      <c r="AN686" s="17"/>
      <c r="AO686" s="17"/>
      <c r="AP686" s="28" t="str">
        <f t="shared" si="209"/>
        <v>20213</v>
      </c>
      <c r="AQ686" s="28" t="str">
        <f t="shared" si="210"/>
        <v>20213RMB</v>
      </c>
      <c r="AR686" s="206" t="str">
        <f t="shared" si="211"/>
        <v>YAMAHA_Mounter</v>
      </c>
      <c r="AS686" s="22">
        <f t="shared" si="212"/>
        <v>3</v>
      </c>
      <c r="AT686" s="24" t="str">
        <f t="shared" si="213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8"/>
        <v>22953677.784070797</v>
      </c>
      <c r="AJ687" s="19">
        <f t="shared" si="199"/>
        <v>4168706.6744155753</v>
      </c>
      <c r="AK687" s="20">
        <f t="shared" si="208"/>
        <v>0.18161388835511752</v>
      </c>
      <c r="AL687" s="17"/>
      <c r="AM687" s="17"/>
      <c r="AN687" s="17"/>
      <c r="AO687" s="17"/>
      <c r="AP687" s="28" t="str">
        <f t="shared" si="209"/>
        <v>20238</v>
      </c>
      <c r="AQ687" s="28" t="str">
        <f t="shared" si="210"/>
        <v>20238RMB</v>
      </c>
      <c r="AR687" s="206" t="str">
        <f t="shared" si="211"/>
        <v>YAMAHA_Mounter</v>
      </c>
      <c r="AS687" s="22">
        <f t="shared" si="212"/>
        <v>0</v>
      </c>
      <c r="AT687" s="24" t="str">
        <f t="shared" si="213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8"/>
        <v>20319282.700884953</v>
      </c>
      <c r="AJ688" s="27">
        <f t="shared" si="199"/>
        <v>2408851.9638623013</v>
      </c>
      <c r="AK688" s="28">
        <f t="shared" si="208"/>
        <v>0.11855004919821259</v>
      </c>
      <c r="AL688" s="24"/>
      <c r="AM688" s="24"/>
      <c r="AN688" s="24"/>
      <c r="AO688" s="24"/>
      <c r="AP688" s="28" t="str">
        <f t="shared" si="209"/>
        <v>20244</v>
      </c>
      <c r="AQ688" s="28" t="str">
        <f t="shared" si="210"/>
        <v>20244RMB</v>
      </c>
      <c r="AR688" s="206" t="str">
        <f t="shared" si="211"/>
        <v>YAMAHA_Mounter</v>
      </c>
      <c r="AS688" s="22">
        <f t="shared" si="212"/>
        <v>1</v>
      </c>
      <c r="AT688" s="24" t="str">
        <f t="shared" si="213"/>
        <v>0-3 months</v>
      </c>
      <c r="AU688" s="22" t="s">
        <v>3751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8"/>
        <v>20319282.700884953</v>
      </c>
      <c r="AJ689" s="27">
        <f t="shared" si="199"/>
        <v>2408851.9638623013</v>
      </c>
      <c r="AK689" s="28">
        <f t="shared" si="208"/>
        <v>0.11855004919821259</v>
      </c>
      <c r="AL689" s="24"/>
      <c r="AM689" s="24"/>
      <c r="AN689" s="24"/>
      <c r="AO689" s="24"/>
      <c r="AP689" s="28" t="str">
        <f t="shared" si="209"/>
        <v>20244</v>
      </c>
      <c r="AQ689" s="28" t="str">
        <f t="shared" si="210"/>
        <v>20244RMB</v>
      </c>
      <c r="AR689" s="206" t="str">
        <f t="shared" si="211"/>
        <v>YAMAHA_Mounter</v>
      </c>
      <c r="AS689" s="22">
        <f t="shared" si="212"/>
        <v>1</v>
      </c>
      <c r="AT689" s="24" t="str">
        <f t="shared" si="213"/>
        <v>0-3 months</v>
      </c>
      <c r="AU689" s="22" t="s">
        <v>3751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198"/>
        <v>20319282.700884953</v>
      </c>
      <c r="AJ690" s="27">
        <f t="shared" si="199"/>
        <v>2408851.9638623013</v>
      </c>
      <c r="AK690" s="28">
        <f t="shared" si="208"/>
        <v>0.11855004919821259</v>
      </c>
      <c r="AL690" s="24"/>
      <c r="AM690" s="24"/>
      <c r="AN690" s="24"/>
      <c r="AO690" s="24"/>
      <c r="AP690" s="28" t="str">
        <f t="shared" si="209"/>
        <v>20244</v>
      </c>
      <c r="AQ690" s="28" t="str">
        <f t="shared" si="210"/>
        <v>20244RMB</v>
      </c>
      <c r="AR690" s="206" t="str">
        <f t="shared" si="211"/>
        <v>YAMAHA_Mounter</v>
      </c>
      <c r="AS690" s="22">
        <f t="shared" si="212"/>
        <v>1</v>
      </c>
      <c r="AT690" s="24" t="str">
        <f t="shared" si="213"/>
        <v>0-3 months</v>
      </c>
      <c r="AU690" s="22" t="s">
        <v>3751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8"/>
        <v>17329060.066371687</v>
      </c>
      <c r="AJ691" s="19">
        <f t="shared" si="199"/>
        <v>2472600.2142256643</v>
      </c>
      <c r="AK691" s="20">
        <f t="shared" si="208"/>
        <v>0.14268518919984163</v>
      </c>
      <c r="AL691" s="17"/>
      <c r="AM691" s="17"/>
      <c r="AN691" s="17"/>
      <c r="AO691" s="17"/>
      <c r="AP691" s="28" t="str">
        <f t="shared" si="209"/>
        <v>202212</v>
      </c>
      <c r="AQ691" s="28" t="str">
        <f t="shared" si="210"/>
        <v>202212RMB</v>
      </c>
      <c r="AR691" s="206" t="str">
        <f t="shared" si="211"/>
        <v>YAMAHA_Mounter</v>
      </c>
      <c r="AS691" s="22">
        <f t="shared" si="212"/>
        <v>0</v>
      </c>
      <c r="AT691" s="24" t="str">
        <f t="shared" si="213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8"/>
        <v>17329060.066371687</v>
      </c>
      <c r="AJ692" s="19">
        <f t="shared" si="199"/>
        <v>2472600.2142256643</v>
      </c>
      <c r="AK692" s="20">
        <f t="shared" si="208"/>
        <v>0.14268518919984163</v>
      </c>
      <c r="AL692" s="17"/>
      <c r="AM692" s="17"/>
      <c r="AN692" s="17"/>
      <c r="AO692" s="17"/>
      <c r="AP692" s="28" t="str">
        <f t="shared" si="209"/>
        <v>202212</v>
      </c>
      <c r="AQ692" s="28" t="str">
        <f t="shared" si="210"/>
        <v>202212RMB</v>
      </c>
      <c r="AR692" s="206" t="str">
        <f t="shared" si="211"/>
        <v>YAMAHA_Mounter</v>
      </c>
      <c r="AS692" s="22">
        <f t="shared" si="212"/>
        <v>0</v>
      </c>
      <c r="AT692" s="24" t="str">
        <f t="shared" si="213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8"/>
        <v>35682787.057522126</v>
      </c>
      <c r="AJ693" s="19">
        <f t="shared" si="199"/>
        <v>5833368.3789623892</v>
      </c>
      <c r="AK693" s="20">
        <f t="shared" si="208"/>
        <v>0.16347849649632912</v>
      </c>
      <c r="AL693" s="17"/>
      <c r="AM693" s="17"/>
      <c r="AN693" s="17"/>
      <c r="AO693" s="17"/>
      <c r="AP693" s="28" t="str">
        <f t="shared" si="209"/>
        <v>20226</v>
      </c>
      <c r="AQ693" s="28" t="str">
        <f t="shared" si="210"/>
        <v>20226RMB</v>
      </c>
      <c r="AR693" s="206" t="str">
        <f t="shared" si="211"/>
        <v>YAMAHA_Mounter</v>
      </c>
      <c r="AS693" s="22">
        <f t="shared" si="212"/>
        <v>12</v>
      </c>
      <c r="AT693" s="24" t="str">
        <f t="shared" si="213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8"/>
        <v>23168285.927433632</v>
      </c>
      <c r="AJ694" s="19">
        <f t="shared" si="199"/>
        <v>2764878.916878053</v>
      </c>
      <c r="AK694" s="20">
        <f t="shared" si="208"/>
        <v>0.11933895004309111</v>
      </c>
      <c r="AL694" s="17"/>
      <c r="AM694" s="17"/>
      <c r="AN694" s="17"/>
      <c r="AO694" s="17"/>
      <c r="AP694" s="28" t="str">
        <f t="shared" si="209"/>
        <v>20203</v>
      </c>
      <c r="AQ694" s="28" t="str">
        <f t="shared" si="210"/>
        <v>20203RMB</v>
      </c>
      <c r="AR694" s="206" t="str">
        <f t="shared" si="211"/>
        <v>YAMAHA_Mounter</v>
      </c>
      <c r="AS694" s="22">
        <f t="shared" si="212"/>
        <v>0</v>
      </c>
      <c r="AT694" s="24" t="str">
        <f t="shared" si="213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8"/>
        <v>21241742.157380536</v>
      </c>
      <c r="AJ695" s="27">
        <f t="shared" si="199"/>
        <v>2987081.1613773629</v>
      </c>
      <c r="AK695" s="28">
        <f t="shared" si="208"/>
        <v>0.14062317201884914</v>
      </c>
      <c r="AL695" s="24"/>
      <c r="AM695" s="24"/>
      <c r="AN695" s="24"/>
      <c r="AO695" s="24"/>
      <c r="AP695" s="28" t="str">
        <f t="shared" si="209"/>
        <v>20243</v>
      </c>
      <c r="AQ695" s="28" t="str">
        <f t="shared" si="210"/>
        <v>20243RMB</v>
      </c>
      <c r="AR695" s="206" t="str">
        <f t="shared" si="211"/>
        <v>YAMAHA_Mounter</v>
      </c>
      <c r="AS695" s="22">
        <f t="shared" si="212"/>
        <v>1</v>
      </c>
      <c r="AT695" s="24" t="str">
        <f t="shared" si="213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8"/>
        <v>21386017.707964607</v>
      </c>
      <c r="AJ696" s="19">
        <f t="shared" si="199"/>
        <v>2238764.3265707968</v>
      </c>
      <c r="AK696" s="20">
        <f t="shared" si="208"/>
        <v>0.10468355339185161</v>
      </c>
      <c r="AL696" s="17"/>
      <c r="AM696" s="17"/>
      <c r="AN696" s="17"/>
      <c r="AO696" s="17" t="s">
        <v>704</v>
      </c>
      <c r="AP696" s="28" t="str">
        <f t="shared" si="209"/>
        <v>20198</v>
      </c>
      <c r="AQ696" s="28" t="str">
        <f t="shared" si="210"/>
        <v>20198RMB</v>
      </c>
      <c r="AR696" s="206" t="str">
        <f t="shared" si="211"/>
        <v>YAMAHA_Mounter</v>
      </c>
      <c r="AS696" s="22">
        <f t="shared" si="212"/>
        <v>3</v>
      </c>
      <c r="AT696" s="24" t="str">
        <f t="shared" si="213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8"/>
        <v>44078731.611185849</v>
      </c>
      <c r="AJ697" s="19">
        <f t="shared" si="199"/>
        <v>5508173.2163771465</v>
      </c>
      <c r="AK697" s="20">
        <f t="shared" si="208"/>
        <v>0.12496215328889679</v>
      </c>
      <c r="AL697" s="17"/>
      <c r="AM697" s="17"/>
      <c r="AN697" s="17"/>
      <c r="AO697" s="17"/>
      <c r="AP697" s="28" t="str">
        <f t="shared" si="209"/>
        <v>202011</v>
      </c>
      <c r="AQ697" s="28" t="str">
        <f t="shared" si="210"/>
        <v>202011RMB</v>
      </c>
      <c r="AR697" s="206" t="str">
        <f t="shared" si="211"/>
        <v>YAMAHA_Mounter</v>
      </c>
      <c r="AS697" s="22">
        <f t="shared" si="212"/>
        <v>2</v>
      </c>
      <c r="AT697" s="24" t="str">
        <f t="shared" si="213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8"/>
        <v>499582152.5142017</v>
      </c>
      <c r="AJ698" s="19">
        <f t="shared" si="199"/>
        <v>59520528.679470733</v>
      </c>
      <c r="AK698" s="20">
        <f t="shared" si="208"/>
        <v>0.11914062257814291</v>
      </c>
      <c r="AL698" s="17"/>
      <c r="AM698" s="17"/>
      <c r="AN698" s="17"/>
      <c r="AO698" s="17"/>
      <c r="AP698" s="28" t="str">
        <f t="shared" si="209"/>
        <v>CancelCancel</v>
      </c>
      <c r="AQ698" s="28" t="str">
        <f t="shared" si="210"/>
        <v>CancelCancelRMB</v>
      </c>
      <c r="AR698" s="206" t="str">
        <f t="shared" si="211"/>
        <v>YAMAHA_Mounter</v>
      </c>
      <c r="AS698" s="22" t="str">
        <f t="shared" si="212"/>
        <v/>
      </c>
      <c r="AT698" s="24" t="str">
        <f t="shared" si="213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8"/>
        <v>499582152.5142017</v>
      </c>
      <c r="AJ699" s="19">
        <f t="shared" si="199"/>
        <v>59520528.679470733</v>
      </c>
      <c r="AK699" s="20">
        <f t="shared" si="208"/>
        <v>0.11914062257814291</v>
      </c>
      <c r="AL699" s="17"/>
      <c r="AM699" s="17"/>
      <c r="AN699" s="17"/>
      <c r="AO699" s="17"/>
      <c r="AP699" s="28" t="str">
        <f t="shared" si="209"/>
        <v>CancelCancel</v>
      </c>
      <c r="AQ699" s="28" t="str">
        <f t="shared" si="210"/>
        <v>CancelCancelRMB</v>
      </c>
      <c r="AR699" s="206" t="str">
        <f t="shared" si="211"/>
        <v>YAMAHA_Mounter</v>
      </c>
      <c r="AS699" s="22" t="str">
        <f t="shared" si="212"/>
        <v/>
      </c>
      <c r="AT699" s="24" t="str">
        <f t="shared" si="213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198"/>
        <v>20319282.700884953</v>
      </c>
      <c r="AJ700" s="27">
        <f t="shared" si="199"/>
        <v>2408851.9638623013</v>
      </c>
      <c r="AK700" s="28">
        <f t="shared" si="208"/>
        <v>0.11855004919821259</v>
      </c>
      <c r="AL700" s="24"/>
      <c r="AM700" s="24"/>
      <c r="AN700" s="24"/>
      <c r="AO700" s="24"/>
      <c r="AP700" s="28" t="str">
        <f t="shared" si="209"/>
        <v>20244</v>
      </c>
      <c r="AQ700" s="28" t="str">
        <f t="shared" si="210"/>
        <v>20244RMB</v>
      </c>
      <c r="AR700" s="206" t="str">
        <f t="shared" si="211"/>
        <v>YAMAHA_Non_Mounter</v>
      </c>
      <c r="AS700" s="22">
        <f t="shared" si="212"/>
        <v>1</v>
      </c>
      <c r="AT700" s="24" t="str">
        <f t="shared" si="213"/>
        <v>0-3 months</v>
      </c>
      <c r="AU700" s="22" t="s">
        <v>3751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8"/>
        <v>15533177.71460177</v>
      </c>
      <c r="AJ701" s="19">
        <f t="shared" si="199"/>
        <v>1819298.5437526547</v>
      </c>
      <c r="AK701" s="20">
        <f t="shared" si="208"/>
        <v>0.11712339723265033</v>
      </c>
      <c r="AL701" s="17"/>
      <c r="AM701" s="17"/>
      <c r="AN701" s="17"/>
      <c r="AO701" s="17"/>
      <c r="AP701" s="28" t="str">
        <f t="shared" si="209"/>
        <v>202110</v>
      </c>
      <c r="AQ701" s="28" t="str">
        <f t="shared" si="210"/>
        <v>202110RMB</v>
      </c>
      <c r="AR701" s="206" t="str">
        <f t="shared" si="211"/>
        <v>LOCAL SUPPLIER</v>
      </c>
      <c r="AS701" s="22">
        <f t="shared" si="212"/>
        <v>1</v>
      </c>
      <c r="AT701" s="24" t="str">
        <f t="shared" si="213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8"/>
        <v>31296887.037898075</v>
      </c>
      <c r="AJ702" s="19">
        <f t="shared" si="199"/>
        <v>3588873.9502021763</v>
      </c>
      <c r="AK702" s="20">
        <f t="shared" si="208"/>
        <v>0.11467191436184473</v>
      </c>
      <c r="AL702" s="17"/>
      <c r="AM702" s="17"/>
      <c r="AN702" s="17"/>
      <c r="AO702" s="17"/>
      <c r="AP702" s="28" t="str">
        <f t="shared" si="209"/>
        <v>20196</v>
      </c>
      <c r="AQ702" s="28" t="str">
        <f t="shared" si="210"/>
        <v>20196RMB</v>
      </c>
      <c r="AR702" s="206" t="str">
        <f t="shared" si="211"/>
        <v>YAMAHA_Mounter</v>
      </c>
      <c r="AS702" s="22">
        <f t="shared" si="212"/>
        <v>1</v>
      </c>
      <c r="AT702" s="24" t="str">
        <f t="shared" si="213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8"/>
        <v>31296887.037898075</v>
      </c>
      <c r="AJ703" s="19">
        <f t="shared" si="199"/>
        <v>3588873.9502021763</v>
      </c>
      <c r="AK703" s="20">
        <f t="shared" si="208"/>
        <v>0.11467191436184473</v>
      </c>
      <c r="AL703" s="17"/>
      <c r="AM703" s="17"/>
      <c r="AN703" s="17"/>
      <c r="AO703" s="17"/>
      <c r="AP703" s="28" t="str">
        <f t="shared" si="209"/>
        <v>20196</v>
      </c>
      <c r="AQ703" s="28" t="str">
        <f t="shared" si="210"/>
        <v>20196RMB</v>
      </c>
      <c r="AR703" s="206" t="str">
        <f t="shared" si="211"/>
        <v>YAMAHA_Mounter</v>
      </c>
      <c r="AS703" s="22">
        <f t="shared" si="212"/>
        <v>1</v>
      </c>
      <c r="AT703" s="24" t="str">
        <f t="shared" si="213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5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8"/>
        <v>45803245.025628321</v>
      </c>
      <c r="AJ704" s="19">
        <f t="shared" si="199"/>
        <v>5664636.2584379362</v>
      </c>
      <c r="AK704" s="20">
        <f t="shared" si="208"/>
        <v>0.12367325186825515</v>
      </c>
      <c r="AL704" s="17"/>
      <c r="AM704" s="17"/>
      <c r="AN704" s="17"/>
      <c r="AO704" s="17"/>
      <c r="AP704" s="28" t="str">
        <f t="shared" si="209"/>
        <v>20211</v>
      </c>
      <c r="AQ704" s="28" t="str">
        <f t="shared" si="210"/>
        <v>20211RMB</v>
      </c>
      <c r="AR704" s="206" t="str">
        <f t="shared" si="211"/>
        <v>YAMAHA_Mounter</v>
      </c>
      <c r="AS704" s="22">
        <f t="shared" si="212"/>
        <v>3</v>
      </c>
      <c r="AT704" s="24" t="str">
        <f t="shared" si="213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5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8"/>
        <v>28726768.133805312</v>
      </c>
      <c r="AJ705" s="19">
        <f t="shared" si="199"/>
        <v>3853638.1988864429</v>
      </c>
      <c r="AK705" s="20">
        <f t="shared" si="208"/>
        <v>0.1341479898099476</v>
      </c>
      <c r="AL705" s="17"/>
      <c r="AM705" s="17"/>
      <c r="AN705" s="17"/>
      <c r="AO705" s="17"/>
      <c r="AP705" s="28" t="str">
        <f t="shared" si="209"/>
        <v>20223</v>
      </c>
      <c r="AQ705" s="28" t="str">
        <f t="shared" si="210"/>
        <v>20223RMB</v>
      </c>
      <c r="AR705" s="206" t="str">
        <f t="shared" si="211"/>
        <v>YAMAHA_Mounter</v>
      </c>
      <c r="AS705" s="22">
        <f t="shared" si="212"/>
        <v>1</v>
      </c>
      <c r="AT705" s="24" t="str">
        <f t="shared" si="213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5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6">IF(P706="C66 SERVICE","",SUMIFS(AB:AB,F:F,F706,G:G,G706,E:E,E706))</f>
        <v>36480247.665929198</v>
      </c>
      <c r="AJ706" s="19">
        <f t="shared" ref="AJ706:AJ769" si="217">IF(P706="C66 SERVICE","",SUMIFS(AC:AC,F:F,F706,G:G,G706,E:E,E706))</f>
        <v>5330996.6372757526</v>
      </c>
      <c r="AK706" s="20">
        <f t="shared" si="208"/>
        <v>0.14613378412599562</v>
      </c>
      <c r="AL706" s="17"/>
      <c r="AM706" s="17"/>
      <c r="AN706" s="17"/>
      <c r="AO706" s="17"/>
      <c r="AP706" s="28" t="str">
        <f t="shared" si="209"/>
        <v>20227</v>
      </c>
      <c r="AQ706" s="28" t="str">
        <f t="shared" si="210"/>
        <v>20227RMB</v>
      </c>
      <c r="AR706" s="206" t="str">
        <f t="shared" si="211"/>
        <v>YAMAHA_Mounter</v>
      </c>
      <c r="AS706" s="22">
        <f t="shared" si="212"/>
        <v>1</v>
      </c>
      <c r="AT706" s="24" t="str">
        <f t="shared" si="213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5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6"/>
        <v>57778307.282035396</v>
      </c>
      <c r="AJ707" s="19">
        <f t="shared" si="217"/>
        <v>7259860.7225420559</v>
      </c>
      <c r="AK707" s="20">
        <f t="shared" si="208"/>
        <v>0.12565028406083667</v>
      </c>
      <c r="AL707" s="17"/>
      <c r="AM707" s="17"/>
      <c r="AN707" s="17"/>
      <c r="AO707" s="17"/>
      <c r="AP707" s="28" t="str">
        <f t="shared" si="209"/>
        <v>20213</v>
      </c>
      <c r="AQ707" s="28" t="str">
        <f t="shared" si="210"/>
        <v>20213RMB</v>
      </c>
      <c r="AR707" s="206" t="str">
        <f t="shared" si="211"/>
        <v>YAMAHA_Mounter</v>
      </c>
      <c r="AS707" s="22">
        <f t="shared" si="212"/>
        <v>3</v>
      </c>
      <c r="AT707" s="24" t="str">
        <f t="shared" si="213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5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6"/>
        <v>57778307.282035396</v>
      </c>
      <c r="AJ708" s="19">
        <f t="shared" si="217"/>
        <v>7259860.7225420559</v>
      </c>
      <c r="AK708" s="20">
        <f t="shared" si="208"/>
        <v>0.12565028406083667</v>
      </c>
      <c r="AL708" s="17"/>
      <c r="AM708" s="17"/>
      <c r="AN708" s="17"/>
      <c r="AO708" s="17"/>
      <c r="AP708" s="28" t="str">
        <f t="shared" si="209"/>
        <v>20213</v>
      </c>
      <c r="AQ708" s="28" t="str">
        <f t="shared" si="210"/>
        <v>20213RMB</v>
      </c>
      <c r="AR708" s="206" t="str">
        <f t="shared" si="211"/>
        <v>YAMAHA_Mounter</v>
      </c>
      <c r="AS708" s="22">
        <f t="shared" si="212"/>
        <v>3</v>
      </c>
      <c r="AT708" s="24" t="str">
        <f t="shared" si="213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5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6"/>
        <v>57778307.282035396</v>
      </c>
      <c r="AJ709" s="19">
        <f t="shared" si="217"/>
        <v>7259860.7225420559</v>
      </c>
      <c r="AK709" s="20">
        <f t="shared" si="208"/>
        <v>0.12565028406083667</v>
      </c>
      <c r="AL709" s="17"/>
      <c r="AM709" s="17"/>
      <c r="AN709" s="17"/>
      <c r="AO709" s="17"/>
      <c r="AP709" s="28" t="str">
        <f t="shared" si="209"/>
        <v>20213</v>
      </c>
      <c r="AQ709" s="28" t="str">
        <f t="shared" si="210"/>
        <v>20213RMB</v>
      </c>
      <c r="AR709" s="206" t="str">
        <f t="shared" si="211"/>
        <v>YAMAHA_Mounter</v>
      </c>
      <c r="AS709" s="22">
        <f t="shared" si="212"/>
        <v>1</v>
      </c>
      <c r="AT709" s="24" t="str">
        <f t="shared" si="213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5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6"/>
        <v>35682787.057522126</v>
      </c>
      <c r="AJ710" s="19">
        <f t="shared" si="217"/>
        <v>5833368.3789623892</v>
      </c>
      <c r="AK710" s="20">
        <f t="shared" ref="AK710:AK773" si="226">IF(AJ710&gt;0,AJ710/AI710,"")</f>
        <v>0.16347849649632912</v>
      </c>
      <c r="AL710" s="17"/>
      <c r="AM710" s="17"/>
      <c r="AN710" s="17"/>
      <c r="AO710" s="17"/>
      <c r="AP710" s="28" t="str">
        <f t="shared" ref="AP710:AP773" si="227">IF(F710="","",F710&amp;G710)</f>
        <v>20226</v>
      </c>
      <c r="AQ710" s="28" t="str">
        <f t="shared" ref="AQ710:AQ773" si="228">IF(W710="","",F710&amp;G710&amp;W710)</f>
        <v>20226RMB</v>
      </c>
      <c r="AR710" s="206" t="str">
        <f t="shared" ref="AR710:AR773" si="229">IFERROR(IF(AND(M710="YAMAHA", R710="C28"), "YAMAHA_Non_Mounter", IF(AND(M710="YAMAHA", R710="C49"), "YAMAHA_Mounter", M710)),"")</f>
        <v>YAMAHA_Mounter</v>
      </c>
      <c r="AS710" s="22">
        <f t="shared" ref="AS710:AS773" si="230">IFERROR(IF(OR(G710="TBA", G710=""), "", DATEDIF(DATE(B710, C710, 1), DATE(F710, G710, 1), "M")),"")</f>
        <v>1</v>
      </c>
      <c r="AT710" s="24" t="str">
        <f t="shared" ref="AT710:AT773" si="231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5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6"/>
        <v>36480247.665929198</v>
      </c>
      <c r="AJ711" s="19">
        <f t="shared" si="217"/>
        <v>5330996.6372757526</v>
      </c>
      <c r="AK711" s="20">
        <f t="shared" si="226"/>
        <v>0.14613378412599562</v>
      </c>
      <c r="AL711" s="17"/>
      <c r="AM711" s="17"/>
      <c r="AN711" s="17"/>
      <c r="AO711" s="17"/>
      <c r="AP711" s="28" t="str">
        <f t="shared" si="227"/>
        <v>20227</v>
      </c>
      <c r="AQ711" s="28" t="str">
        <f t="shared" si="228"/>
        <v>20227RMB</v>
      </c>
      <c r="AR711" s="206" t="str">
        <f t="shared" si="229"/>
        <v>LOCAL SUPPLIER</v>
      </c>
      <c r="AS711" s="22">
        <f t="shared" si="230"/>
        <v>1</v>
      </c>
      <c r="AT711" s="24" t="str">
        <f t="shared" si="231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5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6"/>
        <v>36480247.665929198</v>
      </c>
      <c r="AJ712" s="19">
        <f t="shared" si="217"/>
        <v>5330996.6372757526</v>
      </c>
      <c r="AK712" s="20">
        <f t="shared" si="226"/>
        <v>0.14613378412599562</v>
      </c>
      <c r="AL712" s="17"/>
      <c r="AM712" s="17"/>
      <c r="AN712" s="17"/>
      <c r="AO712" s="17"/>
      <c r="AP712" s="28" t="str">
        <f t="shared" si="227"/>
        <v>20227</v>
      </c>
      <c r="AQ712" s="28" t="str">
        <f t="shared" si="228"/>
        <v>20227RMB</v>
      </c>
      <c r="AR712" s="206" t="str">
        <f t="shared" si="229"/>
        <v>LOCAL SUPPLIER</v>
      </c>
      <c r="AS712" s="22">
        <f t="shared" si="230"/>
        <v>1</v>
      </c>
      <c r="AT712" s="24" t="str">
        <f t="shared" si="231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6"/>
        <v>16455710.386637932</v>
      </c>
      <c r="AJ713" s="19">
        <f t="shared" si="217"/>
        <v>2150644.6466930606</v>
      </c>
      <c r="AK713" s="20">
        <f t="shared" si="226"/>
        <v>0.13069290818580451</v>
      </c>
      <c r="AL713" s="17"/>
      <c r="AM713" s="17"/>
      <c r="AN713" s="17"/>
      <c r="AO713" s="17"/>
      <c r="AP713" s="28" t="str">
        <f t="shared" si="227"/>
        <v>20192</v>
      </c>
      <c r="AQ713" s="28" t="str">
        <f t="shared" si="228"/>
        <v>20192RMB</v>
      </c>
      <c r="AR713" s="206" t="str">
        <f t="shared" si="229"/>
        <v>YAMAHA_Mounter</v>
      </c>
      <c r="AS713" s="22">
        <f t="shared" si="230"/>
        <v>2</v>
      </c>
      <c r="AT713" s="24" t="str">
        <f t="shared" si="231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6"/>
        <v>16455710.386637932</v>
      </c>
      <c r="AJ714" s="19">
        <f t="shared" si="217"/>
        <v>2150644.6466930606</v>
      </c>
      <c r="AK714" s="20">
        <f t="shared" si="226"/>
        <v>0.13069290818580451</v>
      </c>
      <c r="AL714" s="17"/>
      <c r="AM714" s="17"/>
      <c r="AN714" s="17"/>
      <c r="AO714" s="17"/>
      <c r="AP714" s="28" t="str">
        <f t="shared" si="227"/>
        <v>20192</v>
      </c>
      <c r="AQ714" s="28" t="str">
        <f t="shared" si="228"/>
        <v>20192RMB</v>
      </c>
      <c r="AR714" s="206" t="str">
        <f t="shared" si="229"/>
        <v>YAMAHA_Mounter</v>
      </c>
      <c r="AS714" s="22">
        <f t="shared" si="230"/>
        <v>2</v>
      </c>
      <c r="AT714" s="24" t="str">
        <f t="shared" si="231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6"/>
        <v>29288201.603076916</v>
      </c>
      <c r="AJ715" s="19">
        <f t="shared" si="217"/>
        <v>3870159.1769246152</v>
      </c>
      <c r="AK715" s="20">
        <f t="shared" si="226"/>
        <v>0.13214055370740244</v>
      </c>
      <c r="AL715" s="17"/>
      <c r="AM715" s="17"/>
      <c r="AN715" s="17"/>
      <c r="AO715" s="17"/>
      <c r="AP715" s="28" t="str">
        <f t="shared" si="227"/>
        <v>20184</v>
      </c>
      <c r="AQ715" s="28" t="str">
        <f t="shared" si="228"/>
        <v>20184RMB</v>
      </c>
      <c r="AR715" s="206" t="str">
        <f t="shared" si="229"/>
        <v>YAMAHA_Mounter</v>
      </c>
      <c r="AS715" s="22">
        <f t="shared" si="230"/>
        <v>3</v>
      </c>
      <c r="AT715" s="24" t="str">
        <f t="shared" si="231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6"/>
        <v>17329060.066371687</v>
      </c>
      <c r="AJ716" s="19">
        <f t="shared" si="217"/>
        <v>2472600.2142256643</v>
      </c>
      <c r="AK716" s="20">
        <f t="shared" si="226"/>
        <v>0.14268518919984163</v>
      </c>
      <c r="AL716" s="17"/>
      <c r="AM716" s="17"/>
      <c r="AN716" s="17"/>
      <c r="AO716" s="17"/>
      <c r="AP716" s="28" t="str">
        <f t="shared" si="227"/>
        <v>202212</v>
      </c>
      <c r="AQ716" s="28" t="str">
        <f t="shared" si="228"/>
        <v>202212RMB</v>
      </c>
      <c r="AR716" s="206" t="str">
        <f t="shared" si="229"/>
        <v>YAMAHA_Mounter</v>
      </c>
      <c r="AS716" s="22">
        <f t="shared" si="230"/>
        <v>1</v>
      </c>
      <c r="AT716" s="24" t="str">
        <f t="shared" si="231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6"/>
        <v>43684091.636631854</v>
      </c>
      <c r="AJ717" s="19">
        <f t="shared" si="217"/>
        <v>6483951.8242071122</v>
      </c>
      <c r="AK717" s="20">
        <f t="shared" si="226"/>
        <v>0.14842821680123736</v>
      </c>
      <c r="AL717" s="17"/>
      <c r="AM717" s="17"/>
      <c r="AN717" s="17"/>
      <c r="AO717" s="17"/>
      <c r="AP717" s="28" t="str">
        <f t="shared" si="227"/>
        <v>20214</v>
      </c>
      <c r="AQ717" s="28" t="str">
        <f t="shared" si="228"/>
        <v>20214RMB</v>
      </c>
      <c r="AR717" s="206" t="str">
        <f t="shared" si="229"/>
        <v>YAMAHA_Mounter</v>
      </c>
      <c r="AS717" s="22">
        <f t="shared" si="230"/>
        <v>3</v>
      </c>
      <c r="AT717" s="24" t="str">
        <f t="shared" si="231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6"/>
        <v>43684091.636631854</v>
      </c>
      <c r="AJ718" s="19">
        <f t="shared" si="217"/>
        <v>6483951.8242071122</v>
      </c>
      <c r="AK718" s="20">
        <f t="shared" si="226"/>
        <v>0.14842821680123736</v>
      </c>
      <c r="AL718" s="17"/>
      <c r="AM718" s="17"/>
      <c r="AN718" s="17"/>
      <c r="AO718" s="17"/>
      <c r="AP718" s="28" t="str">
        <f t="shared" si="227"/>
        <v>20214</v>
      </c>
      <c r="AQ718" s="28" t="str">
        <f t="shared" si="228"/>
        <v>20214RMB</v>
      </c>
      <c r="AR718" s="206" t="str">
        <f t="shared" si="229"/>
        <v>YAMAHA_Mounter</v>
      </c>
      <c r="AS718" s="22">
        <f t="shared" si="230"/>
        <v>3</v>
      </c>
      <c r="AT718" s="24" t="str">
        <f t="shared" si="231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6"/>
        <v>48763143.537654862</v>
      </c>
      <c r="AJ719" s="19">
        <f t="shared" si="217"/>
        <v>5924029.9702154724</v>
      </c>
      <c r="AK719" s="20">
        <f t="shared" si="226"/>
        <v>0.1214858095774925</v>
      </c>
      <c r="AL719" s="17"/>
      <c r="AM719" s="17"/>
      <c r="AN719" s="17"/>
      <c r="AO719" s="17"/>
      <c r="AP719" s="28" t="str">
        <f t="shared" si="227"/>
        <v>202012</v>
      </c>
      <c r="AQ719" s="28" t="str">
        <f t="shared" si="228"/>
        <v>202012RMB</v>
      </c>
      <c r="AR719" s="206" t="str">
        <f t="shared" si="229"/>
        <v>YAMAHA_Mounter</v>
      </c>
      <c r="AS719" s="22">
        <f t="shared" si="230"/>
        <v>3</v>
      </c>
      <c r="AT719" s="24" t="str">
        <f t="shared" si="231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6"/>
        <v>48763143.537654862</v>
      </c>
      <c r="AJ720" s="19">
        <f t="shared" si="217"/>
        <v>5924029.9702154724</v>
      </c>
      <c r="AK720" s="20">
        <f t="shared" si="226"/>
        <v>0.1214858095774925</v>
      </c>
      <c r="AL720" s="17"/>
      <c r="AM720" s="17"/>
      <c r="AN720" s="17"/>
      <c r="AO720" s="17"/>
      <c r="AP720" s="28" t="str">
        <f t="shared" si="227"/>
        <v>202012</v>
      </c>
      <c r="AQ720" s="28" t="str">
        <f t="shared" si="228"/>
        <v>202012RMB</v>
      </c>
      <c r="AR720" s="206" t="str">
        <f t="shared" si="229"/>
        <v>YAMAHA_Mounter</v>
      </c>
      <c r="AS720" s="22">
        <f t="shared" si="230"/>
        <v>3</v>
      </c>
      <c r="AT720" s="24" t="str">
        <f t="shared" si="231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16"/>
        <v>20319282.700884953</v>
      </c>
      <c r="AJ721" s="27">
        <f t="shared" si="217"/>
        <v>2408851.9638623013</v>
      </c>
      <c r="AK721" s="28">
        <f t="shared" si="226"/>
        <v>0.11855004919821259</v>
      </c>
      <c r="AL721" s="24"/>
      <c r="AM721" s="24"/>
      <c r="AN721" s="24"/>
      <c r="AO721" s="24"/>
      <c r="AP721" s="28" t="str">
        <f t="shared" si="227"/>
        <v>20244</v>
      </c>
      <c r="AQ721" s="28" t="str">
        <f t="shared" si="228"/>
        <v>20244USD</v>
      </c>
      <c r="AR721" s="206" t="str">
        <f t="shared" si="229"/>
        <v>YAMAHA_Mounter</v>
      </c>
      <c r="AS721" s="22">
        <f t="shared" si="230"/>
        <v>3</v>
      </c>
      <c r="AT721" s="24" t="str">
        <f t="shared" si="231"/>
        <v>0-3 months</v>
      </c>
      <c r="AU721" s="22" t="s">
        <v>3746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6"/>
        <v>26754147.763010349</v>
      </c>
      <c r="AJ722" s="19">
        <f t="shared" si="217"/>
        <v>3429137.9965357962</v>
      </c>
      <c r="AK722" s="20">
        <f t="shared" si="226"/>
        <v>0.12817220069617921</v>
      </c>
      <c r="AL722" s="17"/>
      <c r="AM722" s="17"/>
      <c r="AN722" s="17"/>
      <c r="AO722" s="17"/>
      <c r="AP722" s="28" t="str">
        <f t="shared" si="227"/>
        <v>20188</v>
      </c>
      <c r="AQ722" s="28" t="str">
        <f t="shared" si="228"/>
        <v>20188RMB</v>
      </c>
      <c r="AR722" s="206" t="str">
        <f t="shared" si="229"/>
        <v>YAMAHA_Mounter</v>
      </c>
      <c r="AS722" s="22">
        <f t="shared" si="230"/>
        <v>3</v>
      </c>
      <c r="AT722" s="24" t="str">
        <f t="shared" si="231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6"/>
        <v>26754147.763010349</v>
      </c>
      <c r="AJ723" s="19">
        <f t="shared" si="217"/>
        <v>3429137.9965357962</v>
      </c>
      <c r="AK723" s="20">
        <f t="shared" si="226"/>
        <v>0.12817220069617921</v>
      </c>
      <c r="AL723" s="17"/>
      <c r="AM723" s="17"/>
      <c r="AN723" s="17"/>
      <c r="AO723" s="17"/>
      <c r="AP723" s="28" t="str">
        <f t="shared" si="227"/>
        <v>20188</v>
      </c>
      <c r="AQ723" s="28" t="str">
        <f t="shared" si="228"/>
        <v>20188RMB</v>
      </c>
      <c r="AR723" s="206" t="str">
        <f t="shared" si="229"/>
        <v>YAMAHA_Mounter</v>
      </c>
      <c r="AS723" s="22">
        <f t="shared" si="230"/>
        <v>3</v>
      </c>
      <c r="AT723" s="24" t="str">
        <f t="shared" si="231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6"/>
        <v>26754147.763010349</v>
      </c>
      <c r="AJ724" s="19">
        <f t="shared" si="217"/>
        <v>3429137.9965357962</v>
      </c>
      <c r="AK724" s="20">
        <f t="shared" si="226"/>
        <v>0.12817220069617921</v>
      </c>
      <c r="AL724" s="17"/>
      <c r="AM724" s="17"/>
      <c r="AN724" s="17"/>
      <c r="AO724" s="17"/>
      <c r="AP724" s="28" t="str">
        <f t="shared" si="227"/>
        <v>20188</v>
      </c>
      <c r="AQ724" s="28" t="str">
        <f t="shared" si="228"/>
        <v>20188RMB</v>
      </c>
      <c r="AR724" s="206" t="str">
        <f t="shared" si="229"/>
        <v>YAMAHA_Mounter</v>
      </c>
      <c r="AS724" s="22">
        <f t="shared" si="230"/>
        <v>3</v>
      </c>
      <c r="AT724" s="24" t="str">
        <f t="shared" si="231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2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6"/>
        <v>54700260.692079648</v>
      </c>
      <c r="AJ725" s="19">
        <f t="shared" si="217"/>
        <v>7482899.5749188727</v>
      </c>
      <c r="AK725" s="20">
        <f t="shared" si="226"/>
        <v>0.13679824337660537</v>
      </c>
      <c r="AL725" s="17"/>
      <c r="AM725" s="17"/>
      <c r="AN725" s="17"/>
      <c r="AO725" s="17"/>
      <c r="AP725" s="28" t="str">
        <f t="shared" si="227"/>
        <v>20216</v>
      </c>
      <c r="AQ725" s="28" t="str">
        <f t="shared" si="228"/>
        <v>20216JPY</v>
      </c>
      <c r="AR725" s="206" t="str">
        <f t="shared" si="229"/>
        <v>YAMAHA_Mounter</v>
      </c>
      <c r="AS725" s="22">
        <f t="shared" si="230"/>
        <v>1</v>
      </c>
      <c r="AT725" s="24" t="str">
        <f t="shared" si="231"/>
        <v>0-3 months</v>
      </c>
      <c r="AU725" s="22" t="s">
        <v>3745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2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6"/>
        <v>47458373.787610628</v>
      </c>
      <c r="AJ726" s="19">
        <f t="shared" si="217"/>
        <v>7436880.1411522133</v>
      </c>
      <c r="AK726" s="20">
        <f t="shared" si="226"/>
        <v>0.15670322321692506</v>
      </c>
      <c r="AL726" s="17"/>
      <c r="AM726" s="17"/>
      <c r="AN726" s="17"/>
      <c r="AO726" s="17"/>
      <c r="AP726" s="28" t="str">
        <f t="shared" si="227"/>
        <v>20218</v>
      </c>
      <c r="AQ726" s="28" t="str">
        <f t="shared" si="228"/>
        <v>20218JPY</v>
      </c>
      <c r="AR726" s="206" t="str">
        <f t="shared" si="229"/>
        <v>YAMAHA_Mounter</v>
      </c>
      <c r="AS726" s="22">
        <f t="shared" si="230"/>
        <v>3</v>
      </c>
      <c r="AT726" s="24" t="str">
        <f t="shared" si="231"/>
        <v>0-3 months</v>
      </c>
      <c r="AU726" s="22" t="s">
        <v>3745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2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6"/>
        <v>28726768.133805312</v>
      </c>
      <c r="AJ727" s="19">
        <f t="shared" si="217"/>
        <v>3853638.1988864429</v>
      </c>
      <c r="AK727" s="20">
        <f t="shared" si="226"/>
        <v>0.1341479898099476</v>
      </c>
      <c r="AL727" s="17"/>
      <c r="AM727" s="17"/>
      <c r="AN727" s="17"/>
      <c r="AO727" s="17"/>
      <c r="AP727" s="28" t="str">
        <f t="shared" si="227"/>
        <v>20223</v>
      </c>
      <c r="AQ727" s="28" t="str">
        <f t="shared" si="228"/>
        <v>20223JPY</v>
      </c>
      <c r="AR727" s="206" t="str">
        <f t="shared" si="229"/>
        <v>YAMAHA_Mounter</v>
      </c>
      <c r="AS727" s="22">
        <f t="shared" si="230"/>
        <v>10</v>
      </c>
      <c r="AT727" s="24" t="str">
        <f t="shared" si="231"/>
        <v>&gt; 6 months</v>
      </c>
      <c r="AU727" s="22" t="s">
        <v>3745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2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6"/>
        <v>28726768.133805312</v>
      </c>
      <c r="AJ728" s="19">
        <f t="shared" si="217"/>
        <v>3853638.1988864429</v>
      </c>
      <c r="AK728" s="20">
        <f t="shared" si="226"/>
        <v>0.1341479898099476</v>
      </c>
      <c r="AL728" s="17"/>
      <c r="AM728" s="17"/>
      <c r="AN728" s="17"/>
      <c r="AO728" s="17"/>
      <c r="AP728" s="28" t="str">
        <f t="shared" si="227"/>
        <v>20223</v>
      </c>
      <c r="AQ728" s="28" t="str">
        <f t="shared" si="228"/>
        <v>20223JPY</v>
      </c>
      <c r="AR728" s="206" t="str">
        <f t="shared" si="229"/>
        <v>YAMAHA_Mounter</v>
      </c>
      <c r="AS728" s="22">
        <f t="shared" si="230"/>
        <v>10</v>
      </c>
      <c r="AT728" s="24" t="str">
        <f t="shared" si="231"/>
        <v>&gt; 6 months</v>
      </c>
      <c r="AU728" s="22" t="s">
        <v>3745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2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6"/>
        <v>46600814.041769907</v>
      </c>
      <c r="AJ729" s="19">
        <f t="shared" si="217"/>
        <v>5956366.3435927071</v>
      </c>
      <c r="AK729" s="20">
        <f t="shared" si="226"/>
        <v>0.1278167874546958</v>
      </c>
      <c r="AL729" s="17"/>
      <c r="AM729" s="17"/>
      <c r="AN729" s="17"/>
      <c r="AO729" s="17"/>
      <c r="AP729" s="28" t="str">
        <f t="shared" si="227"/>
        <v>20224</v>
      </c>
      <c r="AQ729" s="28" t="str">
        <f t="shared" si="228"/>
        <v>20224JPY</v>
      </c>
      <c r="AR729" s="206" t="str">
        <f t="shared" si="229"/>
        <v>YAMAHA_Mounter</v>
      </c>
      <c r="AS729" s="22">
        <f t="shared" si="230"/>
        <v>11</v>
      </c>
      <c r="AT729" s="24" t="str">
        <f t="shared" si="231"/>
        <v>&gt; 6 months</v>
      </c>
      <c r="AU729" s="22" t="s">
        <v>3745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2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6"/>
        <v>46600814.041769907</v>
      </c>
      <c r="AJ730" s="19">
        <f t="shared" si="217"/>
        <v>5956366.3435927071</v>
      </c>
      <c r="AK730" s="20">
        <f t="shared" si="226"/>
        <v>0.1278167874546958</v>
      </c>
      <c r="AL730" s="17"/>
      <c r="AM730" s="17"/>
      <c r="AN730" s="17"/>
      <c r="AO730" s="17"/>
      <c r="AP730" s="28" t="str">
        <f t="shared" si="227"/>
        <v>20224</v>
      </c>
      <c r="AQ730" s="28" t="str">
        <f t="shared" si="228"/>
        <v>20224JPY</v>
      </c>
      <c r="AR730" s="206" t="str">
        <f t="shared" si="229"/>
        <v>YAMAHA_Mounter</v>
      </c>
      <c r="AS730" s="22">
        <f t="shared" si="230"/>
        <v>11</v>
      </c>
      <c r="AT730" s="24" t="str">
        <f t="shared" si="231"/>
        <v>&gt; 6 months</v>
      </c>
      <c r="AU730" s="22" t="s">
        <v>3745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6"/>
        <v>34109166.105589926</v>
      </c>
      <c r="AJ731" s="19">
        <f t="shared" si="217"/>
        <v>4642032.7199573703</v>
      </c>
      <c r="AK731" s="20">
        <f t="shared" si="226"/>
        <v>0.13609340977692849</v>
      </c>
      <c r="AL731" s="17"/>
      <c r="AM731" s="17"/>
      <c r="AN731" s="17"/>
      <c r="AO731" s="17"/>
      <c r="AP731" s="28" t="str">
        <f t="shared" si="227"/>
        <v>20185</v>
      </c>
      <c r="AQ731" s="28" t="str">
        <f t="shared" si="228"/>
        <v>20185RMB</v>
      </c>
      <c r="AR731" s="206" t="str">
        <f t="shared" si="229"/>
        <v>YAMAHA_Mounter</v>
      </c>
      <c r="AS731" s="22">
        <f t="shared" si="230"/>
        <v>1</v>
      </c>
      <c r="AT731" s="24" t="str">
        <f t="shared" si="231"/>
        <v>0-3 months</v>
      </c>
      <c r="AU731" s="22" t="s">
        <v>3744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6"/>
        <v>31097187.02948761</v>
      </c>
      <c r="AJ732" s="19">
        <f t="shared" si="217"/>
        <v>3892353.6644401965</v>
      </c>
      <c r="AK732" s="20">
        <f t="shared" si="226"/>
        <v>0.12516738767237401</v>
      </c>
      <c r="AL732" s="17"/>
      <c r="AM732" s="17"/>
      <c r="AN732" s="17"/>
      <c r="AO732" s="17"/>
      <c r="AP732" s="28" t="str">
        <f t="shared" si="227"/>
        <v>20212</v>
      </c>
      <c r="AQ732" s="28" t="str">
        <f t="shared" si="228"/>
        <v>20212JPY</v>
      </c>
      <c r="AR732" s="206" t="str">
        <f t="shared" si="229"/>
        <v>YAMAHA_Mounter</v>
      </c>
      <c r="AS732" s="22">
        <f t="shared" si="230"/>
        <v>1</v>
      </c>
      <c r="AT732" s="24" t="str">
        <f t="shared" si="231"/>
        <v>0-3 months</v>
      </c>
      <c r="AU732" s="22" t="s">
        <v>3745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6"/>
        <v>499582152.5142017</v>
      </c>
      <c r="AJ733" s="19">
        <f t="shared" si="217"/>
        <v>59520528.679470733</v>
      </c>
      <c r="AK733" s="20">
        <f t="shared" si="226"/>
        <v>0.11914062257814291</v>
      </c>
      <c r="AL733" s="17"/>
      <c r="AM733" s="17"/>
      <c r="AN733" s="17"/>
      <c r="AO733" s="17"/>
      <c r="AP733" s="28" t="str">
        <f t="shared" si="227"/>
        <v>CancelCancel</v>
      </c>
      <c r="AQ733" s="28" t="str">
        <f t="shared" si="228"/>
        <v>CancelCancelJPY</v>
      </c>
      <c r="AR733" s="206" t="str">
        <f t="shared" si="229"/>
        <v>YAMAHA_Mounter</v>
      </c>
      <c r="AS733" s="22" t="str">
        <f t="shared" si="230"/>
        <v/>
      </c>
      <c r="AT733" s="24" t="str">
        <f t="shared" si="231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6"/>
        <v>499582152.5142017</v>
      </c>
      <c r="AJ734" s="19">
        <f t="shared" si="217"/>
        <v>59520528.679470733</v>
      </c>
      <c r="AK734" s="20">
        <f t="shared" si="226"/>
        <v>0.11914062257814291</v>
      </c>
      <c r="AL734" s="17"/>
      <c r="AM734" s="17"/>
      <c r="AN734" s="17"/>
      <c r="AO734" s="17"/>
      <c r="AP734" s="28" t="str">
        <f t="shared" si="227"/>
        <v>CancelCancel</v>
      </c>
      <c r="AQ734" s="28" t="str">
        <f t="shared" si="228"/>
        <v>CancelCancelJPY</v>
      </c>
      <c r="AR734" s="206" t="str">
        <f t="shared" si="229"/>
        <v>YAMAHA_Mounter</v>
      </c>
      <c r="AS734" s="22" t="str">
        <f t="shared" si="230"/>
        <v/>
      </c>
      <c r="AT734" s="24" t="str">
        <f t="shared" si="231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3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6"/>
        <v>43684091.636631854</v>
      </c>
      <c r="AJ735" s="19">
        <f t="shared" si="217"/>
        <v>6483951.8242071122</v>
      </c>
      <c r="AK735" s="20">
        <f t="shared" si="226"/>
        <v>0.14842821680123736</v>
      </c>
      <c r="AL735" s="17"/>
      <c r="AM735" s="17"/>
      <c r="AN735" s="17"/>
      <c r="AO735" s="17"/>
      <c r="AP735" s="28" t="str">
        <f t="shared" si="227"/>
        <v>20214</v>
      </c>
      <c r="AQ735" s="28" t="str">
        <f t="shared" si="228"/>
        <v>20214JPY</v>
      </c>
      <c r="AR735" s="206" t="str">
        <f t="shared" si="229"/>
        <v>YAMAHA_Mounter</v>
      </c>
      <c r="AS735" s="22">
        <f t="shared" si="230"/>
        <v>1</v>
      </c>
      <c r="AT735" s="24" t="str">
        <f t="shared" si="231"/>
        <v>0-3 months</v>
      </c>
      <c r="AU735" s="22" t="s">
        <v>3746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3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6"/>
        <v>43684091.636631854</v>
      </c>
      <c r="AJ736" s="19">
        <f t="shared" si="217"/>
        <v>6483951.8242071122</v>
      </c>
      <c r="AK736" s="20">
        <f t="shared" si="226"/>
        <v>0.14842821680123736</v>
      </c>
      <c r="AL736" s="17"/>
      <c r="AM736" s="17"/>
      <c r="AN736" s="17"/>
      <c r="AO736" s="17"/>
      <c r="AP736" s="28" t="str">
        <f t="shared" si="227"/>
        <v>20214</v>
      </c>
      <c r="AQ736" s="28" t="str">
        <f t="shared" si="228"/>
        <v>20214JPY</v>
      </c>
      <c r="AR736" s="206" t="str">
        <f t="shared" si="229"/>
        <v>YAMAHA_Mounter</v>
      </c>
      <c r="AS736" s="22">
        <f t="shared" si="230"/>
        <v>1</v>
      </c>
      <c r="AT736" s="24" t="str">
        <f t="shared" si="231"/>
        <v>0-3 months</v>
      </c>
      <c r="AU736" s="22" t="s">
        <v>3746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3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6"/>
        <v>46600814.041769907</v>
      </c>
      <c r="AJ737" s="19">
        <f t="shared" si="217"/>
        <v>5956366.3435927071</v>
      </c>
      <c r="AK737" s="20">
        <f t="shared" si="226"/>
        <v>0.1278167874546958</v>
      </c>
      <c r="AL737" s="17"/>
      <c r="AM737" s="17"/>
      <c r="AN737" s="17"/>
      <c r="AO737" s="17"/>
      <c r="AP737" s="28" t="str">
        <f t="shared" si="227"/>
        <v>20224</v>
      </c>
      <c r="AQ737" s="28" t="str">
        <f t="shared" si="228"/>
        <v>20224JPY</v>
      </c>
      <c r="AR737" s="206" t="str">
        <f t="shared" si="229"/>
        <v>YAMAHA_Mounter</v>
      </c>
      <c r="AS737" s="22">
        <f t="shared" si="230"/>
        <v>7</v>
      </c>
      <c r="AT737" s="24" t="str">
        <f t="shared" si="231"/>
        <v>&gt; 6 months</v>
      </c>
      <c r="AU737" s="22" t="s">
        <v>3745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3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6"/>
        <v>46600814.041769907</v>
      </c>
      <c r="AJ738" s="19">
        <f t="shared" si="217"/>
        <v>5956366.3435927071</v>
      </c>
      <c r="AK738" s="20">
        <f t="shared" si="226"/>
        <v>0.1278167874546958</v>
      </c>
      <c r="AL738" s="17"/>
      <c r="AM738" s="17"/>
      <c r="AN738" s="17"/>
      <c r="AO738" s="17"/>
      <c r="AP738" s="28" t="str">
        <f t="shared" si="227"/>
        <v>20224</v>
      </c>
      <c r="AQ738" s="28" t="str">
        <f t="shared" si="228"/>
        <v>20224JPY</v>
      </c>
      <c r="AR738" s="206" t="str">
        <f t="shared" si="229"/>
        <v>YAMAHA_Mounter</v>
      </c>
      <c r="AS738" s="22">
        <f t="shared" si="230"/>
        <v>7</v>
      </c>
      <c r="AT738" s="24" t="str">
        <f t="shared" si="231"/>
        <v>&gt; 6 months</v>
      </c>
      <c r="AU738" s="22" t="s">
        <v>3745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3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6"/>
        <v>35682787.057522126</v>
      </c>
      <c r="AJ739" s="19">
        <f t="shared" si="217"/>
        <v>5833368.3789623892</v>
      </c>
      <c r="AK739" s="20">
        <f t="shared" si="226"/>
        <v>0.16347849649632912</v>
      </c>
      <c r="AL739" s="17"/>
      <c r="AM739" s="17"/>
      <c r="AN739" s="17"/>
      <c r="AO739" s="17"/>
      <c r="AP739" s="28" t="str">
        <f t="shared" si="227"/>
        <v>20226</v>
      </c>
      <c r="AQ739" s="28" t="str">
        <f t="shared" si="228"/>
        <v>20226RMB</v>
      </c>
      <c r="AR739" s="206" t="str">
        <f t="shared" si="229"/>
        <v>YAMAHA_Mounter</v>
      </c>
      <c r="AS739" s="22">
        <f t="shared" si="230"/>
        <v>0</v>
      </c>
      <c r="AT739" s="24" t="str">
        <f t="shared" si="231"/>
        <v>0-3 months</v>
      </c>
      <c r="AU739" s="22" t="s">
        <v>3751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3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6"/>
        <v>35682787.057522126</v>
      </c>
      <c r="AJ740" s="19">
        <f t="shared" si="217"/>
        <v>5833368.3789623892</v>
      </c>
      <c r="AK740" s="20">
        <f t="shared" si="226"/>
        <v>0.16347849649632912</v>
      </c>
      <c r="AL740" s="17"/>
      <c r="AM740" s="17"/>
      <c r="AN740" s="17"/>
      <c r="AO740" s="17"/>
      <c r="AP740" s="28" t="str">
        <f t="shared" si="227"/>
        <v>20226</v>
      </c>
      <c r="AQ740" s="28" t="str">
        <f t="shared" si="228"/>
        <v>20226RMB</v>
      </c>
      <c r="AR740" s="206" t="str">
        <f t="shared" si="229"/>
        <v>YAMAHA_Mounter</v>
      </c>
      <c r="AS740" s="22">
        <f t="shared" si="230"/>
        <v>0</v>
      </c>
      <c r="AT740" s="24" t="str">
        <f t="shared" si="231"/>
        <v>0-3 months</v>
      </c>
      <c r="AU740" s="22" t="s">
        <v>3751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6"/>
        <v>27318180.088495575</v>
      </c>
      <c r="AJ741" s="19">
        <f t="shared" si="217"/>
        <v>3014099.212353982</v>
      </c>
      <c r="AK741" s="20">
        <f t="shared" si="226"/>
        <v>0.11033308963444827</v>
      </c>
      <c r="AL741" s="17"/>
      <c r="AM741" s="17"/>
      <c r="AN741" s="17"/>
      <c r="AO741" s="17"/>
      <c r="AP741" s="28" t="str">
        <f t="shared" si="227"/>
        <v>201912</v>
      </c>
      <c r="AQ741" s="28" t="str">
        <f t="shared" si="228"/>
        <v>201912JPY</v>
      </c>
      <c r="AR741" s="206" t="str">
        <f t="shared" si="229"/>
        <v>YAMAHA_Mounter</v>
      </c>
      <c r="AS741" s="22">
        <f t="shared" si="230"/>
        <v>0</v>
      </c>
      <c r="AT741" s="24" t="str">
        <f t="shared" si="231"/>
        <v>0-3 months</v>
      </c>
      <c r="AU741" s="22" t="s">
        <v>3745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6"/>
        <v>23168285.927433632</v>
      </c>
      <c r="AJ742" s="19">
        <f t="shared" si="217"/>
        <v>2764878.916878053</v>
      </c>
      <c r="AK742" s="20">
        <f t="shared" si="226"/>
        <v>0.11933895004309111</v>
      </c>
      <c r="AL742" s="17"/>
      <c r="AM742" s="17"/>
      <c r="AN742" s="17"/>
      <c r="AO742" s="17"/>
      <c r="AP742" s="28" t="str">
        <f t="shared" si="227"/>
        <v>20203</v>
      </c>
      <c r="AQ742" s="28" t="str">
        <f t="shared" si="228"/>
        <v>20203JPY</v>
      </c>
      <c r="AR742" s="206" t="str">
        <f t="shared" si="229"/>
        <v>YAMAHA_Mounter</v>
      </c>
      <c r="AS742" s="22">
        <f t="shared" si="230"/>
        <v>0</v>
      </c>
      <c r="AT742" s="24" t="str">
        <f t="shared" si="231"/>
        <v>0-3 months</v>
      </c>
      <c r="AU742" s="22" t="s">
        <v>3745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6"/>
        <v>28011162.254106201</v>
      </c>
      <c r="AJ743" s="19">
        <f t="shared" si="217"/>
        <v>3401347.1124888416</v>
      </c>
      <c r="AK743" s="20">
        <f t="shared" si="226"/>
        <v>0.12142827497242578</v>
      </c>
      <c r="AL743" s="17"/>
      <c r="AM743" s="17"/>
      <c r="AN743" s="17"/>
      <c r="AO743" s="17"/>
      <c r="AP743" s="28" t="str">
        <f t="shared" si="227"/>
        <v>202010</v>
      </c>
      <c r="AQ743" s="28" t="str">
        <f t="shared" si="228"/>
        <v>202010JPY</v>
      </c>
      <c r="AR743" s="206" t="str">
        <f t="shared" si="229"/>
        <v>YAMAHA_Mounter</v>
      </c>
      <c r="AS743" s="22">
        <f t="shared" si="230"/>
        <v>3</v>
      </c>
      <c r="AT743" s="24" t="str">
        <f t="shared" si="231"/>
        <v>0-3 months</v>
      </c>
      <c r="AU743" s="22" t="s">
        <v>3745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6"/>
        <v>28011162.254106201</v>
      </c>
      <c r="AJ744" s="19">
        <f t="shared" si="217"/>
        <v>3401347.1124888416</v>
      </c>
      <c r="AK744" s="20">
        <f t="shared" si="226"/>
        <v>0.12142827497242578</v>
      </c>
      <c r="AL744" s="17"/>
      <c r="AM744" s="17"/>
      <c r="AN744" s="17"/>
      <c r="AO744" s="17"/>
      <c r="AP744" s="28" t="str">
        <f t="shared" si="227"/>
        <v>202010</v>
      </c>
      <c r="AQ744" s="28" t="str">
        <f t="shared" si="228"/>
        <v>202010JPY</v>
      </c>
      <c r="AR744" s="206" t="str">
        <f t="shared" si="229"/>
        <v>YAMAHA_Mounter</v>
      </c>
      <c r="AS744" s="22">
        <f t="shared" si="230"/>
        <v>1</v>
      </c>
      <c r="AT744" s="24" t="str">
        <f t="shared" si="231"/>
        <v>0-3 months</v>
      </c>
      <c r="AU744" s="22" t="s">
        <v>3745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6"/>
        <v>28011162.254106201</v>
      </c>
      <c r="AJ745" s="19">
        <f t="shared" si="217"/>
        <v>3401347.1124888416</v>
      </c>
      <c r="AK745" s="20">
        <f t="shared" si="226"/>
        <v>0.12142827497242578</v>
      </c>
      <c r="AL745" s="17"/>
      <c r="AM745" s="17"/>
      <c r="AN745" s="17"/>
      <c r="AO745" s="17"/>
      <c r="AP745" s="28" t="str">
        <f t="shared" si="227"/>
        <v>202010</v>
      </c>
      <c r="AQ745" s="28" t="str">
        <f t="shared" si="228"/>
        <v>202010JPY</v>
      </c>
      <c r="AR745" s="206" t="str">
        <f t="shared" si="229"/>
        <v>YAMAHA_Mounter</v>
      </c>
      <c r="AS745" s="22">
        <f t="shared" si="230"/>
        <v>1</v>
      </c>
      <c r="AT745" s="24" t="str">
        <f t="shared" si="231"/>
        <v>0-3 months</v>
      </c>
      <c r="AU745" s="22" t="s">
        <v>3745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6"/>
        <v>48763143.537654862</v>
      </c>
      <c r="AJ746" s="19">
        <f t="shared" si="217"/>
        <v>5924029.9702154724</v>
      </c>
      <c r="AK746" s="20">
        <f t="shared" si="226"/>
        <v>0.1214858095774925</v>
      </c>
      <c r="AL746" s="17"/>
      <c r="AM746" s="17"/>
      <c r="AN746" s="17"/>
      <c r="AO746" s="17"/>
      <c r="AP746" s="28" t="str">
        <f t="shared" si="227"/>
        <v>202012</v>
      </c>
      <c r="AQ746" s="28" t="str">
        <f t="shared" si="228"/>
        <v>202012JPY</v>
      </c>
      <c r="AR746" s="206" t="str">
        <f t="shared" si="229"/>
        <v>YAMAHA_Mounter</v>
      </c>
      <c r="AS746" s="22">
        <f t="shared" si="230"/>
        <v>3</v>
      </c>
      <c r="AT746" s="24" t="str">
        <f t="shared" si="231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6"/>
        <v>37599388.802345134</v>
      </c>
      <c r="AJ747" s="19">
        <f t="shared" si="217"/>
        <v>4866784.3630338367</v>
      </c>
      <c r="AK747" s="20">
        <f t="shared" si="226"/>
        <v>0.12943785838163113</v>
      </c>
      <c r="AL747" s="17"/>
      <c r="AM747" s="17"/>
      <c r="AN747" s="17"/>
      <c r="AO747" s="17"/>
      <c r="AP747" s="28" t="str">
        <f t="shared" si="227"/>
        <v>20199</v>
      </c>
      <c r="AQ747" s="28" t="str">
        <f t="shared" si="228"/>
        <v>20199RMB</v>
      </c>
      <c r="AR747" s="206" t="str">
        <f t="shared" si="229"/>
        <v>YAMAHA_Mounter</v>
      </c>
      <c r="AS747" s="22">
        <f t="shared" si="230"/>
        <v>1</v>
      </c>
      <c r="AT747" s="24" t="str">
        <f t="shared" si="231"/>
        <v>0-3 months</v>
      </c>
      <c r="AU747" s="22" t="s">
        <v>3744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16"/>
        <v>20319282.700884953</v>
      </c>
      <c r="AJ748" s="27">
        <f t="shared" si="217"/>
        <v>2408851.9638623013</v>
      </c>
      <c r="AK748" s="28">
        <f t="shared" si="226"/>
        <v>0.11855004919821259</v>
      </c>
      <c r="AL748" s="24"/>
      <c r="AM748" s="24"/>
      <c r="AN748" s="24"/>
      <c r="AO748" s="24"/>
      <c r="AP748" s="28" t="str">
        <f t="shared" si="227"/>
        <v>20244</v>
      </c>
      <c r="AQ748" s="28" t="str">
        <f t="shared" si="228"/>
        <v>20244USD</v>
      </c>
      <c r="AR748" s="206" t="str">
        <f t="shared" si="229"/>
        <v>YAMAHA_Mounter</v>
      </c>
      <c r="AS748" s="22">
        <f t="shared" si="230"/>
        <v>3</v>
      </c>
      <c r="AT748" s="24" t="str">
        <f t="shared" si="231"/>
        <v>0-3 months</v>
      </c>
      <c r="AU748" s="22" t="s">
        <v>3746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16"/>
        <v>20319282.700884953</v>
      </c>
      <c r="AJ749" s="27">
        <f t="shared" si="217"/>
        <v>2408851.9638623013</v>
      </c>
      <c r="AK749" s="28">
        <f t="shared" si="226"/>
        <v>0.11855004919821259</v>
      </c>
      <c r="AL749" s="24"/>
      <c r="AM749" s="24"/>
      <c r="AN749" s="24"/>
      <c r="AO749" s="24"/>
      <c r="AP749" s="28" t="str">
        <f t="shared" si="227"/>
        <v>20244</v>
      </c>
      <c r="AQ749" s="28" t="str">
        <f t="shared" si="228"/>
        <v>20244JPY</v>
      </c>
      <c r="AR749" s="206" t="str">
        <f t="shared" si="229"/>
        <v>YAMAHA_Mounter</v>
      </c>
      <c r="AS749" s="22">
        <f t="shared" si="230"/>
        <v>1</v>
      </c>
      <c r="AT749" s="24" t="str">
        <f t="shared" si="231"/>
        <v>0-3 months</v>
      </c>
      <c r="AU749" s="22" t="s">
        <v>3745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4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6"/>
        <v>35384300.169380538</v>
      </c>
      <c r="AJ750" s="19">
        <f t="shared" si="217"/>
        <v>5044538.8896988509</v>
      </c>
      <c r="AK750" s="20">
        <f t="shared" si="226"/>
        <v>0.14256432557804533</v>
      </c>
      <c r="AL750" s="17"/>
      <c r="AM750" s="17"/>
      <c r="AN750" s="17"/>
      <c r="AO750" s="17"/>
      <c r="AP750" s="28" t="str">
        <f t="shared" si="227"/>
        <v>20207</v>
      </c>
      <c r="AQ750" s="28" t="str">
        <f t="shared" si="228"/>
        <v>20207RMB</v>
      </c>
      <c r="AR750" s="206" t="str">
        <f t="shared" si="229"/>
        <v>YAMAHA_Mounter</v>
      </c>
      <c r="AS750" s="22">
        <f t="shared" si="230"/>
        <v>1</v>
      </c>
      <c r="AT750" s="24" t="str">
        <f t="shared" si="231"/>
        <v>0-3 months</v>
      </c>
      <c r="AU750" s="22" t="s">
        <v>3744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4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6"/>
        <v>499582152.5142017</v>
      </c>
      <c r="AJ751" s="19">
        <f t="shared" si="217"/>
        <v>59520528.679470733</v>
      </c>
      <c r="AK751" s="20">
        <f t="shared" si="226"/>
        <v>0.11914062257814291</v>
      </c>
      <c r="AL751" s="17"/>
      <c r="AM751" s="17"/>
      <c r="AN751" s="17"/>
      <c r="AO751" s="17"/>
      <c r="AP751" s="28" t="str">
        <f t="shared" si="227"/>
        <v>CancelCancel</v>
      </c>
      <c r="AQ751" s="28" t="str">
        <f t="shared" si="228"/>
        <v>CancelCancelRMB</v>
      </c>
      <c r="AR751" s="206" t="str">
        <f t="shared" si="229"/>
        <v>YAMAHA_Mounter</v>
      </c>
      <c r="AS751" s="22" t="str">
        <f t="shared" si="230"/>
        <v/>
      </c>
      <c r="AT751" s="24" t="str">
        <f t="shared" si="231"/>
        <v/>
      </c>
      <c r="AU751" s="22" t="s">
        <v>3744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4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6"/>
        <v>499582152.5142017</v>
      </c>
      <c r="AJ752" s="19">
        <f t="shared" si="217"/>
        <v>59520528.679470733</v>
      </c>
      <c r="AK752" s="20">
        <f t="shared" si="226"/>
        <v>0.11914062257814291</v>
      </c>
      <c r="AL752" s="17"/>
      <c r="AM752" s="17"/>
      <c r="AN752" s="17"/>
      <c r="AO752" s="17"/>
      <c r="AP752" s="28" t="str">
        <f t="shared" si="227"/>
        <v>CancelCancel</v>
      </c>
      <c r="AQ752" s="28" t="str">
        <f t="shared" si="228"/>
        <v>CancelCancelRMB</v>
      </c>
      <c r="AR752" s="206" t="str">
        <f t="shared" si="229"/>
        <v>YAMAHA_Mounter</v>
      </c>
      <c r="AS752" s="22" t="str">
        <f t="shared" si="230"/>
        <v/>
      </c>
      <c r="AT752" s="24" t="str">
        <f t="shared" si="231"/>
        <v/>
      </c>
      <c r="AU752" s="22" t="s">
        <v>3744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4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6"/>
        <v>47416008.333399981</v>
      </c>
      <c r="AJ753" s="19">
        <f t="shared" si="217"/>
        <v>6981738.4465290187</v>
      </c>
      <c r="AK753" s="20">
        <f t="shared" si="226"/>
        <v>0.14724433143839863</v>
      </c>
      <c r="AL753" s="17"/>
      <c r="AM753" s="17"/>
      <c r="AN753" s="17"/>
      <c r="AO753" s="17"/>
      <c r="AP753" s="28" t="str">
        <f t="shared" si="227"/>
        <v>20193</v>
      </c>
      <c r="AQ753" s="28" t="str">
        <f t="shared" si="228"/>
        <v>20193RMB</v>
      </c>
      <c r="AR753" s="206" t="str">
        <f t="shared" si="229"/>
        <v>YAMAHA_Mounter</v>
      </c>
      <c r="AS753" s="22">
        <f t="shared" si="230"/>
        <v>0</v>
      </c>
      <c r="AT753" s="24" t="str">
        <f t="shared" si="231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4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6"/>
        <v>47416008.333399981</v>
      </c>
      <c r="AJ754" s="19">
        <f t="shared" si="217"/>
        <v>6981738.4465290187</v>
      </c>
      <c r="AK754" s="20">
        <f t="shared" si="226"/>
        <v>0.14724433143839863</v>
      </c>
      <c r="AL754" s="17"/>
      <c r="AM754" s="17"/>
      <c r="AN754" s="17"/>
      <c r="AO754" s="17"/>
      <c r="AP754" s="28" t="str">
        <f t="shared" si="227"/>
        <v>20193</v>
      </c>
      <c r="AQ754" s="28" t="str">
        <f t="shared" si="228"/>
        <v>20193JPY</v>
      </c>
      <c r="AR754" s="206" t="str">
        <f t="shared" si="229"/>
        <v>YAMAHA_Mounter</v>
      </c>
      <c r="AS754" s="22">
        <f t="shared" si="230"/>
        <v>4</v>
      </c>
      <c r="AT754" s="24" t="str">
        <f t="shared" si="231"/>
        <v>4-6 months</v>
      </c>
      <c r="AU754" s="22" t="s">
        <v>3745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4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6"/>
        <v>47416008.333399981</v>
      </c>
      <c r="AJ755" s="19">
        <f t="shared" si="217"/>
        <v>6981738.4465290187</v>
      </c>
      <c r="AK755" s="20">
        <f t="shared" si="226"/>
        <v>0.14724433143839863</v>
      </c>
      <c r="AL755" s="17"/>
      <c r="AM755" s="17"/>
      <c r="AN755" s="17"/>
      <c r="AO755" s="17"/>
      <c r="AP755" s="28" t="str">
        <f t="shared" si="227"/>
        <v>20193</v>
      </c>
      <c r="AQ755" s="28" t="str">
        <f t="shared" si="228"/>
        <v>20193JPY</v>
      </c>
      <c r="AR755" s="206" t="str">
        <f t="shared" si="229"/>
        <v>YAMAHA_Mounter</v>
      </c>
      <c r="AS755" s="22">
        <f t="shared" si="230"/>
        <v>4</v>
      </c>
      <c r="AT755" s="24" t="str">
        <f t="shared" si="231"/>
        <v>4-6 months</v>
      </c>
      <c r="AU755" s="22" t="s">
        <v>3745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4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6"/>
        <v>34015877.71150443</v>
      </c>
      <c r="AJ756" s="19">
        <f t="shared" si="217"/>
        <v>4446292.375441948</v>
      </c>
      <c r="AK756" s="20">
        <f t="shared" si="226"/>
        <v>0.13071226364205143</v>
      </c>
      <c r="AL756" s="17"/>
      <c r="AM756" s="17"/>
      <c r="AN756" s="17"/>
      <c r="AO756" s="17"/>
      <c r="AP756" s="28" t="str">
        <f t="shared" si="227"/>
        <v>20197</v>
      </c>
      <c r="AQ756" s="28" t="str">
        <f t="shared" si="228"/>
        <v>20197RMB</v>
      </c>
      <c r="AR756" s="206" t="str">
        <f t="shared" si="229"/>
        <v>YAMAHA_Mounter</v>
      </c>
      <c r="AS756" s="22">
        <f t="shared" si="230"/>
        <v>1</v>
      </c>
      <c r="AT756" s="24" t="str">
        <f t="shared" si="231"/>
        <v>0-3 months</v>
      </c>
      <c r="AU756" s="22" t="s">
        <v>3744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4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6"/>
        <v>47416008.333399981</v>
      </c>
      <c r="AJ757" s="19">
        <f t="shared" si="217"/>
        <v>6981738.4465290187</v>
      </c>
      <c r="AK757" s="20">
        <f t="shared" si="226"/>
        <v>0.14724433143839863</v>
      </c>
      <c r="AL757" s="17"/>
      <c r="AM757" s="17"/>
      <c r="AN757" s="17"/>
      <c r="AO757" s="17"/>
      <c r="AP757" s="28" t="str">
        <f t="shared" si="227"/>
        <v>20193</v>
      </c>
      <c r="AQ757" s="28" t="str">
        <f t="shared" si="228"/>
        <v>20193JPY</v>
      </c>
      <c r="AR757" s="206" t="str">
        <f t="shared" si="229"/>
        <v>YAMAHA_Mounter</v>
      </c>
      <c r="AS757" s="22">
        <f t="shared" si="230"/>
        <v>1</v>
      </c>
      <c r="AT757" s="24" t="str">
        <f t="shared" si="231"/>
        <v>0-3 months</v>
      </c>
      <c r="AU757" s="22" t="s">
        <v>3745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4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6"/>
        <v>47416008.333399981</v>
      </c>
      <c r="AJ758" s="19">
        <f t="shared" si="217"/>
        <v>6981738.4465290187</v>
      </c>
      <c r="AK758" s="20">
        <f t="shared" si="226"/>
        <v>0.14724433143839863</v>
      </c>
      <c r="AL758" s="17"/>
      <c r="AM758" s="17"/>
      <c r="AN758" s="17"/>
      <c r="AO758" s="17"/>
      <c r="AP758" s="28" t="str">
        <f t="shared" si="227"/>
        <v>20193</v>
      </c>
      <c r="AQ758" s="28" t="str">
        <f t="shared" si="228"/>
        <v>20193JPY</v>
      </c>
      <c r="AR758" s="206" t="str">
        <f t="shared" si="229"/>
        <v>YAMAHA_Mounter</v>
      </c>
      <c r="AS758" s="22">
        <f t="shared" si="230"/>
        <v>0</v>
      </c>
      <c r="AT758" s="24" t="str">
        <f t="shared" si="231"/>
        <v>0-3 months</v>
      </c>
      <c r="AU758" s="22" t="s">
        <v>3745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4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6"/>
        <v>28065694.408805311</v>
      </c>
      <c r="AJ759" s="19">
        <f t="shared" si="217"/>
        <v>4157433.2906989697</v>
      </c>
      <c r="AK759" s="20">
        <f t="shared" si="226"/>
        <v>0.14813220831602228</v>
      </c>
      <c r="AL759" s="17"/>
      <c r="AM759" s="17"/>
      <c r="AN759" s="17"/>
      <c r="AO759" s="17"/>
      <c r="AP759" s="28" t="str">
        <f t="shared" si="227"/>
        <v>20205</v>
      </c>
      <c r="AQ759" s="28" t="str">
        <f t="shared" si="228"/>
        <v>20205RMB</v>
      </c>
      <c r="AR759" s="206" t="str">
        <f t="shared" si="229"/>
        <v>YAMAHA_Mounter</v>
      </c>
      <c r="AS759" s="22">
        <f t="shared" si="230"/>
        <v>1</v>
      </c>
      <c r="AT759" s="24" t="str">
        <f t="shared" si="231"/>
        <v>0-3 months</v>
      </c>
      <c r="AU759" s="22" t="s">
        <v>3744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4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6"/>
        <v>48763143.537654862</v>
      </c>
      <c r="AJ760" s="19">
        <f t="shared" si="217"/>
        <v>5924029.9702154724</v>
      </c>
      <c r="AK760" s="20">
        <f t="shared" si="226"/>
        <v>0.1214858095774925</v>
      </c>
      <c r="AL760" s="17"/>
      <c r="AM760" s="17"/>
      <c r="AN760" s="17"/>
      <c r="AO760" s="17"/>
      <c r="AP760" s="28" t="str">
        <f t="shared" si="227"/>
        <v>202012</v>
      </c>
      <c r="AQ760" s="28" t="str">
        <f t="shared" si="228"/>
        <v>202012JPY</v>
      </c>
      <c r="AR760" s="206" t="str">
        <f t="shared" si="229"/>
        <v>YAMAHA_Mounter</v>
      </c>
      <c r="AS760" s="22">
        <f t="shared" si="230"/>
        <v>0</v>
      </c>
      <c r="AT760" s="24" t="str">
        <f t="shared" si="231"/>
        <v>0-3 months</v>
      </c>
      <c r="AU760" s="22" t="s">
        <v>3745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4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6"/>
        <v>57778307.282035396</v>
      </c>
      <c r="AJ761" s="19">
        <f t="shared" si="217"/>
        <v>7259860.7225420559</v>
      </c>
      <c r="AK761" s="20">
        <f t="shared" si="226"/>
        <v>0.12565028406083667</v>
      </c>
      <c r="AL761" s="17"/>
      <c r="AM761" s="17"/>
      <c r="AN761" s="17"/>
      <c r="AO761" s="17"/>
      <c r="AP761" s="28" t="str">
        <f t="shared" si="227"/>
        <v>20213</v>
      </c>
      <c r="AQ761" s="28" t="str">
        <f t="shared" si="228"/>
        <v>20213JPY</v>
      </c>
      <c r="AR761" s="206" t="str">
        <f t="shared" si="229"/>
        <v>YAMAHA_Mounter</v>
      </c>
      <c r="AS761" s="22">
        <f t="shared" si="230"/>
        <v>3</v>
      </c>
      <c r="AT761" s="24" t="str">
        <f t="shared" si="231"/>
        <v>0-3 months</v>
      </c>
      <c r="AU761" s="22" t="s">
        <v>3745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4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6"/>
        <v>57778307.282035396</v>
      </c>
      <c r="AJ762" s="19">
        <f t="shared" si="217"/>
        <v>7259860.7225420559</v>
      </c>
      <c r="AK762" s="20">
        <f t="shared" si="226"/>
        <v>0.12565028406083667</v>
      </c>
      <c r="AL762" s="17"/>
      <c r="AM762" s="17"/>
      <c r="AN762" s="17"/>
      <c r="AO762" s="17"/>
      <c r="AP762" s="28" t="str">
        <f t="shared" si="227"/>
        <v>20213</v>
      </c>
      <c r="AQ762" s="28" t="str">
        <f t="shared" si="228"/>
        <v>20213JPY</v>
      </c>
      <c r="AR762" s="206" t="str">
        <f t="shared" si="229"/>
        <v>YAMAHA_Mounter</v>
      </c>
      <c r="AS762" s="22">
        <f t="shared" si="230"/>
        <v>3</v>
      </c>
      <c r="AT762" s="24" t="str">
        <f t="shared" si="231"/>
        <v>0-3 months</v>
      </c>
      <c r="AU762" s="22" t="s">
        <v>3745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4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6"/>
        <v>11730565.00042478</v>
      </c>
      <c r="AJ763" s="19">
        <f t="shared" si="217"/>
        <v>1439625.5685810833</v>
      </c>
      <c r="AK763" s="20">
        <f t="shared" si="226"/>
        <v>0.12272431622253084</v>
      </c>
      <c r="AL763" s="17"/>
      <c r="AM763" s="17"/>
      <c r="AN763" s="17"/>
      <c r="AO763" s="17"/>
      <c r="AP763" s="28" t="str">
        <f t="shared" si="227"/>
        <v>202311</v>
      </c>
      <c r="AQ763" s="28" t="str">
        <f t="shared" si="228"/>
        <v>202311JPY</v>
      </c>
      <c r="AR763" s="206" t="str">
        <f t="shared" si="229"/>
        <v>YAMAHA_Mounter</v>
      </c>
      <c r="AS763" s="22">
        <f t="shared" si="230"/>
        <v>0</v>
      </c>
      <c r="AT763" s="24" t="str">
        <f t="shared" si="231"/>
        <v>0-3 months</v>
      </c>
      <c r="AU763" s="22" t="s">
        <v>3745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4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6"/>
        <v>11730565.00042478</v>
      </c>
      <c r="AJ764" s="19">
        <f t="shared" si="217"/>
        <v>1439625.5685810833</v>
      </c>
      <c r="AK764" s="20">
        <f t="shared" si="226"/>
        <v>0.12272431622253084</v>
      </c>
      <c r="AL764" s="17"/>
      <c r="AM764" s="17"/>
      <c r="AN764" s="17"/>
      <c r="AO764" s="17"/>
      <c r="AP764" s="28" t="str">
        <f t="shared" si="227"/>
        <v>202311</v>
      </c>
      <c r="AQ764" s="28" t="str">
        <f t="shared" si="228"/>
        <v>202311JPY</v>
      </c>
      <c r="AR764" s="206" t="str">
        <f t="shared" si="229"/>
        <v>YAMAHA_Mounter</v>
      </c>
      <c r="AS764" s="22">
        <f t="shared" si="230"/>
        <v>0</v>
      </c>
      <c r="AT764" s="24" t="str">
        <f t="shared" si="231"/>
        <v>0-3 months</v>
      </c>
      <c r="AU764" s="22" t="s">
        <v>3745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4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6"/>
        <v>10786543.370020689</v>
      </c>
      <c r="AJ765" s="19">
        <f t="shared" si="217"/>
        <v>1330367.5841569281</v>
      </c>
      <c r="AK765" s="20">
        <f t="shared" si="226"/>
        <v>0.123335858255987</v>
      </c>
      <c r="AL765" s="17"/>
      <c r="AM765" s="17"/>
      <c r="AN765" s="17"/>
      <c r="AO765" s="17"/>
      <c r="AP765" s="28" t="str">
        <f t="shared" si="227"/>
        <v>201810</v>
      </c>
      <c r="AQ765" s="28" t="str">
        <f t="shared" si="228"/>
        <v>201810JPY</v>
      </c>
      <c r="AR765" s="206" t="str">
        <f t="shared" si="229"/>
        <v>YAMAHA_Mounter</v>
      </c>
      <c r="AS765" s="22">
        <f t="shared" si="230"/>
        <v>5</v>
      </c>
      <c r="AT765" s="24" t="str">
        <f t="shared" si="231"/>
        <v>4-6 months</v>
      </c>
      <c r="AU765" s="22" t="s">
        <v>3745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4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6"/>
        <v>31097187.02948761</v>
      </c>
      <c r="AJ766" s="19">
        <f t="shared" si="217"/>
        <v>3892353.6644401965</v>
      </c>
      <c r="AK766" s="20">
        <f t="shared" si="226"/>
        <v>0.12516738767237401</v>
      </c>
      <c r="AL766" s="17"/>
      <c r="AM766" s="17"/>
      <c r="AN766" s="17"/>
      <c r="AO766" s="17"/>
      <c r="AP766" s="28" t="str">
        <f t="shared" si="227"/>
        <v>20212</v>
      </c>
      <c r="AQ766" s="28" t="str">
        <f t="shared" si="228"/>
        <v>20212JPY</v>
      </c>
      <c r="AR766" s="206" t="str">
        <f t="shared" si="229"/>
        <v>YAMAHA_Mounter</v>
      </c>
      <c r="AS766" s="22">
        <f t="shared" si="230"/>
        <v>2</v>
      </c>
      <c r="AT766" s="24" t="str">
        <f t="shared" si="231"/>
        <v>0-3 months</v>
      </c>
      <c r="AU766" s="22" t="s">
        <v>3745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4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6"/>
        <v>31017966.201968137</v>
      </c>
      <c r="AJ767" s="19">
        <f t="shared" si="217"/>
        <v>4704250.3347305888</v>
      </c>
      <c r="AK767" s="20">
        <f t="shared" si="226"/>
        <v>0.15166211427595458</v>
      </c>
      <c r="AL767" s="17"/>
      <c r="AM767" s="17"/>
      <c r="AN767" s="17"/>
      <c r="AO767" s="17"/>
      <c r="AP767" s="28" t="str">
        <f t="shared" si="227"/>
        <v>202211</v>
      </c>
      <c r="AQ767" s="28" t="str">
        <f t="shared" si="228"/>
        <v>202211RMB</v>
      </c>
      <c r="AR767" s="206" t="str">
        <f t="shared" si="229"/>
        <v>YAMAHA_Mounter</v>
      </c>
      <c r="AS767" s="22">
        <f t="shared" si="230"/>
        <v>0</v>
      </c>
      <c r="AT767" s="24" t="str">
        <f t="shared" si="231"/>
        <v>0-3 months</v>
      </c>
      <c r="AU767" s="22" t="s">
        <v>3751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4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6"/>
        <v>28011162.254106201</v>
      </c>
      <c r="AJ768" s="19">
        <f t="shared" si="217"/>
        <v>3401347.1124888416</v>
      </c>
      <c r="AK768" s="20">
        <f t="shared" si="226"/>
        <v>0.12142827497242578</v>
      </c>
      <c r="AL768" s="17"/>
      <c r="AM768" s="17"/>
      <c r="AN768" s="17"/>
      <c r="AO768" s="17"/>
      <c r="AP768" s="28" t="str">
        <f t="shared" si="227"/>
        <v>202010</v>
      </c>
      <c r="AQ768" s="28" t="str">
        <f t="shared" si="228"/>
        <v>202010RMB</v>
      </c>
      <c r="AR768" s="206" t="str">
        <f t="shared" si="229"/>
        <v>YAMAHA_Mounter</v>
      </c>
      <c r="AS768" s="22">
        <f t="shared" si="230"/>
        <v>3</v>
      </c>
      <c r="AT768" s="24" t="str">
        <f t="shared" si="231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4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6"/>
        <v>34015877.71150443</v>
      </c>
      <c r="AJ769" s="19">
        <f t="shared" si="217"/>
        <v>4446292.375441948</v>
      </c>
      <c r="AK769" s="20">
        <f t="shared" si="226"/>
        <v>0.13071226364205143</v>
      </c>
      <c r="AL769" s="17"/>
      <c r="AM769" s="17"/>
      <c r="AN769" s="17"/>
      <c r="AO769" s="17"/>
      <c r="AP769" s="28" t="str">
        <f t="shared" si="227"/>
        <v>20197</v>
      </c>
      <c r="AQ769" s="28" t="str">
        <f t="shared" si="228"/>
        <v>20197JPY</v>
      </c>
      <c r="AR769" s="206" t="str">
        <f t="shared" si="229"/>
        <v>YAMAHA_Mounter</v>
      </c>
      <c r="AS769" s="22">
        <f t="shared" si="230"/>
        <v>0</v>
      </c>
      <c r="AT769" s="24" t="str">
        <f t="shared" si="231"/>
        <v>0-3 months</v>
      </c>
      <c r="AU769" s="22" t="s">
        <v>3746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4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5">IF(P770="C66 SERVICE","",SUMIFS(AB:AB,F:F,F770,G:G,G770,E:E,E770))</f>
        <v>34015877.71150443</v>
      </c>
      <c r="AJ770" s="19">
        <f t="shared" ref="AJ770:AJ833" si="236">IF(P770="C66 SERVICE","",SUMIFS(AC:AC,F:F,F770,G:G,G770,E:E,E770))</f>
        <v>4446292.375441948</v>
      </c>
      <c r="AK770" s="20">
        <f t="shared" si="226"/>
        <v>0.13071226364205143</v>
      </c>
      <c r="AL770" s="17"/>
      <c r="AM770" s="17"/>
      <c r="AN770" s="17"/>
      <c r="AO770" s="17"/>
      <c r="AP770" s="28" t="str">
        <f t="shared" si="227"/>
        <v>20197</v>
      </c>
      <c r="AQ770" s="28" t="str">
        <f t="shared" si="228"/>
        <v>20197JPY</v>
      </c>
      <c r="AR770" s="206" t="str">
        <f t="shared" si="229"/>
        <v>YAMAHA_Mounter</v>
      </c>
      <c r="AS770" s="22">
        <f t="shared" si="230"/>
        <v>0</v>
      </c>
      <c r="AT770" s="24" t="str">
        <f t="shared" si="231"/>
        <v>0-3 months</v>
      </c>
      <c r="AU770" s="22" t="s">
        <v>3746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4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5"/>
        <v>35682787.057522126</v>
      </c>
      <c r="AJ771" s="19">
        <f t="shared" si="236"/>
        <v>5833368.3789623892</v>
      </c>
      <c r="AK771" s="20">
        <f t="shared" si="226"/>
        <v>0.16347849649632912</v>
      </c>
      <c r="AL771" s="17"/>
      <c r="AM771" s="17"/>
      <c r="AN771" s="17"/>
      <c r="AO771" s="17"/>
      <c r="AP771" s="28" t="str">
        <f t="shared" si="227"/>
        <v>20226</v>
      </c>
      <c r="AQ771" s="28" t="str">
        <f t="shared" si="228"/>
        <v>20226JPY</v>
      </c>
      <c r="AR771" s="206" t="str">
        <f t="shared" si="229"/>
        <v>YAMAHA_Mounter</v>
      </c>
      <c r="AS771" s="22">
        <f t="shared" si="230"/>
        <v>8</v>
      </c>
      <c r="AT771" s="24" t="str">
        <f t="shared" si="231"/>
        <v>&gt; 6 months</v>
      </c>
      <c r="AU771" s="22" t="s">
        <v>3745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4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5"/>
        <v>22953677.784070797</v>
      </c>
      <c r="AJ772" s="19">
        <f t="shared" si="236"/>
        <v>4168706.6744155753</v>
      </c>
      <c r="AK772" s="20">
        <f t="shared" si="226"/>
        <v>0.18161388835511752</v>
      </c>
      <c r="AL772" s="17"/>
      <c r="AM772" s="17"/>
      <c r="AN772" s="17"/>
      <c r="AO772" s="17"/>
      <c r="AP772" s="28" t="str">
        <f t="shared" si="227"/>
        <v>20238</v>
      </c>
      <c r="AQ772" s="28" t="str">
        <f t="shared" si="228"/>
        <v>20238RMB</v>
      </c>
      <c r="AR772" s="206" t="str">
        <f t="shared" si="229"/>
        <v>YAMAHA_Mounter</v>
      </c>
      <c r="AS772" s="22">
        <f t="shared" si="230"/>
        <v>1</v>
      </c>
      <c r="AT772" s="24" t="str">
        <f t="shared" si="231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4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5"/>
        <v>22953677.784070797</v>
      </c>
      <c r="AJ773" s="19">
        <f t="shared" si="236"/>
        <v>4168706.6744155753</v>
      </c>
      <c r="AK773" s="20">
        <f t="shared" si="226"/>
        <v>0.18161388835511752</v>
      </c>
      <c r="AL773" s="17"/>
      <c r="AM773" s="17"/>
      <c r="AN773" s="17"/>
      <c r="AO773" s="17"/>
      <c r="AP773" s="28" t="str">
        <f t="shared" si="227"/>
        <v>20238</v>
      </c>
      <c r="AQ773" s="28" t="str">
        <f t="shared" si="228"/>
        <v>20238RMB</v>
      </c>
      <c r="AR773" s="206" t="str">
        <f t="shared" si="229"/>
        <v>YAMAHA_Mounter</v>
      </c>
      <c r="AS773" s="22">
        <f t="shared" si="230"/>
        <v>1</v>
      </c>
      <c r="AT773" s="24" t="str">
        <f t="shared" si="231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4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5"/>
        <v>499582152.5142017</v>
      </c>
      <c r="AJ774" s="19">
        <f t="shared" si="236"/>
        <v>59520528.679470733</v>
      </c>
      <c r="AK774" s="20">
        <f t="shared" ref="AK774:AK837" si="244">IF(AJ774&gt;0,AJ774/AI774,"")</f>
        <v>0.11914062257814291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4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5"/>
        <v>24398045.86045352</v>
      </c>
      <c r="AJ775" s="19">
        <f t="shared" si="236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  <c r="AU775" s="22" t="s">
        <v>3744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4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5"/>
        <v>499582152.5142017</v>
      </c>
      <c r="AJ776" s="19">
        <f t="shared" si="236"/>
        <v>59520528.679470733</v>
      </c>
      <c r="AK776" s="20">
        <f t="shared" si="244"/>
        <v>0.11914062257814291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  <c r="AU776" s="22" t="s">
        <v>3745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4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5"/>
        <v>499582152.5142017</v>
      </c>
      <c r="AJ777" s="19">
        <f t="shared" si="236"/>
        <v>59520528.679470733</v>
      </c>
      <c r="AK777" s="20">
        <f t="shared" si="244"/>
        <v>0.11914062257814291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  <c r="AU777" s="22" t="s">
        <v>3745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4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5"/>
        <v>29500529.005044252</v>
      </c>
      <c r="AJ778" s="19">
        <f t="shared" si="236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  <c r="AU778" s="22" t="s">
        <v>3745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4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5"/>
        <v>29500529.005044252</v>
      </c>
      <c r="AJ779" s="19">
        <f t="shared" si="236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  <c r="AU779" s="22" t="s">
        <v>3745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4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5"/>
        <v>31750699.113741599</v>
      </c>
      <c r="AJ780" s="19">
        <f t="shared" si="236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  <c r="AU780" s="22" t="s">
        <v>3745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4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5"/>
        <v>499582152.5142017</v>
      </c>
      <c r="AJ781" s="19">
        <f t="shared" si="236"/>
        <v>59520528.679470733</v>
      </c>
      <c r="AK781" s="20">
        <f t="shared" si="244"/>
        <v>0.11914062257814291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4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5"/>
        <v>15533177.71460177</v>
      </c>
      <c r="AJ782" s="19">
        <f t="shared" si="236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4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5"/>
        <v>23168285.927433632</v>
      </c>
      <c r="AJ783" s="19">
        <f t="shared" si="236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4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5"/>
        <v>23168285.927433632</v>
      </c>
      <c r="AJ784" s="19">
        <f t="shared" si="236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4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5"/>
        <v>14005204.685000001</v>
      </c>
      <c r="AJ785" s="19">
        <f t="shared" si="236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  <c r="AU785" s="22" t="s">
        <v>3746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4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5"/>
        <v>14005204.685000001</v>
      </c>
      <c r="AJ786" s="19">
        <f t="shared" si="236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  <c r="AU786" s="22" t="s">
        <v>3746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4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5"/>
        <v>23237072.69172414</v>
      </c>
      <c r="AJ787" s="19">
        <f t="shared" si="236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4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5"/>
        <v>23237072.69172414</v>
      </c>
      <c r="AJ788" s="19">
        <f t="shared" si="236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4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5"/>
        <v>23168285.927433632</v>
      </c>
      <c r="AJ789" s="19">
        <f t="shared" si="236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  <c r="AU789" s="22" t="s">
        <v>3744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4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5"/>
        <v>23168285.927433632</v>
      </c>
      <c r="AJ790" s="19">
        <f t="shared" si="236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  <c r="AU790" s="22" t="s">
        <v>3744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0">IF(W791="RMB","1.13", "1")</f>
        <v>1.13</v>
      </c>
      <c r="Z791" s="18">
        <f t="shared" si="234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5"/>
        <v>63006605.696460173</v>
      </c>
      <c r="AJ791" s="19">
        <f t="shared" si="236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  <c r="AU791" s="22" t="s">
        <v>3744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0"/>
        <v>1.13</v>
      </c>
      <c r="Z792" s="18">
        <f t="shared" si="234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5"/>
        <v>63006605.696460173</v>
      </c>
      <c r="AJ792" s="19">
        <f t="shared" si="236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  <c r="AU792" s="22" t="s">
        <v>3744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0"/>
        <v>1.13</v>
      </c>
      <c r="Z793" s="18">
        <f t="shared" si="234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5"/>
        <v>63006605.696460173</v>
      </c>
      <c r="AJ793" s="19">
        <f t="shared" si="236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  <c r="AU793" s="22" t="s">
        <v>3744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0"/>
        <v>1.13</v>
      </c>
      <c r="Z794" s="18">
        <f t="shared" si="234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5"/>
        <v>63006605.696460173</v>
      </c>
      <c r="AJ794" s="19">
        <f t="shared" si="236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  <c r="AU794" s="22" t="s">
        <v>3744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0"/>
        <v>1.13</v>
      </c>
      <c r="Z795" s="18">
        <f t="shared" si="234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5"/>
        <v>31750699.113741599</v>
      </c>
      <c r="AJ795" s="19">
        <f t="shared" si="236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  <c r="AU795" s="22" t="s">
        <v>3751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0"/>
        <v>1.13</v>
      </c>
      <c r="Z796" s="18">
        <f t="shared" si="234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5"/>
        <v>31750699.113741599</v>
      </c>
      <c r="AJ796" s="19">
        <f t="shared" si="236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  <c r="AU796" s="22" t="s">
        <v>3751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0"/>
        <v>1.13</v>
      </c>
      <c r="Z797" s="18">
        <f t="shared" si="234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5"/>
        <v>31750699.113741599</v>
      </c>
      <c r="AJ797" s="19">
        <f t="shared" si="236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  <c r="AU797" s="22" t="s">
        <v>3751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0"/>
        <v>1.13</v>
      </c>
      <c r="Z798" s="18">
        <f t="shared" si="234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5"/>
        <v>31750699.113741599</v>
      </c>
      <c r="AJ798" s="19">
        <f t="shared" si="236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  <c r="AU798" s="22" t="s">
        <v>3751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0"/>
        <v>1.13</v>
      </c>
      <c r="Z799" s="18">
        <f t="shared" si="234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5"/>
        <v>31750699.113741599</v>
      </c>
      <c r="AJ799" s="19">
        <f t="shared" si="236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  <c r="AU799" s="22" t="s">
        <v>3751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0"/>
        <v>1.13</v>
      </c>
      <c r="Z800" s="18">
        <f t="shared" si="234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5"/>
        <v>17329060.066371687</v>
      </c>
      <c r="AJ800" s="19">
        <f t="shared" si="236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  <c r="AU800" s="22" t="s">
        <v>3751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0"/>
        <v>1.13</v>
      </c>
      <c r="Z801" s="18">
        <f t="shared" si="234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5"/>
        <v>17329060.066371687</v>
      </c>
      <c r="AJ801" s="19">
        <f t="shared" si="236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  <c r="AU801" s="22" t="s">
        <v>3751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0"/>
        <v>1.13</v>
      </c>
      <c r="Z802" s="18">
        <f t="shared" si="234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5"/>
        <v>17329060.066371687</v>
      </c>
      <c r="AJ802" s="19">
        <f t="shared" si="236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  <c r="AU802" s="22" t="s">
        <v>3751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0"/>
        <v>1.13</v>
      </c>
      <c r="Z803" s="18">
        <f t="shared" si="234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5"/>
        <v>30573205.452778768</v>
      </c>
      <c r="AJ803" s="19">
        <f t="shared" si="236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  <c r="AU803" s="22" t="s">
        <v>3751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0"/>
        <v>1.13</v>
      </c>
      <c r="Z804" s="18">
        <f t="shared" si="234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5"/>
        <v>30573205.452778768</v>
      </c>
      <c r="AJ804" s="19">
        <f t="shared" si="236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  <c r="AU804" s="22" t="s">
        <v>3751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0"/>
        <v>1.13</v>
      </c>
      <c r="Z805" s="18">
        <f t="shared" si="234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5"/>
        <v>30573205.452778768</v>
      </c>
      <c r="AJ805" s="19">
        <f t="shared" si="236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  <c r="AU805" s="22" t="s">
        <v>3751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0"/>
        <v>1.13</v>
      </c>
      <c r="Z806" s="18">
        <f t="shared" si="234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5"/>
        <v>30573205.452778768</v>
      </c>
      <c r="AJ806" s="19">
        <f t="shared" si="236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  <c r="AU806" s="22" t="s">
        <v>3751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0"/>
        <v>1.13</v>
      </c>
      <c r="Z807" s="18">
        <f t="shared" si="234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5"/>
        <v>28177779.013274338</v>
      </c>
      <c r="AJ807" s="19">
        <f t="shared" si="236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  <c r="AU807" s="22" t="s">
        <v>3751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0"/>
        <v>1.13</v>
      </c>
      <c r="Z808" s="18">
        <f t="shared" si="234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5"/>
        <v>28177779.013274338</v>
      </c>
      <c r="AJ808" s="19">
        <f t="shared" si="236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  <c r="AU808" s="22" t="s">
        <v>3751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4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5"/>
        <v>29840797.698275864</v>
      </c>
      <c r="AJ809" s="19">
        <f t="shared" si="236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  <c r="AU809" s="22" t="s">
        <v>3744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4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5"/>
        <v>29500529.005044252</v>
      </c>
      <c r="AJ810" s="19">
        <f t="shared" si="236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  <c r="AU810" s="22" t="s">
        <v>3745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4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5"/>
        <v>33477255.428389374</v>
      </c>
      <c r="AJ811" s="19">
        <f t="shared" si="236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  <c r="AU811" s="22" t="s">
        <v>3744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1">IF(W812="RMB","1.13", "1")</f>
        <v>1</v>
      </c>
      <c r="Z812" s="18">
        <f t="shared" si="234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5"/>
        <v>45803245.025628321</v>
      </c>
      <c r="AJ812" s="19">
        <f t="shared" si="236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  <c r="AU812" s="22" t="s">
        <v>3745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1"/>
        <v>1</v>
      </c>
      <c r="Z813" s="18">
        <f t="shared" si="234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5"/>
        <v>45803245.025628321</v>
      </c>
      <c r="AJ813" s="19">
        <f t="shared" si="236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  <c r="AU813" s="22" t="s">
        <v>3745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1"/>
        <v>1</v>
      </c>
      <c r="Z814" s="18">
        <f t="shared" ref="Z814:Z877" si="252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5"/>
        <v>47458373.787610628</v>
      </c>
      <c r="AJ814" s="19">
        <f t="shared" si="236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  <c r="AU814" s="22" t="s">
        <v>3745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1"/>
        <v>1</v>
      </c>
      <c r="Z815" s="18">
        <f t="shared" si="252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5"/>
        <v>47458373.787610628</v>
      </c>
      <c r="AJ815" s="19">
        <f t="shared" si="236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  <c r="AU815" s="22" t="s">
        <v>3745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1"/>
        <v>1</v>
      </c>
      <c r="Z816" s="18">
        <f t="shared" si="252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5"/>
        <v>499582152.5142017</v>
      </c>
      <c r="AJ816" s="19">
        <f t="shared" si="236"/>
        <v>59520528.679470733</v>
      </c>
      <c r="AK816" s="20">
        <f t="shared" si="244"/>
        <v>0.11914062257814291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  <c r="AU816" s="22" t="s">
        <v>3745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1"/>
        <v>1</v>
      </c>
      <c r="Z817" s="18">
        <f t="shared" si="252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5"/>
        <v>499582152.5142017</v>
      </c>
      <c r="AJ817" s="19">
        <f t="shared" si="236"/>
        <v>59520528.679470733</v>
      </c>
      <c r="AK817" s="20">
        <f t="shared" si="244"/>
        <v>0.11914062257814291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  <c r="AU817" s="22" t="s">
        <v>3745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1"/>
        <v>1</v>
      </c>
      <c r="Z818" s="18">
        <f t="shared" si="252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5"/>
        <v>41443303.53761062</v>
      </c>
      <c r="AJ818" s="19">
        <f t="shared" si="236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  <c r="AU818" s="22" t="s">
        <v>3746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1"/>
        <v>1</v>
      </c>
      <c r="Z819" s="18">
        <f t="shared" si="252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5"/>
        <v>10844605.840707963</v>
      </c>
      <c r="AJ819" s="19">
        <f t="shared" si="236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  <c r="AU819" s="22" t="s">
        <v>3746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1"/>
        <v>1</v>
      </c>
      <c r="Z820" s="18">
        <f t="shared" si="252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5"/>
        <v>499582152.5142017</v>
      </c>
      <c r="AJ820" s="19">
        <f t="shared" si="236"/>
        <v>59520528.679470733</v>
      </c>
      <c r="AK820" s="20">
        <f t="shared" si="244"/>
        <v>0.11914062257814291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  <c r="AU820" s="22" t="s">
        <v>3745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2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5"/>
        <v>48763143.537654862</v>
      </c>
      <c r="AJ821" s="19">
        <f t="shared" si="236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  <c r="AU821" s="22" t="s">
        <v>3745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2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5"/>
        <v>48763143.537654862</v>
      </c>
      <c r="AJ822" s="19">
        <f t="shared" si="236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  <c r="AU822" s="22" t="s">
        <v>3745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2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5"/>
        <v>499582152.5142017</v>
      </c>
      <c r="AJ823" s="19">
        <f t="shared" si="236"/>
        <v>59520528.679470733</v>
      </c>
      <c r="AK823" s="20">
        <f t="shared" si="244"/>
        <v>0.11914062257814291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  <c r="AU823" s="22" t="s">
        <v>3745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2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5"/>
        <v>499582152.5142017</v>
      </c>
      <c r="AJ824" s="19">
        <f t="shared" si="236"/>
        <v>59520528.679470733</v>
      </c>
      <c r="AK824" s="20">
        <f t="shared" si="244"/>
        <v>0.11914062257814291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  <c r="AU824" s="22" t="s">
        <v>3745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2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5"/>
        <v>499582152.5142017</v>
      </c>
      <c r="AJ825" s="19">
        <f t="shared" si="236"/>
        <v>59520528.679470733</v>
      </c>
      <c r="AK825" s="20">
        <f t="shared" si="244"/>
        <v>0.11914062257814291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  <c r="AU825" s="22" t="s">
        <v>3745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2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5"/>
        <v>20319282.700884953</v>
      </c>
      <c r="AJ826" s="27">
        <f t="shared" si="236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20244JPY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  <c r="AU826" s="22" t="s">
        <v>3745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2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35"/>
        <v>20319282.700884953</v>
      </c>
      <c r="AJ827" s="27">
        <f t="shared" si="236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20244JPY</v>
      </c>
      <c r="AR827" s="206" t="str">
        <f t="shared" si="247"/>
        <v>YAMAHA_Non_Mounter</v>
      </c>
      <c r="AS827" s="22">
        <f t="shared" si="248"/>
        <v>3</v>
      </c>
      <c r="AT827" s="24" t="str">
        <f t="shared" si="249"/>
        <v>0-3 months</v>
      </c>
      <c r="AU827" s="22" t="s">
        <v>3746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2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35"/>
        <v>20319282.700884953</v>
      </c>
      <c r="AJ828" s="27">
        <f t="shared" si="236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20244JPY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2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5"/>
        <v>44078731.611185849</v>
      </c>
      <c r="AJ829" s="19">
        <f t="shared" si="236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  <c r="AU829" s="22" t="s">
        <v>3745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2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5"/>
        <v>28647263.974455759</v>
      </c>
      <c r="AJ830" s="19">
        <f t="shared" si="236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  <c r="AU830" s="22" t="s">
        <v>3746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2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5"/>
        <v>28647263.974455759</v>
      </c>
      <c r="AJ831" s="19">
        <f t="shared" si="236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  <c r="AU831" s="22" t="s">
        <v>3746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2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5"/>
        <v>21386017.707964607</v>
      </c>
      <c r="AJ832" s="19">
        <f t="shared" si="236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  <c r="AU832" s="22" t="s">
        <v>3746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2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5"/>
        <v>21386017.707964607</v>
      </c>
      <c r="AJ833" s="19">
        <f t="shared" si="236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  <c r="AU833" s="22" t="s">
        <v>3746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2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3">IF(P834="C66 SERVICE","",SUMIFS(AB:AB,F:F,F834,G:G,G834,E:E,E834))</f>
        <v>29183109.05575221</v>
      </c>
      <c r="AJ834" s="19">
        <f t="shared" ref="AJ834:AJ897" si="254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  <c r="AU834" s="22" t="s">
        <v>3746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2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3"/>
        <v>54700260.692079648</v>
      </c>
      <c r="AJ835" s="19">
        <f t="shared" si="254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  <c r="AU835" s="22" t="s">
        <v>3746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2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3"/>
        <v>41443303.53761062</v>
      </c>
      <c r="AJ836" s="19">
        <f t="shared" si="254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  <c r="AU836" s="22" t="s">
        <v>3746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2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3"/>
        <v>41443303.53761062</v>
      </c>
      <c r="AJ837" s="19">
        <f t="shared" si="254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  <c r="AU837" s="22" t="s">
        <v>3746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2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3"/>
        <v>47416008.333399981</v>
      </c>
      <c r="AJ838" s="19">
        <f t="shared" si="254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  <c r="AU838" s="22" t="s">
        <v>3746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2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3"/>
        <v>47416008.333399981</v>
      </c>
      <c r="AJ839" s="19">
        <f t="shared" si="254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  <c r="AU839" s="22" t="s">
        <v>3746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2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3"/>
        <v>47416008.333399981</v>
      </c>
      <c r="AJ840" s="19">
        <f t="shared" si="254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  <c r="AU840" s="22" t="s">
        <v>3746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2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3"/>
        <v>29183109.05575221</v>
      </c>
      <c r="AJ841" s="19">
        <f t="shared" si="254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  <c r="AU841" s="22" t="s">
        <v>3746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2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3"/>
        <v>29183109.05575221</v>
      </c>
      <c r="AJ842" s="19">
        <f t="shared" si="254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  <c r="AU842" s="22" t="s">
        <v>3746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2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3"/>
        <v>29183109.05575221</v>
      </c>
      <c r="AJ843" s="19">
        <f t="shared" si="254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  <c r="AU843" s="22" t="s">
        <v>3746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68">IF(W844="RMB","1.13", "1")</f>
        <v>1</v>
      </c>
      <c r="Z844" s="18">
        <f t="shared" si="252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3"/>
        <v>48763143.537654862</v>
      </c>
      <c r="AJ844" s="19">
        <f t="shared" si="254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  <c r="AU844" s="22" t="s">
        <v>3746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68"/>
        <v>1</v>
      </c>
      <c r="Z845" s="18">
        <f t="shared" si="252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3"/>
        <v>48763143.537654862</v>
      </c>
      <c r="AJ845" s="19">
        <f t="shared" si="254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  <c r="AU845" s="22" t="s">
        <v>3746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68"/>
        <v>1</v>
      </c>
      <c r="Z846" s="18">
        <f t="shared" si="252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3"/>
        <v>48763143.537654862</v>
      </c>
      <c r="AJ846" s="19">
        <f t="shared" si="254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  <c r="AU846" s="22" t="s">
        <v>3746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68"/>
        <v>1</v>
      </c>
      <c r="Z847" s="18">
        <f t="shared" si="252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3"/>
        <v>48763143.537654862</v>
      </c>
      <c r="AJ847" s="19">
        <f t="shared" si="254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  <c r="AU847" s="22" t="s">
        <v>3746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68"/>
        <v>1</v>
      </c>
      <c r="Z848" s="18">
        <f t="shared" si="252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3"/>
        <v>63006605.696460173</v>
      </c>
      <c r="AJ848" s="19">
        <f t="shared" si="254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  <c r="AU848" s="22" t="s">
        <v>3745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68"/>
        <v>1</v>
      </c>
      <c r="Z849" s="18">
        <f t="shared" si="252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3"/>
        <v>63006605.696460173</v>
      </c>
      <c r="AJ849" s="19">
        <f t="shared" si="254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  <c r="AU849" s="22" t="s">
        <v>3745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68"/>
        <v>1.13</v>
      </c>
      <c r="Z850" s="18">
        <f t="shared" si="252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3"/>
        <v>33543315.897345133</v>
      </c>
      <c r="AJ850" s="19">
        <f t="shared" si="254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  <c r="AU850" s="22" t="s">
        <v>3751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68"/>
        <v>1.13</v>
      </c>
      <c r="Z851" s="18">
        <f t="shared" si="252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3"/>
        <v>33543315.897345133</v>
      </c>
      <c r="AJ851" s="19">
        <f t="shared" si="254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  <c r="AU851" s="22" t="s">
        <v>3751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2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3"/>
        <v>499582152.5142017</v>
      </c>
      <c r="AJ852" s="19">
        <f t="shared" si="254"/>
        <v>59520528.679470733</v>
      </c>
      <c r="AK852" s="20">
        <f t="shared" si="262"/>
        <v>0.11914062257814291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  <c r="AU852" s="22" t="s">
        <v>3746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2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3"/>
        <v>499582152.5142017</v>
      </c>
      <c r="AJ853" s="19">
        <f t="shared" si="254"/>
        <v>59520528.679470733</v>
      </c>
      <c r="AK853" s="20">
        <f t="shared" si="262"/>
        <v>0.11914062257814291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  <c r="AU853" s="22" t="s">
        <v>3746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2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3"/>
        <v>499582152.5142017</v>
      </c>
      <c r="AJ854" s="19">
        <f t="shared" si="254"/>
        <v>59520528.679470733</v>
      </c>
      <c r="AK854" s="20">
        <f t="shared" si="262"/>
        <v>0.11914062257814291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  <c r="AU854" s="22" t="s">
        <v>3746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2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53"/>
        <v>20319282.700884953</v>
      </c>
      <c r="AJ855" s="27">
        <f t="shared" si="254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/>
      </c>
      <c r="AR855" s="206" t="str">
        <f t="shared" si="265"/>
        <v>C66 SERVICE</v>
      </c>
      <c r="AS855" s="22" t="str">
        <f t="shared" si="266"/>
        <v/>
      </c>
      <c r="AT855" s="24" t="str">
        <f t="shared" si="267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2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3"/>
        <v>20319282.700884953</v>
      </c>
      <c r="AJ856" s="27">
        <f t="shared" si="254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/>
      </c>
      <c r="AR856" s="206" t="str">
        <f t="shared" si="265"/>
        <v>C66 SERVICE</v>
      </c>
      <c r="AS856" s="22" t="str">
        <f t="shared" si="266"/>
        <v/>
      </c>
      <c r="AT856" s="24" t="str">
        <f t="shared" si="267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2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53"/>
        <v>20319282.700884953</v>
      </c>
      <c r="AJ857" s="27">
        <f t="shared" si="254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/>
      </c>
      <c r="AR857" s="206" t="str">
        <f t="shared" si="265"/>
        <v>C66 SERVICE</v>
      </c>
      <c r="AS857" s="22" t="str">
        <f t="shared" si="266"/>
        <v/>
      </c>
      <c r="AT857" s="24" t="str">
        <f t="shared" si="267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2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3"/>
        <v>20319282.700884953</v>
      </c>
      <c r="AJ858" s="27">
        <f t="shared" si="254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/>
      </c>
      <c r="AR858" s="206" t="str">
        <f t="shared" si="265"/>
        <v>C66 SERVICE</v>
      </c>
      <c r="AS858" s="22" t="str">
        <f t="shared" si="266"/>
        <v/>
      </c>
      <c r="AT858" s="24" t="str">
        <f t="shared" si="267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2"/>
        <v>7150000</v>
      </c>
      <c r="AA859" s="13">
        <v>7.2700000000000001E-2</v>
      </c>
      <c r="AB859" s="21">
        <f t="shared" ref="AB859:AB922" si="269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3"/>
        <v>14005204.685000001</v>
      </c>
      <c r="AJ859" s="19">
        <f t="shared" si="254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  <c r="AU859" s="22" t="s">
        <v>3746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2"/>
        <v>7771400</v>
      </c>
      <c r="AA860" s="13">
        <v>7.6100000000000001E-2</v>
      </c>
      <c r="AB860" s="21">
        <f t="shared" si="269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3"/>
        <v>44078731.611185849</v>
      </c>
      <c r="AJ860" s="19">
        <f t="shared" si="254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  <c r="AU860" s="22" t="s">
        <v>3745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2"/>
        <v>7771400</v>
      </c>
      <c r="AA861" s="13">
        <v>7.6799999999999993E-2</v>
      </c>
      <c r="AB861" s="21">
        <f t="shared" si="269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3"/>
        <v>45803245.025628321</v>
      </c>
      <c r="AJ861" s="19">
        <f t="shared" si="254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  <c r="AU861" s="22" t="s">
        <v>3745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2"/>
        <v>7771400</v>
      </c>
      <c r="AA862" s="13">
        <v>7.6799999999999993E-2</v>
      </c>
      <c r="AB862" s="21">
        <f t="shared" si="269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3"/>
        <v>45803245.025628321</v>
      </c>
      <c r="AJ862" s="19">
        <f t="shared" si="254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  <c r="AU862" s="22" t="s">
        <v>3745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2"/>
        <v>471400</v>
      </c>
      <c r="AA863" s="13">
        <v>1.135</v>
      </c>
      <c r="AB863" s="21">
        <f t="shared" si="269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3"/>
        <v>15948576.102654871</v>
      </c>
      <c r="AJ863" s="19">
        <f t="shared" si="254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2"/>
        <v>14300000</v>
      </c>
      <c r="AA864" s="13">
        <v>7.22E-2</v>
      </c>
      <c r="AB864" s="21">
        <f t="shared" si="269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3"/>
        <v>47416008.333399981</v>
      </c>
      <c r="AJ864" s="19">
        <f t="shared" si="254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  <c r="AU864" s="22" t="s">
        <v>3745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2"/>
        <v>840000</v>
      </c>
      <c r="AA865" s="13">
        <v>1.105</v>
      </c>
      <c r="AB865" s="21">
        <f t="shared" si="269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3"/>
        <v>37969334.083628319</v>
      </c>
      <c r="AJ865" s="19">
        <f t="shared" si="254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  <c r="AU865" s="22" t="s">
        <v>3744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2"/>
        <v>13730000</v>
      </c>
      <c r="AA866" s="13">
        <v>7.0699999999999999E-2</v>
      </c>
      <c r="AB866" s="21">
        <f t="shared" si="269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3"/>
        <v>10785027.603448275</v>
      </c>
      <c r="AJ866" s="19">
        <f t="shared" si="254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  <c r="AU866" s="22" t="s">
        <v>3746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2"/>
        <v>13730000</v>
      </c>
      <c r="AA867" s="13">
        <v>7.0699999999999999E-2</v>
      </c>
      <c r="AB867" s="21">
        <f t="shared" si="269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3"/>
        <v>10785027.603448275</v>
      </c>
      <c r="AJ867" s="19">
        <f t="shared" si="254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  <c r="AU867" s="22" t="s">
        <v>3746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0">IF(W868="RMB","1.13", "1")</f>
        <v>1</v>
      </c>
      <c r="Z868" s="18">
        <f t="shared" si="252"/>
        <v>15000000</v>
      </c>
      <c r="AA868" s="13">
        <v>7.17E-2</v>
      </c>
      <c r="AB868" s="21">
        <f t="shared" si="269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3"/>
        <v>41443303.53761062</v>
      </c>
      <c r="AJ868" s="19">
        <f t="shared" si="254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  <c r="AU868" s="22" t="s">
        <v>3745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0"/>
        <v>1</v>
      </c>
      <c r="Z869" s="18">
        <f t="shared" si="252"/>
        <v>15000000</v>
      </c>
      <c r="AA869" s="13">
        <v>7.17E-2</v>
      </c>
      <c r="AB869" s="21">
        <f t="shared" si="269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3"/>
        <v>41443303.53761062</v>
      </c>
      <c r="AJ869" s="19">
        <f t="shared" si="254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  <c r="AU869" s="22" t="s">
        <v>3745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0"/>
        <v>1</v>
      </c>
      <c r="Z870" s="18">
        <f t="shared" si="252"/>
        <v>6800000</v>
      </c>
      <c r="AA870" s="13">
        <v>7.17E-2</v>
      </c>
      <c r="AB870" s="21">
        <f t="shared" si="269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3"/>
        <v>41443303.53761062</v>
      </c>
      <c r="AJ870" s="19">
        <f t="shared" si="254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  <c r="AU870" s="22" t="s">
        <v>3745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0"/>
        <v>1</v>
      </c>
      <c r="Z871" s="18">
        <f t="shared" si="252"/>
        <v>12600000</v>
      </c>
      <c r="AA871" s="13">
        <v>7.2400000000000006E-2</v>
      </c>
      <c r="AB871" s="21">
        <f t="shared" si="269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3"/>
        <v>499582152.5142017</v>
      </c>
      <c r="AJ871" s="19">
        <f t="shared" si="254"/>
        <v>59520528.679470733</v>
      </c>
      <c r="AK871" s="20">
        <f t="shared" si="262"/>
        <v>0.11914062257814291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  <c r="AU871" s="22" t="s">
        <v>3745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0"/>
        <v>1</v>
      </c>
      <c r="Z872" s="18">
        <f t="shared" si="252"/>
        <v>12600000</v>
      </c>
      <c r="AA872" s="13">
        <v>7.2400000000000006E-2</v>
      </c>
      <c r="AB872" s="21">
        <f t="shared" si="269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3"/>
        <v>499582152.5142017</v>
      </c>
      <c r="AJ872" s="19">
        <f t="shared" si="254"/>
        <v>59520528.679470733</v>
      </c>
      <c r="AK872" s="20">
        <f t="shared" si="262"/>
        <v>0.11914062257814291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  <c r="AU872" s="22" t="s">
        <v>3745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0"/>
        <v>1</v>
      </c>
      <c r="Z873" s="18">
        <f t="shared" si="252"/>
        <v>11498600</v>
      </c>
      <c r="AA873" s="13">
        <v>7.2400000000000006E-2</v>
      </c>
      <c r="AB873" s="21">
        <f t="shared" si="269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3"/>
        <v>499582152.5142017</v>
      </c>
      <c r="AJ873" s="19">
        <f t="shared" si="254"/>
        <v>59520528.679470733</v>
      </c>
      <c r="AK873" s="20">
        <f t="shared" si="262"/>
        <v>0.11914062257814291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  <c r="AU873" s="22" t="s">
        <v>3745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0"/>
        <v>1</v>
      </c>
      <c r="Z874" s="18">
        <f t="shared" si="252"/>
        <v>11498600</v>
      </c>
      <c r="AA874" s="13">
        <v>7.2400000000000006E-2</v>
      </c>
      <c r="AB874" s="21">
        <f t="shared" si="269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3"/>
        <v>499582152.5142017</v>
      </c>
      <c r="AJ874" s="19">
        <f t="shared" si="254"/>
        <v>59520528.679470733</v>
      </c>
      <c r="AK874" s="20">
        <f t="shared" si="262"/>
        <v>0.11914062257814291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  <c r="AU874" s="22" t="s">
        <v>3745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1">IF(W875="","",IF(W875="RMB","1.13", "1"))</f>
        <v>1</v>
      </c>
      <c r="Z875" s="18">
        <f t="shared" si="252"/>
        <v>13000000</v>
      </c>
      <c r="AA875" s="13">
        <v>5.6300000000000003E-2</v>
      </c>
      <c r="AB875" s="21">
        <f t="shared" si="269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3"/>
        <v>23146578.081415929</v>
      </c>
      <c r="AJ875" s="19">
        <f t="shared" si="254"/>
        <v>2745231.3889985834</v>
      </c>
      <c r="AK875" s="20">
        <f t="shared" si="262"/>
        <v>0.11860204041143742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  <c r="AU875" s="22" t="s">
        <v>3745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1"/>
        <v>1</v>
      </c>
      <c r="Z876" s="18">
        <f t="shared" si="252"/>
        <v>13000000</v>
      </c>
      <c r="AA876" s="13">
        <v>5.6300000000000003E-2</v>
      </c>
      <c r="AB876" s="21">
        <f t="shared" si="269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3"/>
        <v>23146578.081415929</v>
      </c>
      <c r="AJ876" s="19">
        <f t="shared" si="254"/>
        <v>2745231.3889985834</v>
      </c>
      <c r="AK876" s="20">
        <f t="shared" si="262"/>
        <v>0.11860204041143742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  <c r="AU876" s="22" t="s">
        <v>3745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1"/>
        <v>1</v>
      </c>
      <c r="Z877" s="18">
        <f t="shared" si="252"/>
        <v>13000000</v>
      </c>
      <c r="AA877" s="13">
        <v>5.6300000000000003E-2</v>
      </c>
      <c r="AB877" s="21">
        <f t="shared" si="269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3"/>
        <v>23146578.081415929</v>
      </c>
      <c r="AJ877" s="19">
        <f t="shared" si="254"/>
        <v>2745231.3889985834</v>
      </c>
      <c r="AK877" s="20">
        <f t="shared" si="262"/>
        <v>0.11860204041143742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  <c r="AU877" s="22" t="s">
        <v>3745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1"/>
        <v>1</v>
      </c>
      <c r="Z878" s="18">
        <f t="shared" ref="Z878:Z941" si="272">IF(X878="","",X878*MAX(O878,N878))</f>
        <v>13000000</v>
      </c>
      <c r="AA878" s="13">
        <v>5.6300000000000003E-2</v>
      </c>
      <c r="AB878" s="21">
        <f t="shared" si="269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3"/>
        <v>23146578.081415929</v>
      </c>
      <c r="AJ878" s="19">
        <f t="shared" si="254"/>
        <v>2745231.3889985834</v>
      </c>
      <c r="AK878" s="20">
        <f t="shared" si="262"/>
        <v>0.11860204041143742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  <c r="AU878" s="22" t="s">
        <v>3745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1"/>
        <v>1</v>
      </c>
      <c r="Z879" s="18">
        <f t="shared" si="272"/>
        <v>8500000</v>
      </c>
      <c r="AA879" s="13">
        <v>5.6300000000000003E-2</v>
      </c>
      <c r="AB879" s="21">
        <f t="shared" si="269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3"/>
        <v>23146578.081415929</v>
      </c>
      <c r="AJ879" s="19">
        <f t="shared" si="254"/>
        <v>2745231.3889985834</v>
      </c>
      <c r="AK879" s="20">
        <f t="shared" si="262"/>
        <v>0.11860204041143742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  <c r="AU879" s="22" t="s">
        <v>3745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1"/>
        <v>1</v>
      </c>
      <c r="Z880" s="18">
        <f t="shared" si="272"/>
        <v>8500000</v>
      </c>
      <c r="AA880" s="13">
        <v>5.6300000000000003E-2</v>
      </c>
      <c r="AB880" s="21">
        <f t="shared" si="269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3"/>
        <v>23146578.081415929</v>
      </c>
      <c r="AJ880" s="19">
        <f t="shared" si="254"/>
        <v>2745231.3889985834</v>
      </c>
      <c r="AK880" s="20">
        <f t="shared" si="262"/>
        <v>0.11860204041143742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  <c r="AU880" s="22" t="s">
        <v>3745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1"/>
        <v>1</v>
      </c>
      <c r="Z881" s="18">
        <f t="shared" si="272"/>
        <v>8500000</v>
      </c>
      <c r="AA881" s="13">
        <v>5.6300000000000003E-2</v>
      </c>
      <c r="AB881" s="21">
        <f t="shared" si="269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3"/>
        <v>23146578.081415929</v>
      </c>
      <c r="AJ881" s="19">
        <f t="shared" si="254"/>
        <v>2745231.3889985834</v>
      </c>
      <c r="AK881" s="20">
        <f t="shared" si="262"/>
        <v>0.11860204041143742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  <c r="AU881" s="22" t="s">
        <v>3745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1"/>
        <v>1</v>
      </c>
      <c r="Z882" s="18">
        <f t="shared" si="272"/>
        <v>8500000</v>
      </c>
      <c r="AA882" s="13">
        <v>5.6300000000000003E-2</v>
      </c>
      <c r="AB882" s="21">
        <f t="shared" si="269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3"/>
        <v>23146578.081415929</v>
      </c>
      <c r="AJ882" s="19">
        <f t="shared" si="254"/>
        <v>2745231.3889985834</v>
      </c>
      <c r="AK882" s="20">
        <f t="shared" si="262"/>
        <v>0.11860204041143742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  <c r="AU882" s="22" t="s">
        <v>3745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1"/>
        <v>1</v>
      </c>
      <c r="Z883" s="18">
        <f t="shared" si="272"/>
        <v>8500000</v>
      </c>
      <c r="AA883" s="13">
        <v>5.6300000000000003E-2</v>
      </c>
      <c r="AB883" s="21">
        <f t="shared" si="269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3"/>
        <v>23146578.081415929</v>
      </c>
      <c r="AJ883" s="19">
        <f t="shared" si="254"/>
        <v>2745231.3889985834</v>
      </c>
      <c r="AK883" s="20">
        <f t="shared" si="262"/>
        <v>0.11860204041143742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  <c r="AU883" s="22" t="s">
        <v>3745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1"/>
        <v>1</v>
      </c>
      <c r="Z884" s="18">
        <f t="shared" si="272"/>
        <v>8500000</v>
      </c>
      <c r="AA884" s="13">
        <v>5.6300000000000003E-2</v>
      </c>
      <c r="AB884" s="21">
        <f t="shared" si="269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3"/>
        <v>23146578.081415929</v>
      </c>
      <c r="AJ884" s="19">
        <f t="shared" si="254"/>
        <v>2745231.3889985834</v>
      </c>
      <c r="AK884" s="20">
        <f t="shared" si="262"/>
        <v>0.11860204041143742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  <c r="AU884" s="22" t="s">
        <v>3745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1"/>
        <v>1</v>
      </c>
      <c r="Z885" s="18">
        <f t="shared" si="272"/>
        <v>8500000</v>
      </c>
      <c r="AA885" s="13">
        <v>5.6300000000000003E-2</v>
      </c>
      <c r="AB885" s="21">
        <f t="shared" si="269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3"/>
        <v>23146578.081415929</v>
      </c>
      <c r="AJ885" s="19">
        <f t="shared" si="254"/>
        <v>2745231.3889985834</v>
      </c>
      <c r="AK885" s="20">
        <f t="shared" si="262"/>
        <v>0.11860204041143742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  <c r="AU885" s="22" t="s">
        <v>3745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1"/>
        <v>1</v>
      </c>
      <c r="Z886" s="18">
        <f t="shared" si="272"/>
        <v>8500000</v>
      </c>
      <c r="AA886" s="13">
        <v>5.6300000000000003E-2</v>
      </c>
      <c r="AB886" s="21">
        <f t="shared" si="269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3"/>
        <v>23146578.081415929</v>
      </c>
      <c r="AJ886" s="19">
        <f t="shared" si="254"/>
        <v>2745231.3889985834</v>
      </c>
      <c r="AK886" s="20">
        <f t="shared" si="262"/>
        <v>0.11860204041143742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  <c r="AU886" s="22" t="s">
        <v>3745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69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3"/>
        <v>22953677.784070797</v>
      </c>
      <c r="AJ887" s="19">
        <f t="shared" si="254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  <c r="AU887" s="22" t="s">
        <v>3751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69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3"/>
        <v>21241742.157380536</v>
      </c>
      <c r="AJ888" s="27">
        <f t="shared" si="254"/>
        <v>2987081.1613773629</v>
      </c>
      <c r="AK888" s="28">
        <f t="shared" si="262"/>
        <v>0.14062317201884914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  <c r="AU888" s="22" t="s">
        <v>3745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69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3"/>
        <v>11620538.477876106</v>
      </c>
      <c r="AJ889" s="19">
        <f t="shared" si="254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  <c r="AU889" s="22" t="s">
        <v>3746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69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3"/>
        <v>37599388.802345134</v>
      </c>
      <c r="AJ890" s="19">
        <f t="shared" si="254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  <c r="AU890" s="22" t="s">
        <v>3745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69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3"/>
        <v>37599388.802345134</v>
      </c>
      <c r="AJ891" s="19">
        <f t="shared" si="254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  <c r="AU891" s="22" t="s">
        <v>3745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69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3"/>
        <v>37599388.802345134</v>
      </c>
      <c r="AJ892" s="19">
        <f t="shared" si="254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  <c r="AU892" s="22" t="s">
        <v>3745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69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3"/>
        <v>37599388.802345134</v>
      </c>
      <c r="AJ893" s="19">
        <f t="shared" si="254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  <c r="AU893" s="22" t="s">
        <v>3745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69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3"/>
        <v>28065694.408805311</v>
      </c>
      <c r="AJ894" s="19">
        <f t="shared" si="254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  <c r="AU894" s="22" t="s">
        <v>3745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69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3"/>
        <v>28065694.408805311</v>
      </c>
      <c r="AJ895" s="19">
        <f t="shared" si="254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  <c r="AU895" s="22" t="s">
        <v>3745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69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3"/>
        <v>28065694.408805311</v>
      </c>
      <c r="AJ896" s="19">
        <f t="shared" si="254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  <c r="AU896" s="22" t="s">
        <v>3745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69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3"/>
        <v>28065694.408805311</v>
      </c>
      <c r="AJ897" s="19">
        <f t="shared" si="254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  <c r="AU897" s="22" t="s">
        <v>3745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69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3">IF(P898="C66 SERVICE","",SUMIFS(AB:AB,F:F,F898,G:G,G898,E:E,E898))</f>
        <v>28065694.408805311</v>
      </c>
      <c r="AJ898" s="19">
        <f t="shared" ref="AJ898:AJ961" si="274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  <c r="AU898" s="22" t="s">
        <v>3745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69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3"/>
        <v>28065694.408805311</v>
      </c>
      <c r="AJ899" s="19">
        <f t="shared" si="274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  <c r="AU899" s="22" t="s">
        <v>3745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2"/>
        <v>12034882</v>
      </c>
      <c r="AA900" s="13">
        <v>7.17E-2</v>
      </c>
      <c r="AB900" s="21">
        <f t="shared" si="269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3"/>
        <v>43684091.636631854</v>
      </c>
      <c r="AJ900" s="19">
        <f t="shared" si="274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  <c r="AU900" s="22" t="s">
        <v>3745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2"/>
        <v>8000000</v>
      </c>
      <c r="AA901" s="13">
        <v>7.17E-2</v>
      </c>
      <c r="AB901" s="21">
        <f t="shared" si="269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3"/>
        <v>43684091.636631854</v>
      </c>
      <c r="AJ901" s="19">
        <f t="shared" si="274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  <c r="AU901" s="22" t="s">
        <v>3745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2"/>
        <v>11918157</v>
      </c>
      <c r="AA902" s="13">
        <v>6.25E-2</v>
      </c>
      <c r="AB902" s="21">
        <f t="shared" si="269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3"/>
        <v>499582152.5142017</v>
      </c>
      <c r="AJ902" s="19">
        <f t="shared" si="274"/>
        <v>59520528.679470733</v>
      </c>
      <c r="AK902" s="20">
        <f t="shared" ref="AK902:AK965" si="282">IF(AJ902&gt;0,AJ902/AI902,"")</f>
        <v>0.11914062257814291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  <c r="AU902" s="22" t="s">
        <v>3745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2"/>
        <v>11918157</v>
      </c>
      <c r="AA903" s="13">
        <v>6.25E-2</v>
      </c>
      <c r="AB903" s="21">
        <f t="shared" si="269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3"/>
        <v>499582152.5142017</v>
      </c>
      <c r="AJ903" s="19">
        <f t="shared" si="274"/>
        <v>59520528.679470733</v>
      </c>
      <c r="AK903" s="20">
        <f t="shared" si="282"/>
        <v>0.11914062257814291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  <c r="AU903" s="22" t="s">
        <v>3745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2"/>
        <v>11918157</v>
      </c>
      <c r="AA904" s="13">
        <v>6.25E-2</v>
      </c>
      <c r="AB904" s="21">
        <f t="shared" si="269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3"/>
        <v>499582152.5142017</v>
      </c>
      <c r="AJ904" s="19">
        <f t="shared" si="274"/>
        <v>59520528.679470733</v>
      </c>
      <c r="AK904" s="20">
        <f t="shared" si="282"/>
        <v>0.11914062257814291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  <c r="AU904" s="22" t="s">
        <v>3745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2"/>
        <v>8000000</v>
      </c>
      <c r="AA905" s="13">
        <v>6.25E-2</v>
      </c>
      <c r="AB905" s="21">
        <f t="shared" si="269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3"/>
        <v>499582152.5142017</v>
      </c>
      <c r="AJ905" s="19">
        <f t="shared" si="274"/>
        <v>59520528.679470733</v>
      </c>
      <c r="AK905" s="20">
        <f t="shared" si="282"/>
        <v>0.11914062257814291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  <c r="AU905" s="22" t="s">
        <v>3745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2"/>
        <v>8000000</v>
      </c>
      <c r="AA906" s="13">
        <v>6.25E-2</v>
      </c>
      <c r="AB906" s="21">
        <f t="shared" si="269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3"/>
        <v>499582152.5142017</v>
      </c>
      <c r="AJ906" s="19">
        <f t="shared" si="274"/>
        <v>59520528.679470733</v>
      </c>
      <c r="AK906" s="20">
        <f t="shared" si="282"/>
        <v>0.11914062257814291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  <c r="AU906" s="22" t="s">
        <v>3745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2"/>
        <v>8000000</v>
      </c>
      <c r="AA907" s="13">
        <v>6.25E-2</v>
      </c>
      <c r="AB907" s="21">
        <f t="shared" si="269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3"/>
        <v>499582152.5142017</v>
      </c>
      <c r="AJ907" s="19">
        <f t="shared" si="274"/>
        <v>59520528.679470733</v>
      </c>
      <c r="AK907" s="20">
        <f t="shared" si="282"/>
        <v>0.11914062257814291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  <c r="AU907" s="22" t="s">
        <v>3745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2"/>
        <v>12669000</v>
      </c>
      <c r="AA908" s="13">
        <v>5.7500000000000002E-2</v>
      </c>
      <c r="AB908" s="21">
        <f t="shared" si="269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3"/>
        <v>17329060.066371687</v>
      </c>
      <c r="AJ908" s="19">
        <f t="shared" si="274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  <c r="AU908" s="22" t="s">
        <v>3745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2"/>
        <v>7416000</v>
      </c>
      <c r="AA909" s="13">
        <v>5.7500000000000002E-2</v>
      </c>
      <c r="AB909" s="21">
        <f t="shared" si="269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3"/>
        <v>17329060.066371687</v>
      </c>
      <c r="AJ909" s="19">
        <f t="shared" si="274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  <c r="AU909" s="22" t="s">
        <v>3745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2"/>
        <v>516500</v>
      </c>
      <c r="AA910" s="13">
        <v>1.1950000000000001</v>
      </c>
      <c r="AB910" s="21">
        <f t="shared" si="269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3"/>
        <v>44014086.982070789</v>
      </c>
      <c r="AJ910" s="19">
        <f t="shared" si="274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  <c r="AU910" s="22" t="s">
        <v>3751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2"/>
        <v>516500</v>
      </c>
      <c r="AA911" s="13">
        <v>1.1950000000000001</v>
      </c>
      <c r="AB911" s="21">
        <f t="shared" si="269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3"/>
        <v>44014086.982070789</v>
      </c>
      <c r="AJ911" s="19">
        <f t="shared" si="274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  <c r="AU911" s="22" t="s">
        <v>3751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69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3"/>
        <v>21241742.157380536</v>
      </c>
      <c r="AJ912" s="27">
        <f t="shared" si="274"/>
        <v>2987081.1613773629</v>
      </c>
      <c r="AK912" s="28">
        <f t="shared" si="282"/>
        <v>0.14062317201884914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  <c r="AU912" s="22" t="s">
        <v>3751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69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3"/>
        <v>47907808.356810622</v>
      </c>
      <c r="AJ913" s="19">
        <f t="shared" si="274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  <c r="AU913" s="22" t="s">
        <v>3745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69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3"/>
        <v>499582152.5142017</v>
      </c>
      <c r="AJ914" s="19">
        <f t="shared" si="274"/>
        <v>59520528.679470733</v>
      </c>
      <c r="AK914" s="20">
        <f t="shared" si="282"/>
        <v>0.11914062257814291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  <c r="AU914" s="22" t="s">
        <v>3745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69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3"/>
        <v>23168285.927433632</v>
      </c>
      <c r="AJ915" s="19">
        <f t="shared" si="274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  <c r="AU915" s="22" t="s">
        <v>3744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69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3"/>
        <v>63006605.696460173</v>
      </c>
      <c r="AJ916" s="19">
        <f t="shared" si="274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  <c r="AU916" s="22" t="s">
        <v>3745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69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3"/>
        <v>63006605.696460173</v>
      </c>
      <c r="AJ917" s="19">
        <f t="shared" si="274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  <c r="AU917" s="22" t="s">
        <v>3745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69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3"/>
        <v>499582152.5142017</v>
      </c>
      <c r="AJ918" s="19">
        <f t="shared" si="274"/>
        <v>59520528.679470733</v>
      </c>
      <c r="AK918" s="20">
        <f t="shared" si="282"/>
        <v>0.11914062257814291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  <c r="AU918" s="22" t="s">
        <v>3745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69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3"/>
        <v>499582152.5142017</v>
      </c>
      <c r="AJ919" s="19">
        <f t="shared" si="274"/>
        <v>59520528.679470733</v>
      </c>
      <c r="AK919" s="20">
        <f t="shared" si="282"/>
        <v>0.11914062257814291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  <c r="AU919" s="22" t="s">
        <v>3745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69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3"/>
        <v>24398045.86045352</v>
      </c>
      <c r="AJ920" s="19">
        <f t="shared" si="274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  <c r="AU920" s="22" t="s">
        <v>3745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69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3"/>
        <v>28177779.013274338</v>
      </c>
      <c r="AJ921" s="19">
        <f t="shared" si="274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  <c r="AU921" s="22" t="s">
        <v>3751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69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3"/>
        <v>31097187.02948761</v>
      </c>
      <c r="AJ922" s="19">
        <f t="shared" si="274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  <c r="AU922" s="22" t="s">
        <v>3745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ref="AB923:AB986" si="288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3"/>
        <v>44078731.611185849</v>
      </c>
      <c r="AJ923" s="19">
        <f t="shared" si="274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  <c r="AU923" s="22" t="s">
        <v>3744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88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3"/>
        <v>44014086.982070789</v>
      </c>
      <c r="AJ924" s="19">
        <f t="shared" si="274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  <c r="AU924" s="22" t="s">
        <v>3745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88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3"/>
        <v>499582152.5142017</v>
      </c>
      <c r="AJ925" s="19">
        <f t="shared" si="274"/>
        <v>59520528.679470733</v>
      </c>
      <c r="AK925" s="20">
        <f t="shared" si="282"/>
        <v>0.11914062257814291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  <c r="AU925" s="22" t="s">
        <v>3745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88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3"/>
        <v>499582152.5142017</v>
      </c>
      <c r="AJ926" s="19">
        <f t="shared" si="274"/>
        <v>59520528.679470733</v>
      </c>
      <c r="AK926" s="20">
        <f t="shared" si="282"/>
        <v>0.11914062257814291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  <c r="AU926" s="22" t="s">
        <v>3745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88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3"/>
        <v>5219988.5752212387</v>
      </c>
      <c r="AJ927" s="19">
        <f t="shared" si="274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  <c r="AU927" s="22" t="s">
        <v>3746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89">IF(W928="RMB","1.13", "1")</f>
        <v>1.13</v>
      </c>
      <c r="Z928" s="18">
        <f t="shared" si="272"/>
        <v>1404000</v>
      </c>
      <c r="AA928" s="13">
        <v>1.175</v>
      </c>
      <c r="AB928" s="21">
        <f t="shared" si="288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3"/>
        <v>48763143.537654862</v>
      </c>
      <c r="AJ928" s="19">
        <f t="shared" si="274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  <c r="AU928" s="22" t="s">
        <v>3744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89"/>
        <v>1.13</v>
      </c>
      <c r="Z929" s="18">
        <f t="shared" si="272"/>
        <v>468000</v>
      </c>
      <c r="AA929" s="13">
        <v>1.2</v>
      </c>
      <c r="AB929" s="21">
        <f t="shared" si="288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3"/>
        <v>10844605.840707963</v>
      </c>
      <c r="AJ929" s="19">
        <f t="shared" si="274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  <c r="AU929" s="22" t="s">
        <v>3744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89"/>
        <v>1.13</v>
      </c>
      <c r="Z930" s="18">
        <f t="shared" si="272"/>
        <v>468000</v>
      </c>
      <c r="AA930" s="13">
        <v>1.2</v>
      </c>
      <c r="AB930" s="21">
        <f t="shared" si="288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3"/>
        <v>10844605.840707963</v>
      </c>
      <c r="AJ930" s="19">
        <f t="shared" si="274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  <c r="AU930" s="22" t="s">
        <v>3744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89"/>
        <v>1</v>
      </c>
      <c r="Z931" s="18">
        <f t="shared" si="272"/>
        <v>9526667</v>
      </c>
      <c r="AA931" s="13">
        <v>7.5700000000000003E-2</v>
      </c>
      <c r="AB931" s="21">
        <f t="shared" si="288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3"/>
        <v>31097187.02948761</v>
      </c>
      <c r="AJ931" s="19">
        <f t="shared" si="274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  <c r="AU931" s="22" t="s">
        <v>3746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89"/>
        <v>1</v>
      </c>
      <c r="Z932" s="18">
        <f t="shared" si="272"/>
        <v>9526667</v>
      </c>
      <c r="AA932" s="13">
        <v>7.5700000000000003E-2</v>
      </c>
      <c r="AB932" s="21">
        <f t="shared" si="288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3"/>
        <v>31097187.02948761</v>
      </c>
      <c r="AJ932" s="19">
        <f t="shared" si="274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  <c r="AU932" s="22" t="s">
        <v>3746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89"/>
        <v>1</v>
      </c>
      <c r="Z933" s="18">
        <f t="shared" si="272"/>
        <v>9526667</v>
      </c>
      <c r="AA933" s="13">
        <v>7.5700000000000003E-2</v>
      </c>
      <c r="AB933" s="21">
        <f t="shared" si="288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3"/>
        <v>31097187.02948761</v>
      </c>
      <c r="AJ933" s="19">
        <f t="shared" si="274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  <c r="AU933" s="22" t="s">
        <v>3746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88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3"/>
        <v>23237072.69172414</v>
      </c>
      <c r="AJ934" s="19">
        <f t="shared" si="274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  <c r="AU934" s="22" t="s">
        <v>3745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88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3"/>
        <v>63006605.696460173</v>
      </c>
      <c r="AJ935" s="19">
        <f t="shared" si="274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  <c r="AU935" s="22" t="s">
        <v>3745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88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3"/>
        <v>25380121.402654871</v>
      </c>
      <c r="AJ936" s="19">
        <f t="shared" si="274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88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3"/>
        <v>25380121.402654871</v>
      </c>
      <c r="AJ937" s="19">
        <f t="shared" si="274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88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3"/>
        <v>31097187.02948761</v>
      </c>
      <c r="AJ938" s="19">
        <f t="shared" si="274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  <c r="AU938" s="22" t="s">
        <v>3745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88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3"/>
        <v>31097187.02948761</v>
      </c>
      <c r="AJ939" s="19">
        <f t="shared" si="274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  <c r="AU939" s="22" t="s">
        <v>3745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88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3"/>
        <v>32843736.557277881</v>
      </c>
      <c r="AJ940" s="19">
        <f t="shared" si="274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  <c r="AU940" s="22" t="s">
        <v>3745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88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3"/>
        <v>32843736.557277881</v>
      </c>
      <c r="AJ941" s="19">
        <f t="shared" si="274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  <c r="AU941" s="22" t="s">
        <v>3745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0">IF(X942="","",X942*MAX(O942,N942))</f>
        <v>552000</v>
      </c>
      <c r="AA942" s="13">
        <v>1.1599999999999999</v>
      </c>
      <c r="AB942" s="21">
        <f t="shared" si="288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3"/>
        <v>32843736.557277881</v>
      </c>
      <c r="AJ942" s="19">
        <f t="shared" si="274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  <c r="AU942" s="22" t="s">
        <v>3745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0"/>
        <v>15210000</v>
      </c>
      <c r="AA943" s="13">
        <v>7.3999999999999996E-2</v>
      </c>
      <c r="AB943" s="21">
        <f t="shared" si="288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3"/>
        <v>34015877.71150443</v>
      </c>
      <c r="AJ943" s="19">
        <f t="shared" si="274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  <c r="AU943" s="22" t="s">
        <v>3746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0"/>
        <v>15210000</v>
      </c>
      <c r="AA944" s="13">
        <v>7.3999999999999996E-2</v>
      </c>
      <c r="AB944" s="21">
        <f t="shared" si="288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3"/>
        <v>34015877.71150443</v>
      </c>
      <c r="AJ944" s="19">
        <f t="shared" si="274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  <c r="AU944" s="22" t="s">
        <v>3746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8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3"/>
        <v>34015877.71150443</v>
      </c>
      <c r="AJ945" s="19">
        <f t="shared" si="274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  <c r="AU945" s="22" t="s">
        <v>3746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8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3"/>
        <v>34015877.71150443</v>
      </c>
      <c r="AJ946" s="19">
        <f t="shared" si="274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  <c r="AU946" s="22" t="s">
        <v>3746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8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3"/>
        <v>34015877.71150443</v>
      </c>
      <c r="AJ947" s="19">
        <f t="shared" si="274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  <c r="AU947" s="22" t="s">
        <v>3746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8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3"/>
        <v>34015877.71150443</v>
      </c>
      <c r="AJ948" s="19">
        <f t="shared" si="274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  <c r="AU948" s="22" t="s">
        <v>3746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8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3"/>
        <v>63006605.696460173</v>
      </c>
      <c r="AJ949" s="19">
        <f t="shared" si="274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  <c r="AU949" s="22" t="s">
        <v>3751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8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3"/>
        <v>13250187.062905986</v>
      </c>
      <c r="AJ950" s="19">
        <f t="shared" si="274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8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3"/>
        <v>27318180.088495575</v>
      </c>
      <c r="AJ951" s="19">
        <f t="shared" si="274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  <c r="AU951" s="22" t="s">
        <v>3744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8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3"/>
        <v>31296887.037898075</v>
      </c>
      <c r="AJ952" s="19">
        <f t="shared" si="274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  <c r="AU952" s="22" t="s">
        <v>3744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8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3"/>
        <v>43684091.636631854</v>
      </c>
      <c r="AJ953" s="19">
        <f t="shared" si="274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8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3"/>
        <v>43684091.636631854</v>
      </c>
      <c r="AJ954" s="19">
        <f t="shared" si="274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8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3"/>
        <v>32843736.557277881</v>
      </c>
      <c r="AJ955" s="19">
        <f t="shared" si="274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  <c r="AU955" s="22" t="s">
        <v>3745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8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3"/>
        <v>48763143.537654862</v>
      </c>
      <c r="AJ956" s="19">
        <f t="shared" si="274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  <c r="AU956" s="22" t="s">
        <v>3745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8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3"/>
        <v>28177779.013274338</v>
      </c>
      <c r="AJ957" s="19">
        <f t="shared" si="274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8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3"/>
        <v>28177779.013274338</v>
      </c>
      <c r="AJ958" s="19">
        <f t="shared" si="274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8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3"/>
        <v>34109166.105589926</v>
      </c>
      <c r="AJ959" s="19">
        <f t="shared" si="274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  <c r="AU959" s="22" t="s">
        <v>3745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8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3"/>
        <v>27318180.088495575</v>
      </c>
      <c r="AJ960" s="19">
        <f t="shared" si="274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  <c r="AU960" s="22" t="s">
        <v>3751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8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3"/>
        <v>28065694.408805311</v>
      </c>
      <c r="AJ961" s="19">
        <f t="shared" si="274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  <c r="AU961" s="22" t="s">
        <v>3745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8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1">IF(P962="C66 SERVICE","",SUMIFS(AB:AB,F:F,F962,G:G,G962,E:E,E962))</f>
        <v>35073581.838938057</v>
      </c>
      <c r="AJ962" s="19">
        <f t="shared" ref="AJ962:AJ1025" si="292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  <c r="AU962" s="22" t="s">
        <v>3751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8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1"/>
        <v>33543315.897345133</v>
      </c>
      <c r="AJ963" s="19">
        <f t="shared" si="292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8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1"/>
        <v>22717528.991150443</v>
      </c>
      <c r="AJ964" s="19">
        <f t="shared" si="292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  <c r="AU964" s="22" t="s">
        <v>3751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8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1"/>
        <v>16455710.386637932</v>
      </c>
      <c r="AJ965" s="19">
        <f t="shared" si="292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  <c r="AU965" s="22" t="s">
        <v>3744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8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1"/>
        <v>16455710.386637932</v>
      </c>
      <c r="AJ966" s="19">
        <f t="shared" si="292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  <c r="AU966" s="22" t="s">
        <v>3745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8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1"/>
        <v>34109166.105589926</v>
      </c>
      <c r="AJ967" s="19">
        <f t="shared" si="292"/>
        <v>4642032.7199573703</v>
      </c>
      <c r="AK967" s="20">
        <f t="shared" si="299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8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1"/>
        <v>24398045.86045352</v>
      </c>
      <c r="AJ968" s="19">
        <f t="shared" si="292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482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8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1"/>
        <v>31017966.201968137</v>
      </c>
      <c r="AJ969" s="19">
        <f t="shared" si="292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8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1"/>
        <v>28647263.974455759</v>
      </c>
      <c r="AJ970" s="19">
        <f t="shared" si="292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  <c r="AU970" s="22" t="s">
        <v>3746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8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1"/>
        <v>28647263.974455759</v>
      </c>
      <c r="AJ971" s="19">
        <f t="shared" si="292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  <c r="AU971" s="22" t="s">
        <v>3746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8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1"/>
        <v>28647263.974455759</v>
      </c>
      <c r="AJ972" s="19">
        <f t="shared" si="292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  <c r="AU972" s="22" t="s">
        <v>3746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8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1"/>
        <v>29183109.05575221</v>
      </c>
      <c r="AJ973" s="19">
        <f t="shared" si="292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  <c r="AU973" s="22" t="s">
        <v>3745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8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1"/>
        <v>57778307.282035396</v>
      </c>
      <c r="AJ974" s="19">
        <f t="shared" si="292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8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1"/>
        <v>29500529.005044252</v>
      </c>
      <c r="AJ975" s="19">
        <f t="shared" si="292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  <c r="AU975" s="22" t="s">
        <v>3745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8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1"/>
        <v>36480247.665929198</v>
      </c>
      <c r="AJ976" s="19">
        <f t="shared" si="292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8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1"/>
        <v>25380121.402654871</v>
      </c>
      <c r="AJ977" s="19">
        <f t="shared" si="292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8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1"/>
        <v>499582152.5142017</v>
      </c>
      <c r="AJ978" s="19">
        <f t="shared" si="292"/>
        <v>59520528.679470733</v>
      </c>
      <c r="AK978" s="20">
        <f t="shared" si="299"/>
        <v>0.11914062257814291</v>
      </c>
      <c r="AL978" s="17" t="s">
        <v>2104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8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1"/>
        <v>37969334.083628319</v>
      </c>
      <c r="AJ979" s="19">
        <f t="shared" si="292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8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1"/>
        <v>27318180.088495575</v>
      </c>
      <c r="AJ980" s="19">
        <f t="shared" si="292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0"/>
        <v>650000</v>
      </c>
      <c r="AA981" s="13">
        <v>1.095</v>
      </c>
      <c r="AB981" s="21">
        <f t="shared" si="288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1"/>
        <v>35384300.169380538</v>
      </c>
      <c r="AJ981" s="19">
        <f t="shared" si="292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8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1"/>
        <v>44078731.611185849</v>
      </c>
      <c r="AJ982" s="19">
        <f t="shared" si="292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  <c r="AU982" s="22" t="s">
        <v>3744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8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1"/>
        <v>22953677.784070797</v>
      </c>
      <c r="AJ983" s="19">
        <f t="shared" si="292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  <c r="AU983" s="22" t="s">
        <v>3751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8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1"/>
        <v>28647263.974455759</v>
      </c>
      <c r="AJ984" s="19">
        <f t="shared" si="292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  <c r="AU984" s="22" t="s">
        <v>3744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8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1"/>
        <v>29183109.05575221</v>
      </c>
      <c r="AJ985" s="19">
        <f t="shared" si="292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  <c r="AU985" s="22" t="s">
        <v>3745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8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1"/>
        <v>63006605.696460173</v>
      </c>
      <c r="AJ986" s="19">
        <f t="shared" si="292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ref="AB987:AB1050" si="306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1"/>
        <v>46600814.041769907</v>
      </c>
      <c r="AJ987" s="19">
        <f t="shared" si="292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  <c r="AU987" s="22" t="s">
        <v>3745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306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1"/>
        <v>22953677.784070797</v>
      </c>
      <c r="AJ988" s="19">
        <f t="shared" si="292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  <c r="AU988" s="22" t="s">
        <v>3751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306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1"/>
        <v>499582152.5142017</v>
      </c>
      <c r="AJ989" s="19">
        <f t="shared" si="292"/>
        <v>59520528.679470733</v>
      </c>
      <c r="AK989" s="20">
        <f t="shared" si="299"/>
        <v>0.11914062257814291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  <c r="AU989" s="22" t="s">
        <v>3751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306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1"/>
        <v>499582152.5142017</v>
      </c>
      <c r="AJ990" s="19">
        <f t="shared" si="292"/>
        <v>59520528.679470733</v>
      </c>
      <c r="AK990" s="20">
        <f t="shared" si="299"/>
        <v>0.11914062257814291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  <c r="AU990" s="22" t="s">
        <v>3751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306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1"/>
        <v>44078731.611185849</v>
      </c>
      <c r="AJ991" s="19">
        <f t="shared" si="292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  <c r="AU991" s="22" t="s">
        <v>3745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306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1"/>
        <v>21241742.157380536</v>
      </c>
      <c r="AJ992" s="27">
        <f t="shared" si="292"/>
        <v>2987081.1613773629</v>
      </c>
      <c r="AK992" s="28">
        <f t="shared" si="299"/>
        <v>0.14062317201884914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  <c r="AU992" s="22" t="s">
        <v>3745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306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1"/>
        <v>44014086.982070789</v>
      </c>
      <c r="AJ993" s="19">
        <f t="shared" si="292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  <c r="AU993" s="22" t="s">
        <v>3751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7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08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306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1"/>
        <v>10524262.405309737</v>
      </c>
      <c r="AJ994" s="27">
        <f t="shared" si="292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  <c r="AU994" s="22" t="s">
        <v>3745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7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08"/>
        <v>1</v>
      </c>
      <c r="Z995" s="18">
        <f t="shared" si="290"/>
        <v>7686000</v>
      </c>
      <c r="AA995" s="22">
        <v>5.4100000000000002E-2</v>
      </c>
      <c r="AB995" s="21">
        <f t="shared" si="306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1"/>
        <v>10524262.405309737</v>
      </c>
      <c r="AJ995" s="27">
        <f t="shared" si="292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  <c r="AU995" s="22" t="s">
        <v>3745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7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08"/>
        <v>1</v>
      </c>
      <c r="Z996" s="18">
        <f t="shared" si="290"/>
        <v>9252610</v>
      </c>
      <c r="AA996" s="13">
        <v>5.3400000000000003E-2</v>
      </c>
      <c r="AB996" s="21">
        <f t="shared" si="306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1"/>
        <v>11730565.00042478</v>
      </c>
      <c r="AJ996" s="19">
        <f t="shared" si="292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  <c r="AU996" s="22" t="s">
        <v>3745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7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08"/>
        <v>1</v>
      </c>
      <c r="Z997" s="18">
        <f t="shared" si="290"/>
        <v>9252610</v>
      </c>
      <c r="AA997" s="13">
        <v>5.3400000000000003E-2</v>
      </c>
      <c r="AB997" s="21">
        <f t="shared" si="306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1"/>
        <v>11730565.00042478</v>
      </c>
      <c r="AJ997" s="19">
        <f t="shared" si="292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  <c r="AU997" s="22" t="s">
        <v>3745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7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08"/>
        <v>1</v>
      </c>
      <c r="Z998" s="18">
        <f t="shared" si="290"/>
        <v>9252610</v>
      </c>
      <c r="AA998" s="13">
        <v>5.3400000000000003E-2</v>
      </c>
      <c r="AB998" s="21">
        <f t="shared" si="306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1"/>
        <v>11730565.00042478</v>
      </c>
      <c r="AJ998" s="19">
        <f t="shared" si="292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  <c r="AU998" s="22" t="s">
        <v>3745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7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08"/>
        <v>1</v>
      </c>
      <c r="Z999" s="18">
        <f t="shared" si="290"/>
        <v>9252610</v>
      </c>
      <c r="AA999" s="13">
        <v>5.3400000000000003E-2</v>
      </c>
      <c r="AB999" s="21">
        <f t="shared" si="306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1"/>
        <v>11730565.00042478</v>
      </c>
      <c r="AJ999" s="19">
        <f t="shared" si="292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  <c r="AU999" s="22" t="s">
        <v>3745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09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306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1"/>
        <v>15533177.71460177</v>
      </c>
      <c r="AJ1000" s="19">
        <f t="shared" si="292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  <c r="AU1000" s="22" t="s">
        <v>3746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09"/>
        <v>1</v>
      </c>
      <c r="Z1001" s="18">
        <f t="shared" si="290"/>
        <v>15000000</v>
      </c>
      <c r="AA1001" s="13">
        <v>7.0999999999999994E-2</v>
      </c>
      <c r="AB1001" s="21">
        <f t="shared" si="306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1"/>
        <v>15533177.71460177</v>
      </c>
      <c r="AJ1001" s="19">
        <f t="shared" si="292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  <c r="AU1001" s="22" t="s">
        <v>3746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09"/>
        <v>1</v>
      </c>
      <c r="Z1002" s="18">
        <f t="shared" si="290"/>
        <v>8860125</v>
      </c>
      <c r="AA1002" s="13">
        <v>7.0999999999999994E-2</v>
      </c>
      <c r="AB1002" s="21">
        <f t="shared" si="306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1"/>
        <v>15533177.71460177</v>
      </c>
      <c r="AJ1002" s="19">
        <f t="shared" si="292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  <c r="AU1002" s="22" t="s">
        <v>3746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09"/>
        <v>1</v>
      </c>
      <c r="Z1003" s="18">
        <f t="shared" si="290"/>
        <v>8860125</v>
      </c>
      <c r="AA1003" s="13">
        <v>7.0999999999999994E-2</v>
      </c>
      <c r="AB1003" s="21">
        <f t="shared" si="306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1"/>
        <v>15533177.71460177</v>
      </c>
      <c r="AJ1003" s="19">
        <f t="shared" si="292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  <c r="AU1003" s="22" t="s">
        <v>3746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09"/>
        <v>1</v>
      </c>
      <c r="Z1004" s="18">
        <f t="shared" si="290"/>
        <v>15000000</v>
      </c>
      <c r="AA1004" s="13">
        <v>7.0000000000000007E-2</v>
      </c>
      <c r="AB1004" s="21">
        <f t="shared" si="306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1"/>
        <v>29500529.005044252</v>
      </c>
      <c r="AJ1004" s="19">
        <f t="shared" si="292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  <c r="AU1004" s="22" t="s">
        <v>3746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09"/>
        <v>1</v>
      </c>
      <c r="Z1005" s="18">
        <f t="shared" si="290"/>
        <v>15000000</v>
      </c>
      <c r="AA1005" s="13">
        <v>7.0000000000000007E-2</v>
      </c>
      <c r="AB1005" s="21">
        <f t="shared" si="306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1"/>
        <v>29500529.005044252</v>
      </c>
      <c r="AJ1005" s="19">
        <f t="shared" si="292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  <c r="AU1005" s="22" t="s">
        <v>3746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09"/>
        <v>1</v>
      </c>
      <c r="Z1006" s="18">
        <f t="shared" ref="Z1006:Z1069" si="310">IF(X1006="","",X1006*MAX(O1006,N1006))</f>
        <v>8860125</v>
      </c>
      <c r="AA1006" s="13">
        <v>7.0000000000000007E-2</v>
      </c>
      <c r="AB1006" s="21">
        <f t="shared" si="306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1"/>
        <v>29500529.005044252</v>
      </c>
      <c r="AJ1006" s="19">
        <f t="shared" si="292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  <c r="AU1006" s="22" t="s">
        <v>3746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09"/>
        <v>1</v>
      </c>
      <c r="Z1007" s="18">
        <f t="shared" si="310"/>
        <v>8860125</v>
      </c>
      <c r="AA1007" s="13">
        <v>7.0000000000000007E-2</v>
      </c>
      <c r="AB1007" s="21">
        <f t="shared" si="306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1"/>
        <v>29500529.005044252</v>
      </c>
      <c r="AJ1007" s="19">
        <f t="shared" si="292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  <c r="AU1007" s="22" t="s">
        <v>3746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09"/>
        <v>1</v>
      </c>
      <c r="Z1008" s="18">
        <f t="shared" si="310"/>
        <v>14645000</v>
      </c>
      <c r="AA1008" s="13">
        <v>5.8700000000000002E-2</v>
      </c>
      <c r="AB1008" s="21">
        <f t="shared" si="306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1"/>
        <v>499582152.5142017</v>
      </c>
      <c r="AJ1008" s="19">
        <f t="shared" si="292"/>
        <v>59520528.679470733</v>
      </c>
      <c r="AK1008" s="20">
        <f t="shared" si="299"/>
        <v>0.11914062257814291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  <c r="AU1008" s="22" t="s">
        <v>3745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09"/>
        <v>1</v>
      </c>
      <c r="Z1009" s="18">
        <f t="shared" si="310"/>
        <v>14645000</v>
      </c>
      <c r="AA1009" s="13">
        <v>5.8700000000000002E-2</v>
      </c>
      <c r="AB1009" s="21">
        <f t="shared" si="306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1"/>
        <v>499582152.5142017</v>
      </c>
      <c r="AJ1009" s="19">
        <f t="shared" si="292"/>
        <v>59520528.679470733</v>
      </c>
      <c r="AK1009" s="20">
        <f t="shared" si="299"/>
        <v>0.11914062257814291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  <c r="AU1009" s="22" t="s">
        <v>3745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09"/>
        <v>1</v>
      </c>
      <c r="Z1010" s="18">
        <f t="shared" si="310"/>
        <v>14645000</v>
      </c>
      <c r="AA1010" s="13">
        <v>5.8700000000000002E-2</v>
      </c>
      <c r="AB1010" s="21">
        <f t="shared" si="306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1"/>
        <v>499582152.5142017</v>
      </c>
      <c r="AJ1010" s="19">
        <f t="shared" si="292"/>
        <v>59520528.679470733</v>
      </c>
      <c r="AK1010" s="20">
        <f t="shared" si="299"/>
        <v>0.11914062257814291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  <c r="AU1010" s="22" t="s">
        <v>3745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09"/>
        <v>1</v>
      </c>
      <c r="Z1011" s="18">
        <f t="shared" si="310"/>
        <v>14645000</v>
      </c>
      <c r="AA1011" s="13">
        <v>5.8700000000000002E-2</v>
      </c>
      <c r="AB1011" s="21">
        <f t="shared" si="306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1"/>
        <v>499582152.5142017</v>
      </c>
      <c r="AJ1011" s="19">
        <f t="shared" si="292"/>
        <v>59520528.679470733</v>
      </c>
      <c r="AK1011" s="20">
        <f t="shared" si="299"/>
        <v>0.11914062257814291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  <c r="AU1011" s="22" t="s">
        <v>3745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09"/>
        <v>1</v>
      </c>
      <c r="Z1012" s="18">
        <f t="shared" si="310"/>
        <v>14645000</v>
      </c>
      <c r="AA1012" s="13">
        <v>5.8700000000000002E-2</v>
      </c>
      <c r="AB1012" s="21">
        <f t="shared" si="306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1"/>
        <v>499582152.5142017</v>
      </c>
      <c r="AJ1012" s="19">
        <f t="shared" si="292"/>
        <v>59520528.679470733</v>
      </c>
      <c r="AK1012" s="20">
        <f t="shared" si="299"/>
        <v>0.11914062257814291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  <c r="AU1012" s="22" t="s">
        <v>3745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09"/>
        <v>1</v>
      </c>
      <c r="Z1013" s="18">
        <f t="shared" si="310"/>
        <v>14645000</v>
      </c>
      <c r="AA1013" s="13">
        <v>5.8700000000000002E-2</v>
      </c>
      <c r="AB1013" s="21">
        <f t="shared" si="306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1"/>
        <v>499582152.5142017</v>
      </c>
      <c r="AJ1013" s="19">
        <f t="shared" si="292"/>
        <v>59520528.679470733</v>
      </c>
      <c r="AK1013" s="20">
        <f t="shared" si="299"/>
        <v>0.11914062257814291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  <c r="AU1013" s="22" t="s">
        <v>3745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09"/>
        <v>1</v>
      </c>
      <c r="Z1014" s="18">
        <f t="shared" si="310"/>
        <v>14645000</v>
      </c>
      <c r="AA1014" s="13">
        <v>5.8700000000000002E-2</v>
      </c>
      <c r="AB1014" s="21">
        <f t="shared" si="306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1"/>
        <v>499582152.5142017</v>
      </c>
      <c r="AJ1014" s="19">
        <f t="shared" si="292"/>
        <v>59520528.679470733</v>
      </c>
      <c r="AK1014" s="20">
        <f t="shared" si="299"/>
        <v>0.11914062257814291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  <c r="AU1014" s="22" t="s">
        <v>3745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09"/>
        <v>1</v>
      </c>
      <c r="Z1015" s="18">
        <f t="shared" si="310"/>
        <v>14645000</v>
      </c>
      <c r="AA1015" s="13">
        <v>5.8700000000000002E-2</v>
      </c>
      <c r="AB1015" s="21">
        <f t="shared" si="306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1"/>
        <v>499582152.5142017</v>
      </c>
      <c r="AJ1015" s="19">
        <f t="shared" si="292"/>
        <v>59520528.679470733</v>
      </c>
      <c r="AK1015" s="20">
        <f t="shared" si="299"/>
        <v>0.11914062257814291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  <c r="AU1015" s="22" t="s">
        <v>3745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09"/>
        <v>1</v>
      </c>
      <c r="Z1016" s="18">
        <f t="shared" si="310"/>
        <v>14645000</v>
      </c>
      <c r="AA1016" s="13">
        <v>5.8700000000000002E-2</v>
      </c>
      <c r="AB1016" s="21">
        <f t="shared" si="306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1"/>
        <v>499582152.5142017</v>
      </c>
      <c r="AJ1016" s="19">
        <f t="shared" si="292"/>
        <v>59520528.679470733</v>
      </c>
      <c r="AK1016" s="20">
        <f t="shared" si="299"/>
        <v>0.11914062257814291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  <c r="AU1016" s="22" t="s">
        <v>3745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09"/>
        <v>1</v>
      </c>
      <c r="Z1017" s="18">
        <f t="shared" si="310"/>
        <v>14645000</v>
      </c>
      <c r="AA1017" s="13">
        <v>5.8700000000000002E-2</v>
      </c>
      <c r="AB1017" s="21">
        <f t="shared" si="306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1"/>
        <v>499582152.5142017</v>
      </c>
      <c r="AJ1017" s="19">
        <f t="shared" si="292"/>
        <v>59520528.679470733</v>
      </c>
      <c r="AK1017" s="20">
        <f t="shared" si="299"/>
        <v>0.11914062257814291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  <c r="AU1017" s="22" t="s">
        <v>3745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09"/>
        <v>1</v>
      </c>
      <c r="Z1018" s="18">
        <f t="shared" si="310"/>
        <v>8593800</v>
      </c>
      <c r="AA1018" s="13">
        <v>5.8700000000000002E-2</v>
      </c>
      <c r="AB1018" s="21">
        <f t="shared" si="306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1"/>
        <v>499582152.5142017</v>
      </c>
      <c r="AJ1018" s="19">
        <f t="shared" si="292"/>
        <v>59520528.679470733</v>
      </c>
      <c r="AK1018" s="20">
        <f t="shared" si="299"/>
        <v>0.11914062257814291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  <c r="AU1018" s="22" t="s">
        <v>3745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09"/>
        <v>1</v>
      </c>
      <c r="Z1019" s="18">
        <f t="shared" si="310"/>
        <v>8593800</v>
      </c>
      <c r="AA1019" s="13">
        <v>5.8700000000000002E-2</v>
      </c>
      <c r="AB1019" s="21">
        <f t="shared" si="306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1"/>
        <v>499582152.5142017</v>
      </c>
      <c r="AJ1019" s="19">
        <f t="shared" si="292"/>
        <v>59520528.679470733</v>
      </c>
      <c r="AK1019" s="20">
        <f t="shared" si="299"/>
        <v>0.11914062257814291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  <c r="AU1019" s="22" t="s">
        <v>3745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09"/>
        <v>1</v>
      </c>
      <c r="Z1020" s="18">
        <f t="shared" si="310"/>
        <v>8593800</v>
      </c>
      <c r="AA1020" s="13">
        <v>5.8700000000000002E-2</v>
      </c>
      <c r="AB1020" s="21">
        <f t="shared" si="306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1"/>
        <v>499582152.5142017</v>
      </c>
      <c r="AJ1020" s="19">
        <f t="shared" si="292"/>
        <v>59520528.679470733</v>
      </c>
      <c r="AK1020" s="20">
        <f t="shared" si="299"/>
        <v>0.11914062257814291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  <c r="AU1020" s="22" t="s">
        <v>3745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09"/>
        <v>1</v>
      </c>
      <c r="Z1021" s="18">
        <f t="shared" si="310"/>
        <v>8593800</v>
      </c>
      <c r="AA1021" s="13">
        <v>5.8700000000000002E-2</v>
      </c>
      <c r="AB1021" s="21">
        <f t="shared" si="306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1"/>
        <v>499582152.5142017</v>
      </c>
      <c r="AJ1021" s="19">
        <f t="shared" si="292"/>
        <v>59520528.679470733</v>
      </c>
      <c r="AK1021" s="20">
        <f t="shared" si="299"/>
        <v>0.11914062257814291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  <c r="AU1021" s="22" t="s">
        <v>3745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09"/>
        <v>1</v>
      </c>
      <c r="Z1022" s="18">
        <f t="shared" si="310"/>
        <v>8593800</v>
      </c>
      <c r="AA1022" s="13">
        <v>5.8700000000000002E-2</v>
      </c>
      <c r="AB1022" s="21">
        <f t="shared" si="306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1"/>
        <v>499582152.5142017</v>
      </c>
      <c r="AJ1022" s="19">
        <f t="shared" si="292"/>
        <v>59520528.679470733</v>
      </c>
      <c r="AK1022" s="20">
        <f t="shared" si="299"/>
        <v>0.11914062257814291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  <c r="AU1022" s="22" t="s">
        <v>3745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09"/>
        <v>1</v>
      </c>
      <c r="Z1023" s="18">
        <f t="shared" si="310"/>
        <v>8593800</v>
      </c>
      <c r="AA1023" s="13">
        <v>5.8700000000000002E-2</v>
      </c>
      <c r="AB1023" s="21">
        <f t="shared" si="306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1"/>
        <v>499582152.5142017</v>
      </c>
      <c r="AJ1023" s="19">
        <f t="shared" si="292"/>
        <v>59520528.679470733</v>
      </c>
      <c r="AK1023" s="20">
        <f t="shared" si="299"/>
        <v>0.11914062257814291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  <c r="AU1023" s="22" t="s">
        <v>3745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09"/>
        <v>1</v>
      </c>
      <c r="Z1024" s="18">
        <f t="shared" si="310"/>
        <v>8593800</v>
      </c>
      <c r="AA1024" s="13">
        <v>5.8700000000000002E-2</v>
      </c>
      <c r="AB1024" s="21">
        <f t="shared" si="306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1"/>
        <v>499582152.5142017</v>
      </c>
      <c r="AJ1024" s="19">
        <f t="shared" si="292"/>
        <v>59520528.679470733</v>
      </c>
      <c r="AK1024" s="20">
        <f t="shared" si="299"/>
        <v>0.11914062257814291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  <c r="AU1024" s="22" t="s">
        <v>3745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09"/>
        <v>1</v>
      </c>
      <c r="Z1025" s="18">
        <f t="shared" si="310"/>
        <v>8593800</v>
      </c>
      <c r="AA1025" s="13">
        <v>5.8700000000000002E-2</v>
      </c>
      <c r="AB1025" s="21">
        <f t="shared" si="306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1"/>
        <v>499582152.5142017</v>
      </c>
      <c r="AJ1025" s="19">
        <f t="shared" si="292"/>
        <v>59520528.679470733</v>
      </c>
      <c r="AK1025" s="20">
        <f t="shared" si="299"/>
        <v>0.11914062257814291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  <c r="AU1025" s="22" t="s">
        <v>3745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09"/>
        <v>1</v>
      </c>
      <c r="Z1026" s="18">
        <f t="shared" si="310"/>
        <v>8593800</v>
      </c>
      <c r="AA1026" s="13">
        <v>5.8700000000000002E-2</v>
      </c>
      <c r="AB1026" s="21">
        <f t="shared" si="306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1">IF(P1026="C66 SERVICE","",SUMIFS(AB:AB,F:F,F1026,G:G,G1026,E:E,E1026))</f>
        <v>499582152.5142017</v>
      </c>
      <c r="AJ1026" s="19">
        <f t="shared" ref="AJ1026:AJ1089" si="312">IF(P1026="C66 SERVICE","",SUMIFS(AC:AC,F:F,F1026,G:G,G1026,E:E,E1026))</f>
        <v>59520528.679470733</v>
      </c>
      <c r="AK1026" s="20">
        <f t="shared" si="299"/>
        <v>0.11914062257814291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  <c r="AU1026" s="22" t="s">
        <v>3745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09"/>
        <v>1</v>
      </c>
      <c r="Z1027" s="18">
        <f t="shared" si="310"/>
        <v>8593800</v>
      </c>
      <c r="AA1027" s="13">
        <v>5.8700000000000002E-2</v>
      </c>
      <c r="AB1027" s="21">
        <f t="shared" si="306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1"/>
        <v>499582152.5142017</v>
      </c>
      <c r="AJ1027" s="19">
        <f t="shared" si="312"/>
        <v>59520528.679470733</v>
      </c>
      <c r="AK1027" s="20">
        <f t="shared" si="299"/>
        <v>0.11914062257814291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  <c r="AU1027" s="22" t="s">
        <v>3745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6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1"/>
        <v>29288201.603076916</v>
      </c>
      <c r="AJ1028" s="19">
        <f t="shared" si="312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  <c r="AU1028" s="22" t="s">
        <v>3744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0"/>
        <v>780000</v>
      </c>
      <c r="AA1029" s="13">
        <v>1.089</v>
      </c>
      <c r="AB1029" s="21">
        <f t="shared" si="306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1"/>
        <v>29183109.05575221</v>
      </c>
      <c r="AJ1029" s="19">
        <f t="shared" si="312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6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1"/>
        <v>37969334.083628319</v>
      </c>
      <c r="AJ1030" s="19">
        <f t="shared" si="312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  <c r="AU1030" s="22" t="s">
        <v>3744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6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1"/>
        <v>48763143.537654862</v>
      </c>
      <c r="AJ1031" s="19">
        <f t="shared" si="312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  <c r="AU1031" s="22" t="s">
        <v>3744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6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1"/>
        <v>499582152.5142017</v>
      </c>
      <c r="AJ1032" s="19">
        <f t="shared" si="312"/>
        <v>59520528.679470733</v>
      </c>
      <c r="AK1032" s="20">
        <f t="shared" si="319"/>
        <v>0.11914062257814291</v>
      </c>
      <c r="AL1032" s="17"/>
      <c r="AM1032" s="17"/>
      <c r="AN1032" s="17"/>
      <c r="AO1032" s="17" t="s">
        <v>185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  <c r="AU1032" s="22" t="s">
        <v>3746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6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1"/>
        <v>33543315.897345133</v>
      </c>
      <c r="AJ1033" s="19">
        <f t="shared" si="312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6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1"/>
        <v>57778307.282035396</v>
      </c>
      <c r="AJ1034" s="19">
        <f t="shared" si="312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6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1"/>
        <v>34109166.105589926</v>
      </c>
      <c r="AJ1035" s="19">
        <f t="shared" si="312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170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6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1"/>
        <v>34109166.105589926</v>
      </c>
      <c r="AJ1036" s="19">
        <f t="shared" si="312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170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6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1"/>
        <v>35682787.057522126</v>
      </c>
      <c r="AJ1037" s="19">
        <f t="shared" si="312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6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1"/>
        <v>35073581.838938057</v>
      </c>
      <c r="AJ1038" s="19">
        <f t="shared" si="312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6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1"/>
        <v>35073581.838938057</v>
      </c>
      <c r="AJ1039" s="19">
        <f t="shared" si="312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6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1"/>
        <v>35073581.838938057</v>
      </c>
      <c r="AJ1040" s="19">
        <f t="shared" si="312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6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1"/>
        <v>35073581.838938057</v>
      </c>
      <c r="AJ1041" s="19">
        <f t="shared" si="312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6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1"/>
        <v>34109166.105589926</v>
      </c>
      <c r="AJ1042" s="19">
        <f t="shared" si="312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170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6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1"/>
        <v>34109166.105589926</v>
      </c>
      <c r="AJ1043" s="19">
        <f t="shared" si="312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170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6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1"/>
        <v>34109166.105589926</v>
      </c>
      <c r="AJ1044" s="19">
        <f t="shared" si="312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6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1"/>
        <v>34109166.105589926</v>
      </c>
      <c r="AJ1045" s="19">
        <f t="shared" si="312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170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6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1"/>
        <v>37599388.802345134</v>
      </c>
      <c r="AJ1046" s="19">
        <f t="shared" si="312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6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1"/>
        <v>35073581.838938057</v>
      </c>
      <c r="AJ1047" s="19">
        <f t="shared" si="312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6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1"/>
        <v>35073581.838938057</v>
      </c>
      <c r="AJ1048" s="19">
        <f t="shared" si="312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6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1"/>
        <v>23168285.927433632</v>
      </c>
      <c r="AJ1049" s="19">
        <f t="shared" si="312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6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1"/>
        <v>23168285.927433632</v>
      </c>
      <c r="AJ1050" s="19">
        <f t="shared" si="312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ref="AB1051:AB1114" si="325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1"/>
        <v>31296887.037898075</v>
      </c>
      <c r="AJ1051" s="19">
        <f t="shared" si="312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25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1"/>
        <v>31296887.037898075</v>
      </c>
      <c r="AJ1052" s="19">
        <f t="shared" si="312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25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1"/>
        <v>33477255.428389374</v>
      </c>
      <c r="AJ1053" s="19">
        <f t="shared" si="312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25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1"/>
        <v>23168285.927433632</v>
      </c>
      <c r="AJ1054" s="19">
        <f t="shared" si="312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25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1"/>
        <v>23168285.927433632</v>
      </c>
      <c r="AJ1055" s="19">
        <f t="shared" si="312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25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1"/>
        <v>48763143.537654862</v>
      </c>
      <c r="AJ1056" s="19">
        <f t="shared" si="312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25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1"/>
        <v>48763143.537654862</v>
      </c>
      <c r="AJ1057" s="19">
        <f t="shared" si="312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25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1"/>
        <v>24398045.86045352</v>
      </c>
      <c r="AJ1058" s="19">
        <f t="shared" si="312"/>
        <v>3478417.4064663448</v>
      </c>
      <c r="AK1058" s="20">
        <f t="shared" si="319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25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1"/>
        <v>35073581.838938057</v>
      </c>
      <c r="AJ1059" s="19">
        <f t="shared" si="312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25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1"/>
        <v>29946107.503386207</v>
      </c>
      <c r="AJ1060" s="19">
        <f t="shared" si="312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25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1"/>
        <v>10271727.486725664</v>
      </c>
      <c r="AJ1061" s="19">
        <f t="shared" si="312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25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1"/>
        <v>26078226.463097349</v>
      </c>
      <c r="AJ1062" s="19">
        <f t="shared" si="312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25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1"/>
        <v>10524262.405309737</v>
      </c>
      <c r="AJ1063" s="27">
        <f t="shared" si="312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25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1"/>
        <v>29288201.603076916</v>
      </c>
      <c r="AJ1064" s="19">
        <f t="shared" si="312"/>
        <v>3870159.1769246152</v>
      </c>
      <c r="AK1064" s="20">
        <f t="shared" si="319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25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1"/>
        <v>1596627.2413793104</v>
      </c>
      <c r="AJ1065" s="19">
        <f t="shared" si="312"/>
        <v>191595.26896551723</v>
      </c>
      <c r="AK1065" s="20">
        <f t="shared" si="319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25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1"/>
        <v>29288201.603076916</v>
      </c>
      <c r="AJ1066" s="19">
        <f t="shared" si="312"/>
        <v>3870159.1769246152</v>
      </c>
      <c r="AK1066" s="20">
        <f t="shared" si="319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25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1"/>
        <v>26754147.763010349</v>
      </c>
      <c r="AJ1067" s="19">
        <f t="shared" si="312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25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1"/>
        <v>27318180.088495575</v>
      </c>
      <c r="AJ1068" s="19">
        <f t="shared" si="312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25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1"/>
        <v>499582152.5142017</v>
      </c>
      <c r="AJ1069" s="19">
        <f t="shared" si="312"/>
        <v>59520528.679470733</v>
      </c>
      <c r="AK1069" s="20">
        <f t="shared" si="319"/>
        <v>0.11914062257814291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6">IF(X1070="","",X1070*MAX(O1070,N1070))</f>
        <v>690000</v>
      </c>
      <c r="AA1070" s="13">
        <v>1.1100000000000001</v>
      </c>
      <c r="AB1070" s="21">
        <f t="shared" si="325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1"/>
        <v>499582152.5142017</v>
      </c>
      <c r="AJ1070" s="19">
        <f t="shared" si="312"/>
        <v>59520528.679470733</v>
      </c>
      <c r="AK1070" s="20">
        <f t="shared" si="319"/>
        <v>0.11914062257814291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6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1"/>
        <v>15948576.102654871</v>
      </c>
      <c r="AJ1071" s="19">
        <f t="shared" si="312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6"/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1"/>
        <v>37599388.802345134</v>
      </c>
      <c r="AJ1072" s="19">
        <f t="shared" si="312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1"/>
        <v>37969334.083628319</v>
      </c>
      <c r="AJ1073" s="19">
        <f t="shared" si="312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1"/>
        <v>37969334.083628319</v>
      </c>
      <c r="AJ1074" s="19">
        <f t="shared" si="312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1"/>
        <v>63006605.696460173</v>
      </c>
      <c r="AJ1075" s="19">
        <f t="shared" si="312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1"/>
        <v>35384300.169380538</v>
      </c>
      <c r="AJ1076" s="19">
        <f t="shared" si="312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  <c r="AU1076" s="22" t="s">
        <v>3745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1"/>
        <v>44078731.611185849</v>
      </c>
      <c r="AJ1077" s="19">
        <f t="shared" si="312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  <c r="AU1077" s="22" t="s">
        <v>3745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1"/>
        <v>45803245.025628321</v>
      </c>
      <c r="AJ1078" s="19">
        <f t="shared" si="312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  <c r="AU1078" s="22" t="s">
        <v>3745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1"/>
        <v>15533177.71460177</v>
      </c>
      <c r="AJ1079" s="19">
        <f t="shared" si="312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  <c r="AU1079" s="22" t="s">
        <v>3745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1"/>
        <v>26407088.359292038</v>
      </c>
      <c r="AJ1080" s="19">
        <f t="shared" si="312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  <c r="AU1080" s="22" t="s">
        <v>3745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1"/>
        <v>33543315.897345133</v>
      </c>
      <c r="AJ1081" s="19">
        <f t="shared" si="312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  <c r="AU1081" s="22" t="s">
        <v>3751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1"/>
        <v>33543315.897345133</v>
      </c>
      <c r="AJ1082" s="19">
        <f t="shared" si="312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  <c r="AU1082" s="22" t="s">
        <v>3751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1"/>
        <v>499582152.5142017</v>
      </c>
      <c r="AJ1083" s="19">
        <f t="shared" si="312"/>
        <v>59520528.679470733</v>
      </c>
      <c r="AK1083" s="20">
        <f t="shared" si="319"/>
        <v>0.11914062257814291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  <c r="AU1083" s="22" t="s">
        <v>3744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1"/>
        <v>35384300.169380538</v>
      </c>
      <c r="AJ1084" s="19">
        <f t="shared" si="312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  <c r="AU1084" s="22" t="s">
        <v>3745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1"/>
        <v>11730565.00042478</v>
      </c>
      <c r="AJ1085" s="19">
        <f t="shared" si="312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  <c r="AU1085" s="22" t="s">
        <v>3745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1"/>
        <v>11730565.00042478</v>
      </c>
      <c r="AJ1086" s="19">
        <f t="shared" si="312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  <c r="AU1086" s="22" t="s">
        <v>3745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1"/>
        <v>29288201.603076916</v>
      </c>
      <c r="AJ1087" s="19">
        <f t="shared" si="312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  <c r="AU1087" s="22" t="s">
        <v>3745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1"/>
        <v>63006605.696460173</v>
      </c>
      <c r="AJ1088" s="19">
        <f t="shared" si="312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  <c r="AU1088" s="22" t="s">
        <v>3745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1"/>
        <v>63006605.696460173</v>
      </c>
      <c r="AJ1089" s="19">
        <f t="shared" si="312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  <c r="AU1089" s="22" t="s">
        <v>3745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7">IF(P1090="C66 SERVICE","",SUMIFS(AB:AB,F:F,F1090,G:G,G1090,E:E,E1090))</f>
        <v>29840797.698275864</v>
      </c>
      <c r="AJ1090" s="19">
        <f t="shared" ref="AJ1090:AJ1153" si="328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  <c r="AU1090" s="22" t="s">
        <v>3745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7"/>
        <v>29840797.698275864</v>
      </c>
      <c r="AJ1091" s="19">
        <f t="shared" si="32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  <c r="AU1091" s="22" t="s">
        <v>3745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7"/>
        <v>28177779.013274338</v>
      </c>
      <c r="AJ1092" s="19">
        <f t="shared" si="32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  <c r="AU1092" s="22" t="s">
        <v>3751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7"/>
        <v>28177779.013274338</v>
      </c>
      <c r="AJ1093" s="19">
        <f t="shared" si="32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  <c r="AU1093" s="22" t="s">
        <v>3751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7"/>
        <v>33477255.428389374</v>
      </c>
      <c r="AJ1094" s="19">
        <f t="shared" si="328"/>
        <v>4578663.362915583</v>
      </c>
      <c r="AK1094" s="20">
        <f t="shared" ref="AK1094:AK1157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6">IF(F1094="","",F1094&amp;G1094)</f>
        <v>20204</v>
      </c>
      <c r="AQ1094" s="28" t="str">
        <f t="shared" ref="AQ1094:AQ1157" si="337">IF(W1094="","",F1094&amp;G1094&amp;W1094)</f>
        <v>20204RMB</v>
      </c>
      <c r="AR1094" s="206" t="str">
        <f t="shared" ref="AR1094:AR1157" si="338">IFERROR(IF(AND(M1094="YAMAHA", R1094="C28"), "YAMAHA_Non_Mounter", IF(AND(M1094="YAMAHA", R1094="C49"), "YAMAHA_Mounter", M1094)),"")</f>
        <v>YAMAHA_Mounter</v>
      </c>
      <c r="AS1094" s="22">
        <f t="shared" ref="AS1094:AS1157" si="339">IFERROR(IF(OR(G1094="TBA", G1094=""), "", DATEDIF(DATE(B1094, C1094, 1), DATE(F1094, G1094, 1), "M")),"")</f>
        <v>0</v>
      </c>
      <c r="AT1094" s="24" t="str">
        <f t="shared" ref="AT1094:AT1157" si="340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7"/>
        <v>37969334.083628319</v>
      </c>
      <c r="AJ1095" s="19">
        <f t="shared" si="328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7"/>
        <v>54700260.692079648</v>
      </c>
      <c r="AJ1096" s="19">
        <f t="shared" si="328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7"/>
        <v>48763143.537654862</v>
      </c>
      <c r="AJ1097" s="19">
        <f t="shared" si="328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7"/>
        <v>33543315.897345133</v>
      </c>
      <c r="AJ1098" s="19">
        <f t="shared" si="328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7"/>
        <v>15533177.71460177</v>
      </c>
      <c r="AJ1099" s="19">
        <f t="shared" si="328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  <c r="AU1099" s="22" t="s">
        <v>3744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7"/>
        <v>37969334.083628319</v>
      </c>
      <c r="AJ1100" s="19">
        <f t="shared" si="328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7"/>
        <v>35384300.169380538</v>
      </c>
      <c r="AJ1101" s="19">
        <f t="shared" si="328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7"/>
        <v>32843736.557277881</v>
      </c>
      <c r="AJ1102" s="19">
        <f t="shared" si="328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7"/>
        <v>37969334.083628319</v>
      </c>
      <c r="AJ1103" s="19">
        <f t="shared" si="328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7"/>
        <v>35384300.169380538</v>
      </c>
      <c r="AJ1104" s="19">
        <f t="shared" si="328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7"/>
        <v>35384300.169380538</v>
      </c>
      <c r="AJ1105" s="19">
        <f t="shared" si="328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7"/>
        <v>29840797.698275864</v>
      </c>
      <c r="AJ1106" s="19">
        <f t="shared" si="328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7"/>
        <v>47416008.333399981</v>
      </c>
      <c r="AJ1107" s="19">
        <f t="shared" si="328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61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7"/>
        <v>21386017.707964607</v>
      </c>
      <c r="AJ1108" s="19">
        <f t="shared" si="328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7"/>
        <v>26492741.106427077</v>
      </c>
      <c r="AJ1109" s="19">
        <f t="shared" si="328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61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7"/>
        <v>499582152.5142017</v>
      </c>
      <c r="AJ1110" s="19">
        <f t="shared" si="328"/>
        <v>59520528.679470733</v>
      </c>
      <c r="AK1110" s="20">
        <f t="shared" si="335"/>
        <v>0.11914062257814291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7"/>
        <v>499582152.5142017</v>
      </c>
      <c r="AJ1111" s="19">
        <f t="shared" si="328"/>
        <v>59520528.679470733</v>
      </c>
      <c r="AK1111" s="20">
        <f t="shared" si="335"/>
        <v>0.11914062257814291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7"/>
        <v>26492741.106427077</v>
      </c>
      <c r="AJ1112" s="19">
        <f t="shared" si="328"/>
        <v>3348032.1325698122</v>
      </c>
      <c r="AK1112" s="20">
        <f t="shared" si="335"/>
        <v>0.12637545201985867</v>
      </c>
      <c r="AL1112" s="17"/>
      <c r="AM1112" s="17"/>
      <c r="AN1112" s="17" t="s">
        <v>423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7"/>
        <v>48763143.537654862</v>
      </c>
      <c r="AJ1113" s="19">
        <f t="shared" si="328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7"/>
        <v>29183109.05575221</v>
      </c>
      <c r="AJ1114" s="19">
        <f t="shared" si="328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6"/>
        <v>550000</v>
      </c>
      <c r="AA1115" s="13">
        <v>1.089</v>
      </c>
      <c r="AB1115" s="21">
        <f t="shared" ref="AB1115:AB1178" si="341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7"/>
        <v>29183109.05575221</v>
      </c>
      <c r="AJ1115" s="19">
        <f t="shared" si="328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6"/>
        <v>824500</v>
      </c>
      <c r="AA1116" s="13">
        <v>1.089</v>
      </c>
      <c r="AB1116" s="21">
        <f t="shared" si="341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7"/>
        <v>29183109.05575221</v>
      </c>
      <c r="AJ1116" s="19">
        <f t="shared" si="328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41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7"/>
        <v>29183109.05575221</v>
      </c>
      <c r="AJ1117" s="19">
        <f t="shared" si="328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41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7"/>
        <v>29183109.05575221</v>
      </c>
      <c r="AJ1118" s="19">
        <f t="shared" si="328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41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7"/>
        <v>29183109.05575221</v>
      </c>
      <c r="AJ1119" s="19">
        <f t="shared" si="328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6"/>
        <v>66000</v>
      </c>
      <c r="AA1120" s="22">
        <v>1.083</v>
      </c>
      <c r="AB1120" s="197">
        <f t="shared" si="341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27"/>
        <v>11472879.764601771</v>
      </c>
      <c r="AJ1120" s="200">
        <f t="shared" si="328"/>
        <v>2038344.1716106194</v>
      </c>
      <c r="AK1120" s="201">
        <f t="shared" si="335"/>
        <v>0.17766630640544948</v>
      </c>
      <c r="AL1120" s="24"/>
      <c r="AM1120" s="24"/>
      <c r="AN1120" s="24"/>
      <c r="AO1120" s="24"/>
      <c r="AP1120" s="105" t="str">
        <f t="shared" si="336"/>
        <v>20245</v>
      </c>
      <c r="AQ1120" s="28" t="str">
        <f t="shared" si="337"/>
        <v>20245RMB</v>
      </c>
      <c r="AR1120" s="206" t="str">
        <f t="shared" si="338"/>
        <v>SOLDERSTAR</v>
      </c>
      <c r="AS1120" s="22">
        <f t="shared" si="339"/>
        <v>1</v>
      </c>
      <c r="AT1120" s="24" t="str">
        <f t="shared" si="340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6"/>
        <v>800000</v>
      </c>
      <c r="AA1121" s="13">
        <v>1.1100000000000001</v>
      </c>
      <c r="AB1121" s="21">
        <f t="shared" si="341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7"/>
        <v>27318180.088495575</v>
      </c>
      <c r="AJ1121" s="19">
        <f t="shared" si="328"/>
        <v>3014099.212353982</v>
      </c>
      <c r="AK1121" s="20">
        <f t="shared" si="335"/>
        <v>0.11033308963444827</v>
      </c>
      <c r="AL1121" s="17"/>
      <c r="AM1121" s="17"/>
      <c r="AN1121" s="17"/>
      <c r="AO1121" s="17"/>
      <c r="AP1121" s="28" t="str">
        <f t="shared" si="336"/>
        <v>201912</v>
      </c>
      <c r="AQ1121" s="28" t="str">
        <f t="shared" si="337"/>
        <v>201912RMB</v>
      </c>
      <c r="AR1121" s="206" t="str">
        <f t="shared" si="338"/>
        <v>YAMAHA_Mounter</v>
      </c>
      <c r="AS1121" s="22">
        <f t="shared" si="339"/>
        <v>0</v>
      </c>
      <c r="AT1121" s="24" t="str">
        <f t="shared" si="340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6"/>
        <v>620000</v>
      </c>
      <c r="AA1122" s="13">
        <v>1.1100000000000001</v>
      </c>
      <c r="AB1122" s="21">
        <f t="shared" si="341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7"/>
        <v>27318180.088495575</v>
      </c>
      <c r="AJ1122" s="19">
        <f t="shared" si="328"/>
        <v>3014099.212353982</v>
      </c>
      <c r="AK1122" s="20">
        <f t="shared" si="335"/>
        <v>0.11033308963444827</v>
      </c>
      <c r="AL1122" s="17"/>
      <c r="AM1122" s="17"/>
      <c r="AN1122" s="17"/>
      <c r="AO1122" s="17"/>
      <c r="AP1122" s="28" t="str">
        <f t="shared" si="336"/>
        <v>201912</v>
      </c>
      <c r="AQ1122" s="28" t="str">
        <f t="shared" si="337"/>
        <v>201912RMB</v>
      </c>
      <c r="AR1122" s="206" t="str">
        <f t="shared" si="338"/>
        <v>YAMAHA_Mounter</v>
      </c>
      <c r="AS1122" s="22">
        <f t="shared" si="339"/>
        <v>0</v>
      </c>
      <c r="AT1122" s="24" t="str">
        <f t="shared" si="340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6"/>
        <v>520000</v>
      </c>
      <c r="AA1123" s="13">
        <v>1.1950000000000001</v>
      </c>
      <c r="AB1123" s="21">
        <f t="shared" si="341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7"/>
        <v>63006605.696460173</v>
      </c>
      <c r="AJ1123" s="19">
        <f t="shared" si="328"/>
        <v>8897485.660753984</v>
      </c>
      <c r="AK1123" s="20">
        <f t="shared" si="335"/>
        <v>0.141215124388995</v>
      </c>
      <c r="AL1123" s="17"/>
      <c r="AM1123" s="17"/>
      <c r="AN1123" s="17"/>
      <c r="AO1123" s="17"/>
      <c r="AP1123" s="28" t="str">
        <f t="shared" si="336"/>
        <v>20215</v>
      </c>
      <c r="AQ1123" s="28" t="str">
        <f t="shared" si="337"/>
        <v>20215RMB</v>
      </c>
      <c r="AR1123" s="206" t="str">
        <f t="shared" si="338"/>
        <v>YAMAHA_Mounter</v>
      </c>
      <c r="AS1123" s="22">
        <f t="shared" si="339"/>
        <v>1</v>
      </c>
      <c r="AT1123" s="24" t="str">
        <f t="shared" si="340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6"/>
        <v>470000</v>
      </c>
      <c r="AA1124" s="13">
        <v>1.1599999999999999</v>
      </c>
      <c r="AB1124" s="21">
        <f t="shared" si="341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7"/>
        <v>21045012.884955753</v>
      </c>
      <c r="AJ1124" s="19">
        <f t="shared" si="328"/>
        <v>2650260.9603327443</v>
      </c>
      <c r="AK1124" s="20">
        <f t="shared" si="335"/>
        <v>0.12593296924172048</v>
      </c>
      <c r="AL1124" s="17"/>
      <c r="AM1124" s="17"/>
      <c r="AN1124" s="17"/>
      <c r="AO1124" s="17"/>
      <c r="AP1124" s="28" t="str">
        <f t="shared" si="336"/>
        <v>20232</v>
      </c>
      <c r="AQ1124" s="28" t="str">
        <f t="shared" si="337"/>
        <v>20232RMB</v>
      </c>
      <c r="AR1124" s="206" t="str">
        <f t="shared" si="338"/>
        <v>YAMAHA_Mounter</v>
      </c>
      <c r="AS1124" s="22">
        <f t="shared" si="339"/>
        <v>0</v>
      </c>
      <c r="AT1124" s="24" t="str">
        <f t="shared" si="340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6"/>
        <v>540000</v>
      </c>
      <c r="AA1125" s="13">
        <v>1.18</v>
      </c>
      <c r="AB1125" s="21">
        <f t="shared" si="341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7"/>
        <v>499582152.5142017</v>
      </c>
      <c r="AJ1125" s="19">
        <f t="shared" si="328"/>
        <v>59520528.679470733</v>
      </c>
      <c r="AK1125" s="20">
        <f t="shared" si="335"/>
        <v>0.11914062257814291</v>
      </c>
      <c r="AL1125" s="17"/>
      <c r="AM1125" s="17"/>
      <c r="AN1125" s="17"/>
      <c r="AO1125" s="17"/>
      <c r="AP1125" s="28" t="str">
        <f t="shared" si="336"/>
        <v>CancelCANCEL</v>
      </c>
      <c r="AQ1125" s="28" t="str">
        <f t="shared" si="337"/>
        <v>CancelCANCELRMB</v>
      </c>
      <c r="AR1125" s="206" t="str">
        <f t="shared" si="338"/>
        <v>YAMAHA_Mounter</v>
      </c>
      <c r="AS1125" s="22" t="str">
        <f t="shared" si="339"/>
        <v/>
      </c>
      <c r="AT1125" s="24" t="str">
        <f t="shared" si="340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6"/>
        <v>540000</v>
      </c>
      <c r="AA1126" s="13">
        <v>1.18</v>
      </c>
      <c r="AB1126" s="21">
        <f t="shared" si="341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7"/>
        <v>499582152.5142017</v>
      </c>
      <c r="AJ1126" s="19">
        <f t="shared" si="328"/>
        <v>59520528.679470733</v>
      </c>
      <c r="AK1126" s="20">
        <f t="shared" si="335"/>
        <v>0.11914062257814291</v>
      </c>
      <c r="AL1126" s="17"/>
      <c r="AM1126" s="17"/>
      <c r="AN1126" s="17"/>
      <c r="AO1126" s="17"/>
      <c r="AP1126" s="28" t="str">
        <f t="shared" si="336"/>
        <v>CancelCANCEL</v>
      </c>
      <c r="AQ1126" s="28" t="str">
        <f t="shared" si="337"/>
        <v>CancelCANCELRMB</v>
      </c>
      <c r="AR1126" s="206" t="str">
        <f t="shared" si="338"/>
        <v>YAMAHA_Mounter</v>
      </c>
      <c r="AS1126" s="22" t="str">
        <f t="shared" si="339"/>
        <v/>
      </c>
      <c r="AT1126" s="24" t="str">
        <f t="shared" si="340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6"/>
        <v>11679000</v>
      </c>
      <c r="AA1127" s="13">
        <v>1.18</v>
      </c>
      <c r="AB1127" s="21">
        <f t="shared" si="341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7"/>
        <v>499582152.5142017</v>
      </c>
      <c r="AJ1127" s="19">
        <f t="shared" si="328"/>
        <v>59520528.679470733</v>
      </c>
      <c r="AK1127" s="20">
        <f t="shared" si="335"/>
        <v>0.11914062257814291</v>
      </c>
      <c r="AL1127" s="17"/>
      <c r="AM1127" s="17"/>
      <c r="AN1127" s="17"/>
      <c r="AO1127" s="17"/>
      <c r="AP1127" s="28" t="str">
        <f t="shared" si="336"/>
        <v>CancelCANCEL</v>
      </c>
      <c r="AQ1127" s="28" t="str">
        <f t="shared" si="337"/>
        <v>CancelCANCELRMB</v>
      </c>
      <c r="AR1127" s="206" t="str">
        <f t="shared" si="338"/>
        <v>YAMAHA_Mounter</v>
      </c>
      <c r="AS1127" s="22" t="str">
        <f t="shared" si="339"/>
        <v/>
      </c>
      <c r="AT1127" s="24" t="str">
        <f t="shared" si="340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6"/>
        <v>642931</v>
      </c>
      <c r="AA1128" s="13">
        <v>1.135</v>
      </c>
      <c r="AB1128" s="21">
        <f t="shared" si="341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7"/>
        <v>21386017.707964607</v>
      </c>
      <c r="AJ1128" s="19">
        <f t="shared" si="328"/>
        <v>2238764.3265707968</v>
      </c>
      <c r="AK1128" s="20">
        <f t="shared" si="335"/>
        <v>0.10468355339185161</v>
      </c>
      <c r="AL1128" s="17"/>
      <c r="AM1128" s="17"/>
      <c r="AN1128" s="17"/>
      <c r="AO1128" s="17"/>
      <c r="AP1128" s="28" t="str">
        <f t="shared" si="336"/>
        <v>20198</v>
      </c>
      <c r="AQ1128" s="28" t="str">
        <f t="shared" si="337"/>
        <v>20198RMB</v>
      </c>
      <c r="AR1128" s="206" t="str">
        <f t="shared" si="338"/>
        <v>YAMAHA_Mounter</v>
      </c>
      <c r="AS1128" s="22">
        <f t="shared" si="339"/>
        <v>5</v>
      </c>
      <c r="AT1128" s="24" t="str">
        <f t="shared" si="340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6"/>
        <v>642931</v>
      </c>
      <c r="AA1129" s="13">
        <v>1.135</v>
      </c>
      <c r="AB1129" s="21">
        <f t="shared" si="341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7"/>
        <v>21386017.707964607</v>
      </c>
      <c r="AJ1129" s="19">
        <f t="shared" si="328"/>
        <v>2238764.3265707968</v>
      </c>
      <c r="AK1129" s="20">
        <f t="shared" si="335"/>
        <v>0.10468355339185161</v>
      </c>
      <c r="AL1129" s="17"/>
      <c r="AM1129" s="17"/>
      <c r="AN1129" s="17"/>
      <c r="AO1129" s="17"/>
      <c r="AP1129" s="28" t="str">
        <f t="shared" si="336"/>
        <v>20198</v>
      </c>
      <c r="AQ1129" s="28" t="str">
        <f t="shared" si="337"/>
        <v>20198RMB</v>
      </c>
      <c r="AR1129" s="206" t="str">
        <f t="shared" si="338"/>
        <v>YAMAHA_Mounter</v>
      </c>
      <c r="AS1129" s="22">
        <f t="shared" si="339"/>
        <v>5</v>
      </c>
      <c r="AT1129" s="24" t="str">
        <f t="shared" si="340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6"/>
        <v>560000</v>
      </c>
      <c r="AA1130" s="13">
        <v>1.175</v>
      </c>
      <c r="AB1130" s="21">
        <f t="shared" si="341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7"/>
        <v>35682787.057522126</v>
      </c>
      <c r="AJ1130" s="19">
        <f t="shared" si="328"/>
        <v>5833368.3789623892</v>
      </c>
      <c r="AK1130" s="20">
        <f t="shared" si="335"/>
        <v>0.16347849649632912</v>
      </c>
      <c r="AL1130" s="17"/>
      <c r="AM1130" s="17"/>
      <c r="AN1130" s="17"/>
      <c r="AO1130" s="17"/>
      <c r="AP1130" s="28" t="str">
        <f t="shared" si="336"/>
        <v>20226</v>
      </c>
      <c r="AQ1130" s="28" t="str">
        <f t="shared" si="337"/>
        <v>20226RMB</v>
      </c>
      <c r="AR1130" s="206" t="str">
        <f t="shared" si="338"/>
        <v>YAMAHA_Mounter</v>
      </c>
      <c r="AS1130" s="22">
        <f t="shared" si="339"/>
        <v>2</v>
      </c>
      <c r="AT1130" s="24" t="str">
        <f t="shared" si="340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6"/>
        <v>580000</v>
      </c>
      <c r="AA1131" s="13">
        <v>1.123</v>
      </c>
      <c r="AB1131" s="21">
        <f t="shared" si="341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7"/>
        <v>13250187.062905986</v>
      </c>
      <c r="AJ1131" s="19">
        <f t="shared" si="328"/>
        <v>1545643.7555487182</v>
      </c>
      <c r="AK1131" s="20">
        <f t="shared" si="335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6"/>
        <v>20183</v>
      </c>
      <c r="AQ1131" s="28" t="str">
        <f t="shared" si="337"/>
        <v>20183RMB</v>
      </c>
      <c r="AR1131" s="206" t="str">
        <f t="shared" si="338"/>
        <v>YAMAHA_Mounter</v>
      </c>
      <c r="AS1131" s="22">
        <f t="shared" si="339"/>
        <v>3</v>
      </c>
      <c r="AT1131" s="24" t="str">
        <f t="shared" si="340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6"/>
        <v>840000</v>
      </c>
      <c r="AA1132" s="13">
        <v>1.135</v>
      </c>
      <c r="AB1132" s="21">
        <f t="shared" si="341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7"/>
        <v>28011162.254106201</v>
      </c>
      <c r="AJ1132" s="19">
        <f t="shared" si="328"/>
        <v>3401347.1124888416</v>
      </c>
      <c r="AK1132" s="20">
        <f t="shared" si="335"/>
        <v>0.12142827497242578</v>
      </c>
      <c r="AL1132" s="17"/>
      <c r="AM1132" s="17"/>
      <c r="AN1132" s="17"/>
      <c r="AO1132" s="17"/>
      <c r="AP1132" s="28" t="str">
        <f t="shared" si="336"/>
        <v>202010</v>
      </c>
      <c r="AQ1132" s="28" t="str">
        <f t="shared" si="337"/>
        <v>202010RMB</v>
      </c>
      <c r="AR1132" s="206" t="str">
        <f t="shared" si="338"/>
        <v>YAMAHA_Mounter</v>
      </c>
      <c r="AS1132" s="22">
        <f t="shared" si="339"/>
        <v>3</v>
      </c>
      <c r="AT1132" s="24" t="str">
        <f t="shared" si="340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6"/>
        <v>434999</v>
      </c>
      <c r="AA1133" s="22">
        <v>1.083</v>
      </c>
      <c r="AB1133" s="21">
        <f t="shared" si="341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7"/>
        <v>11472879.764601771</v>
      </c>
      <c r="AJ1133" s="27">
        <f t="shared" si="328"/>
        <v>2038344.1716106194</v>
      </c>
      <c r="AK1133" s="28">
        <f t="shared" si="335"/>
        <v>0.17766630640544948</v>
      </c>
      <c r="AL1133" s="24"/>
      <c r="AM1133" s="24"/>
      <c r="AN1133" s="24"/>
      <c r="AO1133" s="24"/>
      <c r="AP1133" s="28" t="str">
        <f t="shared" si="336"/>
        <v>20245</v>
      </c>
      <c r="AQ1133" s="28" t="str">
        <f t="shared" si="337"/>
        <v>20245RMB</v>
      </c>
      <c r="AR1133" s="206" t="str">
        <f t="shared" si="338"/>
        <v>YAMAHA_Mounter</v>
      </c>
      <c r="AS1133" s="22">
        <f t="shared" si="339"/>
        <v>2</v>
      </c>
      <c r="AT1133" s="24" t="str">
        <f t="shared" si="340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2">IF(X1134="","",X1134*MAX(O1134,N1134))</f>
        <v>11840000</v>
      </c>
      <c r="AA1134" s="13">
        <v>7.2999999999999995E-2</v>
      </c>
      <c r="AB1134" s="21">
        <f t="shared" si="341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7"/>
        <v>499582152.5142017</v>
      </c>
      <c r="AJ1134" s="19">
        <f t="shared" si="328"/>
        <v>59520528.679470733</v>
      </c>
      <c r="AK1134" s="20">
        <f t="shared" si="335"/>
        <v>0.11914062257814291</v>
      </c>
      <c r="AL1134" s="17"/>
      <c r="AM1134" s="17"/>
      <c r="AN1134" s="17"/>
      <c r="AO1134" s="17"/>
      <c r="AP1134" s="28" t="str">
        <f t="shared" si="336"/>
        <v>CancelCancel</v>
      </c>
      <c r="AQ1134" s="28" t="str">
        <f t="shared" si="337"/>
        <v>CancelCancelJPY</v>
      </c>
      <c r="AR1134" s="206" t="str">
        <f t="shared" si="338"/>
        <v>YAMAHA_Mounter</v>
      </c>
      <c r="AS1134" s="22" t="str">
        <f t="shared" si="339"/>
        <v/>
      </c>
      <c r="AT1134" s="24" t="str">
        <f t="shared" si="340"/>
        <v/>
      </c>
      <c r="AU1134" s="22" t="s">
        <v>3745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2"/>
        <v>12400000</v>
      </c>
      <c r="AA1135" s="13">
        <v>7.17E-2</v>
      </c>
      <c r="AB1135" s="21">
        <f t="shared" si="341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7"/>
        <v>14593788.187146019</v>
      </c>
      <c r="AJ1135" s="19">
        <f t="shared" si="328"/>
        <v>1868647.7321969916</v>
      </c>
      <c r="AK1135" s="20">
        <f t="shared" si="335"/>
        <v>0.12804404916900652</v>
      </c>
      <c r="AL1135" s="17"/>
      <c r="AM1135" s="17"/>
      <c r="AN1135" s="17"/>
      <c r="AO1135" s="17"/>
      <c r="AP1135" s="28" t="str">
        <f t="shared" si="336"/>
        <v>20195</v>
      </c>
      <c r="AQ1135" s="28" t="str">
        <f t="shared" si="337"/>
        <v>20195JPY</v>
      </c>
      <c r="AR1135" s="206" t="str">
        <f t="shared" si="338"/>
        <v>YAMAHA_Mounter</v>
      </c>
      <c r="AS1135" s="22">
        <f t="shared" si="339"/>
        <v>10</v>
      </c>
      <c r="AT1135" s="24" t="str">
        <f t="shared" si="340"/>
        <v>&gt; 6 months</v>
      </c>
      <c r="AU1135" s="22" t="s">
        <v>3746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2"/>
        <v>10500000</v>
      </c>
      <c r="AA1136" s="13">
        <v>7.4899999999999994E-2</v>
      </c>
      <c r="AB1136" s="21">
        <f t="shared" si="341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7"/>
        <v>47907808.356810622</v>
      </c>
      <c r="AJ1136" s="19">
        <f t="shared" si="328"/>
        <v>6027384.8806384448</v>
      </c>
      <c r="AK1136" s="20">
        <f t="shared" si="335"/>
        <v>0.12581216063459488</v>
      </c>
      <c r="AL1136" s="17"/>
      <c r="AM1136" s="17"/>
      <c r="AN1136" s="17"/>
      <c r="AO1136" s="17"/>
      <c r="AP1136" s="28" t="str">
        <f t="shared" si="336"/>
        <v>20209</v>
      </c>
      <c r="AQ1136" s="28" t="str">
        <f t="shared" si="337"/>
        <v>20209JPY</v>
      </c>
      <c r="AR1136" s="206" t="str">
        <f t="shared" si="338"/>
        <v>YAMAHA_Mounter</v>
      </c>
      <c r="AS1136" s="22">
        <f t="shared" si="339"/>
        <v>2</v>
      </c>
      <c r="AT1136" s="24" t="str">
        <f t="shared" si="340"/>
        <v>0-3 months</v>
      </c>
      <c r="AU1136" s="22" t="s">
        <v>3745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3">IF(W1137="RMB","1.13", "1")</f>
        <v>1</v>
      </c>
      <c r="Z1137" s="18">
        <f t="shared" si="342"/>
        <v>6950000</v>
      </c>
      <c r="AA1137" s="13">
        <v>7.2099999999999997E-2</v>
      </c>
      <c r="AB1137" s="21">
        <f t="shared" si="341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7"/>
        <v>54700260.692079648</v>
      </c>
      <c r="AJ1137" s="19">
        <f t="shared" si="328"/>
        <v>7482899.5749188727</v>
      </c>
      <c r="AK1137" s="20">
        <f t="shared" si="335"/>
        <v>0.13679824337660537</v>
      </c>
      <c r="AL1137" s="17"/>
      <c r="AM1137" s="17"/>
      <c r="AN1137" s="17"/>
      <c r="AO1137" s="17"/>
      <c r="AP1137" s="28" t="str">
        <f t="shared" si="336"/>
        <v>20216</v>
      </c>
      <c r="AQ1137" s="28" t="str">
        <f t="shared" si="337"/>
        <v>20216JPY</v>
      </c>
      <c r="AR1137" s="206" t="str">
        <f t="shared" si="338"/>
        <v>YAMAHA_Mounter</v>
      </c>
      <c r="AS1137" s="22">
        <f t="shared" si="339"/>
        <v>3</v>
      </c>
      <c r="AT1137" s="24" t="str">
        <f t="shared" si="340"/>
        <v>0-3 months</v>
      </c>
      <c r="AU1137" s="22" t="s">
        <v>3745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3"/>
        <v>1</v>
      </c>
      <c r="Z1138" s="18">
        <f t="shared" si="342"/>
        <v>6950000</v>
      </c>
      <c r="AA1138" s="13">
        <v>7.2099999999999997E-2</v>
      </c>
      <c r="AB1138" s="21">
        <f t="shared" si="341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7"/>
        <v>54700260.692079648</v>
      </c>
      <c r="AJ1138" s="19">
        <f t="shared" si="328"/>
        <v>7482899.5749188727</v>
      </c>
      <c r="AK1138" s="20">
        <f t="shared" si="335"/>
        <v>0.13679824337660537</v>
      </c>
      <c r="AL1138" s="17"/>
      <c r="AM1138" s="17"/>
      <c r="AN1138" s="17"/>
      <c r="AO1138" s="17"/>
      <c r="AP1138" s="28" t="str">
        <f t="shared" si="336"/>
        <v>20216</v>
      </c>
      <c r="AQ1138" s="28" t="str">
        <f t="shared" si="337"/>
        <v>20216JPY</v>
      </c>
      <c r="AR1138" s="206" t="str">
        <f t="shared" si="338"/>
        <v>YAMAHA_Mounter</v>
      </c>
      <c r="AS1138" s="22">
        <f t="shared" si="339"/>
        <v>3</v>
      </c>
      <c r="AT1138" s="24" t="str">
        <f t="shared" si="340"/>
        <v>0-3 months</v>
      </c>
      <c r="AU1138" s="22" t="s">
        <v>3745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3"/>
        <v>1</v>
      </c>
      <c r="Z1139" s="18">
        <f t="shared" si="342"/>
        <v>13000000</v>
      </c>
      <c r="AA1139" s="13">
        <v>6.25E-2</v>
      </c>
      <c r="AB1139" s="21">
        <f t="shared" si="341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7"/>
        <v>35682787.057522126</v>
      </c>
      <c r="AJ1139" s="19">
        <f t="shared" si="328"/>
        <v>5833368.3789623892</v>
      </c>
      <c r="AK1139" s="20">
        <f t="shared" si="335"/>
        <v>0.16347849649632912</v>
      </c>
      <c r="AL1139" s="17"/>
      <c r="AM1139" s="17"/>
      <c r="AN1139" s="17"/>
      <c r="AO1139" s="17"/>
      <c r="AP1139" s="28" t="str">
        <f t="shared" si="336"/>
        <v>20226</v>
      </c>
      <c r="AQ1139" s="28" t="str">
        <f t="shared" si="337"/>
        <v>20226JPY</v>
      </c>
      <c r="AR1139" s="206" t="str">
        <f t="shared" si="338"/>
        <v>YAMAHA_Mounter</v>
      </c>
      <c r="AS1139" s="22">
        <f t="shared" si="339"/>
        <v>4</v>
      </c>
      <c r="AT1139" s="24" t="str">
        <f t="shared" si="340"/>
        <v>4-6 months</v>
      </c>
      <c r="AU1139" s="22" t="s">
        <v>3745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3"/>
        <v>1</v>
      </c>
      <c r="Z1140" s="18">
        <f t="shared" si="342"/>
        <v>8000000</v>
      </c>
      <c r="AA1140" s="13">
        <v>6.25E-2</v>
      </c>
      <c r="AB1140" s="21">
        <f t="shared" si="341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7"/>
        <v>35682787.057522126</v>
      </c>
      <c r="AJ1140" s="19">
        <f t="shared" si="328"/>
        <v>5833368.3789623892</v>
      </c>
      <c r="AK1140" s="20">
        <f t="shared" si="335"/>
        <v>0.16347849649632912</v>
      </c>
      <c r="AL1140" s="17"/>
      <c r="AM1140" s="17"/>
      <c r="AN1140" s="17"/>
      <c r="AO1140" s="17"/>
      <c r="AP1140" s="28" t="str">
        <f t="shared" si="336"/>
        <v>20226</v>
      </c>
      <c r="AQ1140" s="28" t="str">
        <f t="shared" si="337"/>
        <v>20226JPY</v>
      </c>
      <c r="AR1140" s="206" t="str">
        <f t="shared" si="338"/>
        <v>YAMAHA_Mounter</v>
      </c>
      <c r="AS1140" s="22">
        <f t="shared" si="339"/>
        <v>4</v>
      </c>
      <c r="AT1140" s="24" t="str">
        <f t="shared" si="340"/>
        <v>4-6 months</v>
      </c>
      <c r="AU1140" s="22" t="s">
        <v>3745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3"/>
        <v>1.13</v>
      </c>
      <c r="Z1141" s="18">
        <f t="shared" si="342"/>
        <v>415000</v>
      </c>
      <c r="AA1141" s="13">
        <v>1.1399999999999999</v>
      </c>
      <c r="AB1141" s="21">
        <f t="shared" si="341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7"/>
        <v>30573205.452778768</v>
      </c>
      <c r="AJ1141" s="19">
        <f t="shared" si="328"/>
        <v>3790930.1683151261</v>
      </c>
      <c r="AK1141" s="20">
        <f t="shared" si="335"/>
        <v>0.12399518179964254</v>
      </c>
      <c r="AL1141" s="17"/>
      <c r="AM1141" s="17"/>
      <c r="AN1141" s="17"/>
      <c r="AO1141" s="17"/>
      <c r="AP1141" s="28" t="str">
        <f t="shared" si="336"/>
        <v>20234</v>
      </c>
      <c r="AQ1141" s="28" t="str">
        <f t="shared" si="337"/>
        <v>20234RMB</v>
      </c>
      <c r="AR1141" s="206" t="str">
        <f t="shared" si="338"/>
        <v>YAMAHA_Mounter</v>
      </c>
      <c r="AS1141" s="22">
        <f t="shared" si="339"/>
        <v>4</v>
      </c>
      <c r="AT1141" s="24" t="str">
        <f t="shared" si="340"/>
        <v>4-6 months</v>
      </c>
      <c r="AU1141" s="22" t="s">
        <v>3751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3"/>
        <v>1.13</v>
      </c>
      <c r="Z1142" s="18">
        <f t="shared" si="342"/>
        <v>415000</v>
      </c>
      <c r="AA1142" s="13">
        <v>1.1399999999999999</v>
      </c>
      <c r="AB1142" s="21">
        <f t="shared" si="341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7"/>
        <v>30573205.452778768</v>
      </c>
      <c r="AJ1142" s="19">
        <f t="shared" si="328"/>
        <v>3790930.1683151261</v>
      </c>
      <c r="AK1142" s="20">
        <f t="shared" si="335"/>
        <v>0.12399518179964254</v>
      </c>
      <c r="AL1142" s="17"/>
      <c r="AM1142" s="17"/>
      <c r="AN1142" s="17"/>
      <c r="AO1142" s="17"/>
      <c r="AP1142" s="28" t="str">
        <f t="shared" si="336"/>
        <v>20234</v>
      </c>
      <c r="AQ1142" s="28" t="str">
        <f t="shared" si="337"/>
        <v>20234RMB</v>
      </c>
      <c r="AR1142" s="206" t="str">
        <f t="shared" si="338"/>
        <v>YAMAHA_Mounter</v>
      </c>
      <c r="AS1142" s="22">
        <f t="shared" si="339"/>
        <v>4</v>
      </c>
      <c r="AT1142" s="24" t="str">
        <f t="shared" si="340"/>
        <v>4-6 months</v>
      </c>
      <c r="AU1142" s="22" t="s">
        <v>3751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2"/>
        <v>434999</v>
      </c>
      <c r="AA1143" s="22">
        <v>1.083</v>
      </c>
      <c r="AB1143" s="21">
        <f t="shared" si="341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7"/>
        <v>11472879.764601771</v>
      </c>
      <c r="AJ1143" s="27">
        <f t="shared" si="328"/>
        <v>2038344.1716106194</v>
      </c>
      <c r="AK1143" s="28">
        <f t="shared" si="335"/>
        <v>0.17766630640544948</v>
      </c>
      <c r="AL1143" s="24"/>
      <c r="AM1143" s="24"/>
      <c r="AN1143" s="24"/>
      <c r="AO1143" s="24"/>
      <c r="AP1143" s="28" t="str">
        <f t="shared" si="336"/>
        <v>20245</v>
      </c>
      <c r="AQ1143" s="28" t="str">
        <f t="shared" si="337"/>
        <v>20245RMB</v>
      </c>
      <c r="AR1143" s="206" t="str">
        <f t="shared" si="338"/>
        <v>YAMAHA_Mounter</v>
      </c>
      <c r="AS1143" s="22">
        <f t="shared" si="339"/>
        <v>2</v>
      </c>
      <c r="AT1143" s="24" t="str">
        <f t="shared" si="340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2"/>
        <v>918000</v>
      </c>
      <c r="AA1144" s="22">
        <v>1.083</v>
      </c>
      <c r="AB1144" s="21">
        <f t="shared" si="341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27"/>
        <v>11472879.764601771</v>
      </c>
      <c r="AJ1144" s="19">
        <f t="shared" si="328"/>
        <v>2038344.1716106194</v>
      </c>
      <c r="AK1144" s="20">
        <f t="shared" si="335"/>
        <v>0.17766630640544948</v>
      </c>
      <c r="AL1144" s="17"/>
      <c r="AM1144" s="17"/>
      <c r="AN1144" s="17"/>
      <c r="AO1144" s="17"/>
      <c r="AP1144" s="28" t="str">
        <f t="shared" si="336"/>
        <v>20245</v>
      </c>
      <c r="AQ1144" s="28" t="str">
        <f t="shared" si="337"/>
        <v>20245RMB</v>
      </c>
      <c r="AR1144" s="206" t="str">
        <f t="shared" si="338"/>
        <v>YAMAHA_Mounter</v>
      </c>
      <c r="AS1144" s="22">
        <f t="shared" si="339"/>
        <v>13</v>
      </c>
      <c r="AT1144" s="24" t="str">
        <f t="shared" si="340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2"/>
        <v>855000</v>
      </c>
      <c r="AA1145" s="13">
        <v>1.095</v>
      </c>
      <c r="AB1145" s="21">
        <f t="shared" si="341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7"/>
        <v>35384300.169380538</v>
      </c>
      <c r="AJ1145" s="19">
        <f t="shared" si="328"/>
        <v>5044538.8896988509</v>
      </c>
      <c r="AK1145" s="20">
        <f t="shared" si="335"/>
        <v>0.14256432557804533</v>
      </c>
      <c r="AL1145" s="17"/>
      <c r="AM1145" s="17"/>
      <c r="AN1145" s="17"/>
      <c r="AO1145" s="17"/>
      <c r="AP1145" s="28" t="str">
        <f t="shared" si="336"/>
        <v>20207</v>
      </c>
      <c r="AQ1145" s="28" t="str">
        <f t="shared" si="337"/>
        <v>20207RMB</v>
      </c>
      <c r="AR1145" s="206" t="str">
        <f t="shared" si="338"/>
        <v>YAMAHA_Mounter</v>
      </c>
      <c r="AS1145" s="22">
        <f t="shared" si="339"/>
        <v>0</v>
      </c>
      <c r="AT1145" s="24" t="str">
        <f t="shared" si="340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2"/>
        <v>542000</v>
      </c>
      <c r="AA1146" s="13">
        <v>1.135</v>
      </c>
      <c r="AB1146" s="21">
        <f t="shared" si="341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7"/>
        <v>31296887.037898075</v>
      </c>
      <c r="AJ1146" s="19">
        <f t="shared" si="328"/>
        <v>3588873.9502021763</v>
      </c>
      <c r="AK1146" s="20">
        <f t="shared" si="335"/>
        <v>0.11467191436184473</v>
      </c>
      <c r="AL1146" s="17"/>
      <c r="AM1146" s="17"/>
      <c r="AN1146" s="17"/>
      <c r="AO1146" s="17"/>
      <c r="AP1146" s="28" t="str">
        <f t="shared" si="336"/>
        <v>20196</v>
      </c>
      <c r="AQ1146" s="28" t="str">
        <f t="shared" si="337"/>
        <v>20196RMB</v>
      </c>
      <c r="AR1146" s="206" t="str">
        <f t="shared" si="338"/>
        <v>YAMAHA_Mounter</v>
      </c>
      <c r="AS1146" s="22">
        <f t="shared" si="339"/>
        <v>0</v>
      </c>
      <c r="AT1146" s="24" t="str">
        <f t="shared" si="340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2"/>
        <v>988600</v>
      </c>
      <c r="AA1147" s="13">
        <v>1.18</v>
      </c>
      <c r="AB1147" s="21">
        <f t="shared" si="341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7"/>
        <v>43684091.636631854</v>
      </c>
      <c r="AJ1147" s="19">
        <f t="shared" si="328"/>
        <v>6483951.8242071122</v>
      </c>
      <c r="AK1147" s="20">
        <f t="shared" si="335"/>
        <v>0.14842821680123736</v>
      </c>
      <c r="AL1147" s="17"/>
      <c r="AM1147" s="17"/>
      <c r="AN1147" s="17"/>
      <c r="AO1147" s="17"/>
      <c r="AP1147" s="28" t="str">
        <f t="shared" si="336"/>
        <v>20214</v>
      </c>
      <c r="AQ1147" s="28" t="str">
        <f t="shared" si="337"/>
        <v>20214RMB</v>
      </c>
      <c r="AR1147" s="206" t="str">
        <f t="shared" si="338"/>
        <v>YAMAHA_Mounter</v>
      </c>
      <c r="AS1147" s="22">
        <f t="shared" si="339"/>
        <v>0</v>
      </c>
      <c r="AT1147" s="24" t="str">
        <f t="shared" si="340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2"/>
        <v>14448643</v>
      </c>
      <c r="AA1148" s="13">
        <v>7.0199999999999999E-2</v>
      </c>
      <c r="AB1148" s="21">
        <f t="shared" si="341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7"/>
        <v>10786543.370020689</v>
      </c>
      <c r="AJ1148" s="19">
        <f t="shared" si="328"/>
        <v>1330367.5841569281</v>
      </c>
      <c r="AK1148" s="20">
        <f t="shared" si="335"/>
        <v>0.123335858255987</v>
      </c>
      <c r="AL1148" s="17"/>
      <c r="AM1148" s="17"/>
      <c r="AN1148" s="17"/>
      <c r="AO1148" s="17"/>
      <c r="AP1148" s="28" t="str">
        <f t="shared" si="336"/>
        <v>201810</v>
      </c>
      <c r="AQ1148" s="28" t="str">
        <f t="shared" si="337"/>
        <v>201810JPY</v>
      </c>
      <c r="AR1148" s="206" t="str">
        <f t="shared" si="338"/>
        <v>YAMAHA_Mounter</v>
      </c>
      <c r="AS1148" s="22">
        <f t="shared" si="339"/>
        <v>4</v>
      </c>
      <c r="AT1148" s="24" t="str">
        <f t="shared" si="340"/>
        <v>4-6 months</v>
      </c>
      <c r="AU1148" s="22" t="s">
        <v>3745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2"/>
        <v>9100000</v>
      </c>
      <c r="AA1149" s="13">
        <v>7.4099999999999999E-2</v>
      </c>
      <c r="AB1149" s="21">
        <f t="shared" si="341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7"/>
        <v>28647263.974455759</v>
      </c>
      <c r="AJ1149" s="19">
        <f t="shared" si="328"/>
        <v>3219855.6912513468</v>
      </c>
      <c r="AK1149" s="20">
        <f t="shared" si="335"/>
        <v>0.11239662168514358</v>
      </c>
      <c r="AL1149" s="17"/>
      <c r="AM1149" s="17"/>
      <c r="AN1149" s="17"/>
      <c r="AO1149" s="17"/>
      <c r="AP1149" s="28" t="str">
        <f t="shared" si="336"/>
        <v>201910</v>
      </c>
      <c r="AQ1149" s="28" t="str">
        <f t="shared" si="337"/>
        <v>201910JPY</v>
      </c>
      <c r="AR1149" s="206" t="str">
        <f t="shared" si="338"/>
        <v>YAMAHA_Mounter</v>
      </c>
      <c r="AS1149" s="22">
        <f t="shared" si="339"/>
        <v>0</v>
      </c>
      <c r="AT1149" s="24" t="str">
        <f t="shared" si="340"/>
        <v>0-3 months</v>
      </c>
      <c r="AU1149" s="22" t="s">
        <v>3745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2"/>
        <v>900000</v>
      </c>
      <c r="AA1150" s="13">
        <v>1.095</v>
      </c>
      <c r="AB1150" s="21">
        <f t="shared" si="341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7"/>
        <v>28065694.408805311</v>
      </c>
      <c r="AJ1150" s="19">
        <f t="shared" si="328"/>
        <v>4157433.2906989697</v>
      </c>
      <c r="AK1150" s="20">
        <f t="shared" si="335"/>
        <v>0.14813220831602228</v>
      </c>
      <c r="AL1150" s="17"/>
      <c r="AM1150" s="17"/>
      <c r="AN1150" s="17"/>
      <c r="AO1150" s="17"/>
      <c r="AP1150" s="28" t="str">
        <f t="shared" si="336"/>
        <v>20205</v>
      </c>
      <c r="AQ1150" s="28" t="str">
        <f t="shared" si="337"/>
        <v>20205RMB</v>
      </c>
      <c r="AR1150" s="206" t="str">
        <f t="shared" si="338"/>
        <v>YAMAHA_Mounter</v>
      </c>
      <c r="AS1150" s="22">
        <f t="shared" si="339"/>
        <v>0</v>
      </c>
      <c r="AT1150" s="24" t="str">
        <f t="shared" si="340"/>
        <v>0-3 months</v>
      </c>
      <c r="AU1150" s="22" t="s">
        <v>3744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2"/>
        <v>620000</v>
      </c>
      <c r="AA1151" s="13">
        <v>1.095</v>
      </c>
      <c r="AB1151" s="21">
        <f t="shared" si="341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7"/>
        <v>28065694.408805311</v>
      </c>
      <c r="AJ1151" s="19">
        <f t="shared" si="328"/>
        <v>4157433.2906989697</v>
      </c>
      <c r="AK1151" s="20">
        <f t="shared" si="335"/>
        <v>0.14813220831602228</v>
      </c>
      <c r="AL1151" s="17"/>
      <c r="AM1151" s="17"/>
      <c r="AN1151" s="17"/>
      <c r="AO1151" s="17"/>
      <c r="AP1151" s="28" t="str">
        <f t="shared" si="336"/>
        <v>20205</v>
      </c>
      <c r="AQ1151" s="28" t="str">
        <f t="shared" si="337"/>
        <v>20205RMB</v>
      </c>
      <c r="AR1151" s="206" t="str">
        <f t="shared" si="338"/>
        <v>YAMAHA_Mounter</v>
      </c>
      <c r="AS1151" s="22">
        <f t="shared" si="339"/>
        <v>0</v>
      </c>
      <c r="AT1151" s="24" t="str">
        <f t="shared" si="340"/>
        <v>0-3 months</v>
      </c>
      <c r="AU1151" s="22" t="s">
        <v>3744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4">IF(W1152="RMB","1.13", "1")</f>
        <v>1.13</v>
      </c>
      <c r="Z1152" s="18">
        <f t="shared" si="342"/>
        <v>518000</v>
      </c>
      <c r="AA1152" s="13">
        <v>1.155</v>
      </c>
      <c r="AB1152" s="21">
        <f t="shared" si="341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7"/>
        <v>44078731.611185849</v>
      </c>
      <c r="AJ1152" s="19">
        <f t="shared" si="328"/>
        <v>5508173.2163771465</v>
      </c>
      <c r="AK1152" s="20">
        <f t="shared" si="335"/>
        <v>0.12496215328889679</v>
      </c>
      <c r="AL1152" s="17"/>
      <c r="AM1152" s="17"/>
      <c r="AN1152" s="17"/>
      <c r="AO1152" s="17"/>
      <c r="AP1152" s="28" t="str">
        <f t="shared" si="336"/>
        <v>202011</v>
      </c>
      <c r="AQ1152" s="28" t="str">
        <f t="shared" si="337"/>
        <v>202011RMB</v>
      </c>
      <c r="AR1152" s="206" t="str">
        <f t="shared" si="338"/>
        <v>YAMAHA_Mounter</v>
      </c>
      <c r="AS1152" s="22">
        <f t="shared" si="339"/>
        <v>2</v>
      </c>
      <c r="AT1152" s="24" t="str">
        <f t="shared" si="340"/>
        <v>0-3 months</v>
      </c>
      <c r="AU1152" s="22" t="s">
        <v>3744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4"/>
        <v>1</v>
      </c>
      <c r="Z1153" s="18">
        <f t="shared" si="342"/>
        <v>12605000</v>
      </c>
      <c r="AA1153" s="13">
        <v>7.17E-2</v>
      </c>
      <c r="AB1153" s="21">
        <f t="shared" si="341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7"/>
        <v>43684091.636631854</v>
      </c>
      <c r="AJ1153" s="19">
        <f t="shared" si="328"/>
        <v>6483951.8242071122</v>
      </c>
      <c r="AK1153" s="20">
        <f t="shared" si="335"/>
        <v>0.14842821680123736</v>
      </c>
      <c r="AL1153" s="17"/>
      <c r="AM1153" s="17"/>
      <c r="AN1153" s="17"/>
      <c r="AO1153" s="17"/>
      <c r="AP1153" s="28" t="str">
        <f t="shared" si="336"/>
        <v>20214</v>
      </c>
      <c r="AQ1153" s="28" t="str">
        <f t="shared" si="337"/>
        <v>20214JPY</v>
      </c>
      <c r="AR1153" s="206" t="str">
        <f t="shared" si="338"/>
        <v>YAMAHA_Mounter</v>
      </c>
      <c r="AS1153" s="22">
        <f t="shared" si="339"/>
        <v>3</v>
      </c>
      <c r="AT1153" s="24" t="str">
        <f t="shared" si="340"/>
        <v>0-3 months</v>
      </c>
      <c r="AU1153" s="22" t="s">
        <v>3745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4"/>
        <v>1</v>
      </c>
      <c r="Z1154" s="18">
        <f t="shared" si="342"/>
        <v>8590000</v>
      </c>
      <c r="AA1154" s="13">
        <v>6.9199999999999998E-2</v>
      </c>
      <c r="AB1154" s="21">
        <f t="shared" si="341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45">IF(P1154="C66 SERVICE","",SUMIFS(AB:AB,F:F,F1154,G:G,G1154,E:E,E1154))</f>
        <v>26407088.359292038</v>
      </c>
      <c r="AJ1154" s="19">
        <f t="shared" ref="AJ1154:AJ1217" si="346">IF(P1154="C66 SERVICE","",SUMIFS(AC:AC,F:F,F1154,G:G,G1154,E:E,E1154))</f>
        <v>3424510.6998470789</v>
      </c>
      <c r="AK1154" s="20">
        <f t="shared" si="335"/>
        <v>0.12968149510667554</v>
      </c>
      <c r="AL1154" s="17"/>
      <c r="AM1154" s="17"/>
      <c r="AN1154" s="17"/>
      <c r="AO1154" s="17"/>
      <c r="AP1154" s="28" t="str">
        <f t="shared" si="336"/>
        <v>20221</v>
      </c>
      <c r="AQ1154" s="28" t="str">
        <f t="shared" si="337"/>
        <v>20221JPY</v>
      </c>
      <c r="AR1154" s="206" t="str">
        <f t="shared" si="338"/>
        <v>YAMAHA_Mounter</v>
      </c>
      <c r="AS1154" s="22">
        <f t="shared" si="339"/>
        <v>9</v>
      </c>
      <c r="AT1154" s="24" t="str">
        <f t="shared" si="340"/>
        <v>&gt; 6 months</v>
      </c>
      <c r="AU1154" s="22" t="s">
        <v>3745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4"/>
        <v>1</v>
      </c>
      <c r="Z1155" s="18">
        <f t="shared" si="342"/>
        <v>14000000</v>
      </c>
      <c r="AA1155" s="13">
        <v>5.96E-2</v>
      </c>
      <c r="AB1155" s="21">
        <f t="shared" si="341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45"/>
        <v>35073581.838938057</v>
      </c>
      <c r="AJ1155" s="19">
        <f t="shared" si="346"/>
        <v>5034113.9728989396</v>
      </c>
      <c r="AK1155" s="20">
        <f t="shared" si="335"/>
        <v>0.14353007902118958</v>
      </c>
      <c r="AL1155" s="17"/>
      <c r="AM1155" s="17"/>
      <c r="AN1155" s="17"/>
      <c r="AO1155" s="17"/>
      <c r="AP1155" s="28" t="str">
        <f t="shared" si="336"/>
        <v>20228</v>
      </c>
      <c r="AQ1155" s="28" t="str">
        <f t="shared" si="337"/>
        <v>20228JPY</v>
      </c>
      <c r="AR1155" s="206" t="str">
        <f t="shared" si="338"/>
        <v>YAMAHA_Mounter</v>
      </c>
      <c r="AS1155" s="22">
        <f t="shared" si="339"/>
        <v>3</v>
      </c>
      <c r="AT1155" s="24" t="str">
        <f t="shared" si="340"/>
        <v>0-3 months</v>
      </c>
      <c r="AU1155" s="22" t="s">
        <v>3745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4"/>
        <v>1</v>
      </c>
      <c r="Z1156" s="18">
        <f t="shared" si="342"/>
        <v>10000000</v>
      </c>
      <c r="AA1156" s="13">
        <v>5.96E-2</v>
      </c>
      <c r="AB1156" s="21">
        <f t="shared" si="341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45"/>
        <v>35073581.838938057</v>
      </c>
      <c r="AJ1156" s="19">
        <f t="shared" si="346"/>
        <v>5034113.9728989396</v>
      </c>
      <c r="AK1156" s="20">
        <f t="shared" si="335"/>
        <v>0.14353007902118958</v>
      </c>
      <c r="AL1156" s="17"/>
      <c r="AM1156" s="17"/>
      <c r="AN1156" s="17"/>
      <c r="AO1156" s="17"/>
      <c r="AP1156" s="28" t="str">
        <f t="shared" si="336"/>
        <v>20228</v>
      </c>
      <c r="AQ1156" s="28" t="str">
        <f t="shared" si="337"/>
        <v>20228JPY</v>
      </c>
      <c r="AR1156" s="206" t="str">
        <f t="shared" si="338"/>
        <v>YAMAHA_Mounter</v>
      </c>
      <c r="AS1156" s="22">
        <f t="shared" si="339"/>
        <v>3</v>
      </c>
      <c r="AT1156" s="24" t="str">
        <f t="shared" si="340"/>
        <v>0-3 months</v>
      </c>
      <c r="AU1156" s="22" t="s">
        <v>3745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4"/>
        <v>1.13</v>
      </c>
      <c r="Z1157" s="18">
        <f t="shared" si="342"/>
        <v>458000</v>
      </c>
      <c r="AA1157" s="13">
        <v>1.1299999999999999</v>
      </c>
      <c r="AB1157" s="21">
        <f t="shared" si="341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45"/>
        <v>33543315.897345133</v>
      </c>
      <c r="AJ1157" s="19">
        <f t="shared" si="346"/>
        <v>4706169.3252984071</v>
      </c>
      <c r="AK1157" s="20">
        <f t="shared" si="335"/>
        <v>0.14030125523967318</v>
      </c>
      <c r="AL1157" s="17"/>
      <c r="AM1157" s="17"/>
      <c r="AN1157" s="17"/>
      <c r="AO1157" s="17"/>
      <c r="AP1157" s="28" t="str">
        <f t="shared" si="336"/>
        <v>20233</v>
      </c>
      <c r="AQ1157" s="28" t="str">
        <f t="shared" si="337"/>
        <v>20233RMB</v>
      </c>
      <c r="AR1157" s="206" t="str">
        <f t="shared" si="338"/>
        <v>YAMAHA_Mounter</v>
      </c>
      <c r="AS1157" s="22">
        <f t="shared" si="339"/>
        <v>2</v>
      </c>
      <c r="AT1157" s="24" t="str">
        <f t="shared" si="340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4"/>
        <v>1.13</v>
      </c>
      <c r="Z1158" s="18">
        <f t="shared" si="342"/>
        <v>670000</v>
      </c>
      <c r="AA1158" s="13">
        <v>1.077</v>
      </c>
      <c r="AB1158" s="21">
        <f t="shared" si="341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45"/>
        <v>26078226.463097349</v>
      </c>
      <c r="AJ1158" s="19">
        <f t="shared" si="346"/>
        <v>3137870.4427774516</v>
      </c>
      <c r="AK1158" s="20">
        <f t="shared" ref="AK1158:AK1221" si="353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4">IF(F1158="","",F1158&amp;G1158)</f>
        <v>20239</v>
      </c>
      <c r="AQ1158" s="28" t="str">
        <f t="shared" ref="AQ1158:AQ1221" si="355">IF(W1158="","",F1158&amp;G1158&amp;W1158)</f>
        <v>20239RMB</v>
      </c>
      <c r="AR1158" s="206" t="str">
        <f t="shared" ref="AR1158:AR1221" si="356">IFERROR(IF(AND(M1158="YAMAHA", R1158="C28"), "YAMAHA_Non_Mounter", IF(AND(M1158="YAMAHA", R1158="C49"), "YAMAHA_Mounter", M1158)),"")</f>
        <v>YAMAHA_Mounter</v>
      </c>
      <c r="AS1158" s="22">
        <f t="shared" ref="AS1158:AS1221" si="357">IFERROR(IF(OR(G1158="TBA", G1158=""), "", DATEDIF(DATE(B1158, C1158, 1), DATE(F1158, G1158, 1), "M")),"")</f>
        <v>0</v>
      </c>
      <c r="AT1158" s="24" t="str">
        <f t="shared" ref="AT1158:AT1221" si="358">IF(ISNUMBER(AS1158), IF(AS1158&gt;=0, IF(AS1158&lt;=3, "0-3 months", IF(AS1158&lt;=6, "4-6 months", "&gt; 6 months"))), "")</f>
        <v>0-3 months</v>
      </c>
      <c r="AU1158" s="22" t="s">
        <v>3751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2"/>
        <v>1112500</v>
      </c>
      <c r="AA1159" s="13">
        <v>1.095</v>
      </c>
      <c r="AB1159" s="21">
        <f t="shared" si="341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45"/>
        <v>37599388.802345134</v>
      </c>
      <c r="AJ1159" s="19">
        <f t="shared" si="346"/>
        <v>4866784.3630338367</v>
      </c>
      <c r="AK1159" s="20">
        <f t="shared" si="353"/>
        <v>0.12943785838163113</v>
      </c>
      <c r="AL1159" s="17"/>
      <c r="AM1159" s="17"/>
      <c r="AN1159" s="17"/>
      <c r="AO1159" s="17"/>
      <c r="AP1159" s="28" t="str">
        <f t="shared" si="354"/>
        <v>20199</v>
      </c>
      <c r="AQ1159" s="28" t="str">
        <f t="shared" si="355"/>
        <v>20199RMB</v>
      </c>
      <c r="AR1159" s="206" t="str">
        <f t="shared" si="356"/>
        <v>YAMAHA_Mounter</v>
      </c>
      <c r="AS1159" s="22">
        <f t="shared" si="357"/>
        <v>0</v>
      </c>
      <c r="AT1159" s="24" t="str">
        <f t="shared" si="358"/>
        <v>0-3 months</v>
      </c>
      <c r="AU1159" s="22" t="s">
        <v>3744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2"/>
        <v>1112500</v>
      </c>
      <c r="AA1160" s="13">
        <v>1.095</v>
      </c>
      <c r="AB1160" s="21">
        <f t="shared" si="341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45"/>
        <v>37599388.802345134</v>
      </c>
      <c r="AJ1160" s="19">
        <f t="shared" si="346"/>
        <v>4866784.3630338367</v>
      </c>
      <c r="AK1160" s="20">
        <f t="shared" si="353"/>
        <v>0.12943785838163113</v>
      </c>
      <c r="AL1160" s="17"/>
      <c r="AM1160" s="17"/>
      <c r="AN1160" s="17"/>
      <c r="AO1160" s="17"/>
      <c r="AP1160" s="28" t="str">
        <f t="shared" si="354"/>
        <v>20199</v>
      </c>
      <c r="AQ1160" s="28" t="str">
        <f t="shared" si="355"/>
        <v>20199RMB</v>
      </c>
      <c r="AR1160" s="206" t="str">
        <f t="shared" si="356"/>
        <v>YAMAHA_Mounter</v>
      </c>
      <c r="AS1160" s="22">
        <f t="shared" si="357"/>
        <v>0</v>
      </c>
      <c r="AT1160" s="24" t="str">
        <f t="shared" si="358"/>
        <v>0-3 months</v>
      </c>
      <c r="AU1160" s="22" t="s">
        <v>3744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2"/>
        <v>12500000</v>
      </c>
      <c r="AA1161" s="13">
        <v>7.2800000000000004E-2</v>
      </c>
      <c r="AB1161" s="21">
        <f t="shared" si="341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45"/>
        <v>63006605.696460173</v>
      </c>
      <c r="AJ1161" s="19">
        <f t="shared" si="346"/>
        <v>8897485.660753984</v>
      </c>
      <c r="AK1161" s="20">
        <f t="shared" si="353"/>
        <v>0.141215124388995</v>
      </c>
      <c r="AL1161" s="17"/>
      <c r="AM1161" s="17"/>
      <c r="AN1161" s="17"/>
      <c r="AO1161" s="17"/>
      <c r="AP1161" s="28" t="str">
        <f t="shared" si="354"/>
        <v>20215</v>
      </c>
      <c r="AQ1161" s="28" t="str">
        <f t="shared" si="355"/>
        <v>20215JPY</v>
      </c>
      <c r="AR1161" s="206" t="str">
        <f t="shared" si="356"/>
        <v>YAMAHA_Mounter</v>
      </c>
      <c r="AS1161" s="22">
        <f t="shared" si="357"/>
        <v>1</v>
      </c>
      <c r="AT1161" s="24" t="str">
        <f t="shared" si="358"/>
        <v>0-3 months</v>
      </c>
      <c r="AU1161" s="22" t="s">
        <v>3745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2"/>
        <v>8353000</v>
      </c>
      <c r="AA1162" s="13">
        <v>7.2800000000000004E-2</v>
      </c>
      <c r="AB1162" s="21">
        <f t="shared" si="341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45"/>
        <v>63006605.696460173</v>
      </c>
      <c r="AJ1162" s="19">
        <f t="shared" si="346"/>
        <v>8897485.660753984</v>
      </c>
      <c r="AK1162" s="20">
        <f t="shared" si="353"/>
        <v>0.141215124388995</v>
      </c>
      <c r="AL1162" s="17"/>
      <c r="AM1162" s="17"/>
      <c r="AN1162" s="17"/>
      <c r="AO1162" s="17"/>
      <c r="AP1162" s="28" t="str">
        <f t="shared" si="354"/>
        <v>20215</v>
      </c>
      <c r="AQ1162" s="28" t="str">
        <f t="shared" si="355"/>
        <v>20215JPY</v>
      </c>
      <c r="AR1162" s="206" t="str">
        <f t="shared" si="356"/>
        <v>YAMAHA_Mounter</v>
      </c>
      <c r="AS1162" s="22">
        <f t="shared" si="357"/>
        <v>1</v>
      </c>
      <c r="AT1162" s="24" t="str">
        <f t="shared" si="358"/>
        <v>0-3 months</v>
      </c>
      <c r="AU1162" s="22" t="s">
        <v>3745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2"/>
        <v>8353000</v>
      </c>
      <c r="AA1163" s="13">
        <v>7.2800000000000004E-2</v>
      </c>
      <c r="AB1163" s="21">
        <f t="shared" si="341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45"/>
        <v>63006605.696460173</v>
      </c>
      <c r="AJ1163" s="19">
        <f t="shared" si="346"/>
        <v>8897485.660753984</v>
      </c>
      <c r="AK1163" s="20">
        <f t="shared" si="353"/>
        <v>0.141215124388995</v>
      </c>
      <c r="AL1163" s="17"/>
      <c r="AM1163" s="17"/>
      <c r="AN1163" s="17"/>
      <c r="AO1163" s="17"/>
      <c r="AP1163" s="28" t="str">
        <f t="shared" si="354"/>
        <v>20215</v>
      </c>
      <c r="AQ1163" s="28" t="str">
        <f t="shared" si="355"/>
        <v>20215JPY</v>
      </c>
      <c r="AR1163" s="206" t="str">
        <f t="shared" si="356"/>
        <v>YAMAHA_Mounter</v>
      </c>
      <c r="AS1163" s="22">
        <f t="shared" si="357"/>
        <v>1</v>
      </c>
      <c r="AT1163" s="24" t="str">
        <f t="shared" si="358"/>
        <v>0-3 months</v>
      </c>
      <c r="AU1163" s="22" t="s">
        <v>3745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2"/>
        <v>12600000</v>
      </c>
      <c r="AA1164" s="13">
        <v>7.2900000000000006E-2</v>
      </c>
      <c r="AB1164" s="21">
        <f t="shared" si="341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45"/>
        <v>27318180.088495575</v>
      </c>
      <c r="AJ1164" s="19">
        <f t="shared" si="346"/>
        <v>3014099.212353982</v>
      </c>
      <c r="AK1164" s="20">
        <f t="shared" si="353"/>
        <v>0.11033308963444827</v>
      </c>
      <c r="AL1164" s="17"/>
      <c r="AM1164" s="17"/>
      <c r="AN1164" s="17"/>
      <c r="AO1164" s="17"/>
      <c r="AP1164" s="28" t="str">
        <f t="shared" si="354"/>
        <v>201912</v>
      </c>
      <c r="AQ1164" s="28" t="str">
        <f t="shared" si="355"/>
        <v>201912JPY</v>
      </c>
      <c r="AR1164" s="206" t="str">
        <f t="shared" si="356"/>
        <v>YAMAHA_Mounter</v>
      </c>
      <c r="AS1164" s="22">
        <f t="shared" si="357"/>
        <v>1</v>
      </c>
      <c r="AT1164" s="24" t="str">
        <f t="shared" si="358"/>
        <v>0-3 months</v>
      </c>
      <c r="AU1164" s="22" t="s">
        <v>3745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59">IF(W1165="RMB","1.13", "1")</f>
        <v>1</v>
      </c>
      <c r="Z1165" s="18">
        <f t="shared" si="342"/>
        <v>8700000</v>
      </c>
      <c r="AA1165" s="13">
        <v>7.6100000000000001E-2</v>
      </c>
      <c r="AB1165" s="21">
        <f t="shared" si="341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45"/>
        <v>44078731.611185849</v>
      </c>
      <c r="AJ1165" s="19">
        <f t="shared" si="346"/>
        <v>5508173.2163771465</v>
      </c>
      <c r="AK1165" s="20">
        <f t="shared" si="353"/>
        <v>0.12496215328889679</v>
      </c>
      <c r="AL1165" s="17"/>
      <c r="AM1165" s="17"/>
      <c r="AN1165" s="17"/>
      <c r="AO1165" s="17"/>
      <c r="AP1165" s="28" t="str">
        <f t="shared" si="354"/>
        <v>202011</v>
      </c>
      <c r="AQ1165" s="28" t="str">
        <f t="shared" si="355"/>
        <v>202011JPY</v>
      </c>
      <c r="AR1165" s="206" t="str">
        <f t="shared" si="356"/>
        <v>YAMAHA_Mounter</v>
      </c>
      <c r="AS1165" s="22">
        <f t="shared" si="357"/>
        <v>1</v>
      </c>
      <c r="AT1165" s="24" t="str">
        <f t="shared" si="358"/>
        <v>0-3 months</v>
      </c>
      <c r="AU1165" s="22" t="s">
        <v>3745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59"/>
        <v>1.13</v>
      </c>
      <c r="Z1166" s="18">
        <f t="shared" si="342"/>
        <v>1150000</v>
      </c>
      <c r="AA1166" s="13">
        <v>1.095</v>
      </c>
      <c r="AB1166" s="21">
        <f t="shared" si="341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45"/>
        <v>499582152.5142017</v>
      </c>
      <c r="AJ1166" s="19">
        <f t="shared" si="346"/>
        <v>59520528.679470733</v>
      </c>
      <c r="AK1166" s="20">
        <f t="shared" si="353"/>
        <v>0.11914062257814291</v>
      </c>
      <c r="AL1166" s="17"/>
      <c r="AM1166" s="17"/>
      <c r="AN1166" s="17"/>
      <c r="AO1166" s="17"/>
      <c r="AP1166" s="28" t="str">
        <f t="shared" si="354"/>
        <v>CancelCancel</v>
      </c>
      <c r="AQ1166" s="28" t="str">
        <f t="shared" si="355"/>
        <v>CancelCancelRMB</v>
      </c>
      <c r="AR1166" s="206" t="str">
        <f t="shared" si="356"/>
        <v>YAMAHA_Mounter</v>
      </c>
      <c r="AS1166" s="22" t="str">
        <f t="shared" si="357"/>
        <v/>
      </c>
      <c r="AT1166" s="24" t="str">
        <f t="shared" si="358"/>
        <v/>
      </c>
      <c r="AU1166" s="22" t="s">
        <v>3751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59"/>
        <v>1.13</v>
      </c>
      <c r="Z1167" s="18">
        <f t="shared" si="342"/>
        <v>1150000</v>
      </c>
      <c r="AA1167" s="13">
        <v>1.095</v>
      </c>
      <c r="AB1167" s="21">
        <f t="shared" si="341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45"/>
        <v>499582152.5142017</v>
      </c>
      <c r="AJ1167" s="19">
        <f t="shared" si="346"/>
        <v>59520528.679470733</v>
      </c>
      <c r="AK1167" s="20">
        <f t="shared" si="353"/>
        <v>0.11914062257814291</v>
      </c>
      <c r="AL1167" s="17"/>
      <c r="AM1167" s="17"/>
      <c r="AN1167" s="17"/>
      <c r="AO1167" s="17"/>
      <c r="AP1167" s="28" t="str">
        <f t="shared" si="354"/>
        <v>CancelCancel</v>
      </c>
      <c r="AQ1167" s="28" t="str">
        <f t="shared" si="355"/>
        <v>CancelCancelRMB</v>
      </c>
      <c r="AR1167" s="206" t="str">
        <f t="shared" si="356"/>
        <v>YAMAHA_Mounter</v>
      </c>
      <c r="AS1167" s="22" t="str">
        <f t="shared" si="357"/>
        <v/>
      </c>
      <c r="AT1167" s="24" t="str">
        <f t="shared" si="358"/>
        <v/>
      </c>
      <c r="AU1167" s="22" t="s">
        <v>3751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59"/>
        <v>1.13</v>
      </c>
      <c r="Z1168" s="18">
        <f t="shared" si="342"/>
        <v>1150000</v>
      </c>
      <c r="AA1168" s="13">
        <v>1.095</v>
      </c>
      <c r="AB1168" s="21">
        <f t="shared" si="341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45"/>
        <v>499582152.5142017</v>
      </c>
      <c r="AJ1168" s="19">
        <f t="shared" si="346"/>
        <v>59520528.679470733</v>
      </c>
      <c r="AK1168" s="20">
        <f t="shared" si="353"/>
        <v>0.11914062257814291</v>
      </c>
      <c r="AL1168" s="17"/>
      <c r="AM1168" s="17"/>
      <c r="AN1168" s="17"/>
      <c r="AO1168" s="17"/>
      <c r="AP1168" s="28" t="str">
        <f t="shared" si="354"/>
        <v>CancelCancel</v>
      </c>
      <c r="AQ1168" s="28" t="str">
        <f t="shared" si="355"/>
        <v>CancelCancelRMB</v>
      </c>
      <c r="AR1168" s="206" t="str">
        <f t="shared" si="356"/>
        <v>YAMAHA_Mounter</v>
      </c>
      <c r="AS1168" s="22" t="str">
        <f t="shared" si="357"/>
        <v/>
      </c>
      <c r="AT1168" s="24" t="str">
        <f t="shared" si="358"/>
        <v/>
      </c>
      <c r="AU1168" s="22" t="s">
        <v>3751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59"/>
        <v>1.13</v>
      </c>
      <c r="Z1169" s="18">
        <f t="shared" si="342"/>
        <v>1150000</v>
      </c>
      <c r="AA1169" s="13">
        <v>1.095</v>
      </c>
      <c r="AB1169" s="21">
        <f t="shared" si="341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45"/>
        <v>499582152.5142017</v>
      </c>
      <c r="AJ1169" s="19">
        <f t="shared" si="346"/>
        <v>59520528.679470733</v>
      </c>
      <c r="AK1169" s="20">
        <f t="shared" si="353"/>
        <v>0.11914062257814291</v>
      </c>
      <c r="AL1169" s="17"/>
      <c r="AM1169" s="17"/>
      <c r="AN1169" s="17"/>
      <c r="AO1169" s="17"/>
      <c r="AP1169" s="28" t="str">
        <f t="shared" si="354"/>
        <v>CancelCancel</v>
      </c>
      <c r="AQ1169" s="28" t="str">
        <f t="shared" si="355"/>
        <v>CancelCancelRMB</v>
      </c>
      <c r="AR1169" s="206" t="str">
        <f t="shared" si="356"/>
        <v>YAMAHA_Mounter</v>
      </c>
      <c r="AS1169" s="22" t="str">
        <f t="shared" si="357"/>
        <v/>
      </c>
      <c r="AT1169" s="24" t="str">
        <f t="shared" si="358"/>
        <v/>
      </c>
      <c r="AU1169" s="22" t="s">
        <v>3751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59"/>
        <v>1.13</v>
      </c>
      <c r="Z1170" s="18">
        <f t="shared" si="342"/>
        <v>1150000</v>
      </c>
      <c r="AA1170" s="13">
        <v>1.095</v>
      </c>
      <c r="AB1170" s="21">
        <f t="shared" si="341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45"/>
        <v>499582152.5142017</v>
      </c>
      <c r="AJ1170" s="19">
        <f t="shared" si="346"/>
        <v>59520528.679470733</v>
      </c>
      <c r="AK1170" s="20">
        <f t="shared" si="353"/>
        <v>0.11914062257814291</v>
      </c>
      <c r="AL1170" s="17"/>
      <c r="AM1170" s="17"/>
      <c r="AN1170" s="17"/>
      <c r="AO1170" s="17"/>
      <c r="AP1170" s="28" t="str">
        <f t="shared" si="354"/>
        <v>CancelCancel</v>
      </c>
      <c r="AQ1170" s="28" t="str">
        <f t="shared" si="355"/>
        <v>CancelCancelRMB</v>
      </c>
      <c r="AR1170" s="206" t="str">
        <f t="shared" si="356"/>
        <v>YAMAHA_Mounter</v>
      </c>
      <c r="AS1170" s="22" t="str">
        <f t="shared" si="357"/>
        <v/>
      </c>
      <c r="AT1170" s="24" t="str">
        <f t="shared" si="358"/>
        <v/>
      </c>
      <c r="AU1170" s="22" t="s">
        <v>3751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59"/>
        <v>1.13</v>
      </c>
      <c r="Z1171" s="18">
        <f t="shared" si="342"/>
        <v>1050000</v>
      </c>
      <c r="AA1171" s="13">
        <v>1.095</v>
      </c>
      <c r="AB1171" s="21">
        <f t="shared" si="341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45"/>
        <v>499582152.5142017</v>
      </c>
      <c r="AJ1171" s="19">
        <f t="shared" si="346"/>
        <v>59520528.679470733</v>
      </c>
      <c r="AK1171" s="20">
        <f t="shared" si="353"/>
        <v>0.11914062257814291</v>
      </c>
      <c r="AL1171" s="17"/>
      <c r="AM1171" s="17"/>
      <c r="AN1171" s="17"/>
      <c r="AO1171" s="17"/>
      <c r="AP1171" s="28" t="str">
        <f t="shared" si="354"/>
        <v>CancelCancel</v>
      </c>
      <c r="AQ1171" s="28" t="str">
        <f t="shared" si="355"/>
        <v>CancelCancelRMB</v>
      </c>
      <c r="AR1171" s="206" t="str">
        <f t="shared" si="356"/>
        <v>YAMAHA_Mounter</v>
      </c>
      <c r="AS1171" s="22" t="str">
        <f t="shared" si="357"/>
        <v/>
      </c>
      <c r="AT1171" s="24" t="str">
        <f t="shared" si="358"/>
        <v/>
      </c>
      <c r="AU1171" s="22" t="s">
        <v>3751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59"/>
        <v>1.13</v>
      </c>
      <c r="Z1172" s="18">
        <f t="shared" si="342"/>
        <v>1050000</v>
      </c>
      <c r="AA1172" s="13">
        <v>1.095</v>
      </c>
      <c r="AB1172" s="21">
        <f t="shared" si="341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45"/>
        <v>499582152.5142017</v>
      </c>
      <c r="AJ1172" s="19">
        <f t="shared" si="346"/>
        <v>59520528.679470733</v>
      </c>
      <c r="AK1172" s="20">
        <f t="shared" si="353"/>
        <v>0.11914062257814291</v>
      </c>
      <c r="AL1172" s="17"/>
      <c r="AM1172" s="17"/>
      <c r="AN1172" s="17"/>
      <c r="AO1172" s="17"/>
      <c r="AP1172" s="28" t="str">
        <f t="shared" si="354"/>
        <v>CancelCancel</v>
      </c>
      <c r="AQ1172" s="28" t="str">
        <f t="shared" si="355"/>
        <v>CancelCancelRMB</v>
      </c>
      <c r="AR1172" s="206" t="str">
        <f t="shared" si="356"/>
        <v>YAMAHA_Mounter</v>
      </c>
      <c r="AS1172" s="22" t="str">
        <f t="shared" si="357"/>
        <v/>
      </c>
      <c r="AT1172" s="24" t="str">
        <f t="shared" si="358"/>
        <v/>
      </c>
      <c r="AU1172" s="22" t="s">
        <v>3751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59"/>
        <v>1.13</v>
      </c>
      <c r="Z1173" s="18">
        <f t="shared" si="342"/>
        <v>1050000</v>
      </c>
      <c r="AA1173" s="13">
        <v>1.095</v>
      </c>
      <c r="AB1173" s="21">
        <f t="shared" si="341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45"/>
        <v>499582152.5142017</v>
      </c>
      <c r="AJ1173" s="19">
        <f t="shared" si="346"/>
        <v>59520528.679470733</v>
      </c>
      <c r="AK1173" s="20">
        <f t="shared" si="353"/>
        <v>0.11914062257814291</v>
      </c>
      <c r="AL1173" s="17"/>
      <c r="AM1173" s="17"/>
      <c r="AN1173" s="17"/>
      <c r="AO1173" s="17"/>
      <c r="AP1173" s="28" t="str">
        <f t="shared" si="354"/>
        <v>CancelCancel</v>
      </c>
      <c r="AQ1173" s="28" t="str">
        <f t="shared" si="355"/>
        <v>CancelCancelRMB</v>
      </c>
      <c r="AR1173" s="206" t="str">
        <f t="shared" si="356"/>
        <v>YAMAHA_Mounter</v>
      </c>
      <c r="AS1173" s="22" t="str">
        <f t="shared" si="357"/>
        <v/>
      </c>
      <c r="AT1173" s="24" t="str">
        <f t="shared" si="358"/>
        <v/>
      </c>
      <c r="AU1173" s="22" t="s">
        <v>3751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59"/>
        <v>1.13</v>
      </c>
      <c r="Z1174" s="18">
        <f t="shared" si="342"/>
        <v>900000</v>
      </c>
      <c r="AA1174" s="13">
        <v>1.095</v>
      </c>
      <c r="AB1174" s="21">
        <f t="shared" si="341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45"/>
        <v>499582152.5142017</v>
      </c>
      <c r="AJ1174" s="19">
        <f t="shared" si="346"/>
        <v>59520528.679470733</v>
      </c>
      <c r="AK1174" s="20">
        <f t="shared" si="353"/>
        <v>0.11914062257814291</v>
      </c>
      <c r="AL1174" s="17"/>
      <c r="AM1174" s="17"/>
      <c r="AN1174" s="17"/>
      <c r="AO1174" s="17"/>
      <c r="AP1174" s="28" t="str">
        <f t="shared" si="354"/>
        <v>CancelCancel</v>
      </c>
      <c r="AQ1174" s="28" t="str">
        <f t="shared" si="355"/>
        <v>CancelCancelRMB</v>
      </c>
      <c r="AR1174" s="206" t="str">
        <f t="shared" si="356"/>
        <v>YAMAHA_Mounter</v>
      </c>
      <c r="AS1174" s="22" t="str">
        <f t="shared" si="357"/>
        <v/>
      </c>
      <c r="AT1174" s="24" t="str">
        <f t="shared" si="358"/>
        <v/>
      </c>
      <c r="AU1174" s="22" t="s">
        <v>3751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59"/>
        <v>1.13</v>
      </c>
      <c r="Z1175" s="18">
        <f t="shared" si="342"/>
        <v>900000</v>
      </c>
      <c r="AA1175" s="13">
        <v>1.095</v>
      </c>
      <c r="AB1175" s="21">
        <f t="shared" si="341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45"/>
        <v>499582152.5142017</v>
      </c>
      <c r="AJ1175" s="19">
        <f t="shared" si="346"/>
        <v>59520528.679470733</v>
      </c>
      <c r="AK1175" s="20">
        <f t="shared" si="353"/>
        <v>0.11914062257814291</v>
      </c>
      <c r="AL1175" s="17"/>
      <c r="AM1175" s="17"/>
      <c r="AN1175" s="17"/>
      <c r="AO1175" s="17"/>
      <c r="AP1175" s="28" t="str">
        <f t="shared" si="354"/>
        <v>CancelCancel</v>
      </c>
      <c r="AQ1175" s="28" t="str">
        <f t="shared" si="355"/>
        <v>CancelCancelRMB</v>
      </c>
      <c r="AR1175" s="206" t="str">
        <f t="shared" si="356"/>
        <v>YAMAHA_Mounter</v>
      </c>
      <c r="AS1175" s="22" t="str">
        <f t="shared" si="357"/>
        <v/>
      </c>
      <c r="AT1175" s="24" t="str">
        <f t="shared" si="358"/>
        <v/>
      </c>
      <c r="AU1175" s="22" t="s">
        <v>3751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59"/>
        <v>1.13</v>
      </c>
      <c r="Z1176" s="18">
        <f t="shared" si="342"/>
        <v>600000</v>
      </c>
      <c r="AA1176" s="13">
        <v>1.095</v>
      </c>
      <c r="AB1176" s="21">
        <f t="shared" si="341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45"/>
        <v>499582152.5142017</v>
      </c>
      <c r="AJ1176" s="19">
        <f t="shared" si="346"/>
        <v>59520528.679470733</v>
      </c>
      <c r="AK1176" s="20">
        <f t="shared" si="353"/>
        <v>0.11914062257814291</v>
      </c>
      <c r="AL1176" s="17"/>
      <c r="AM1176" s="17"/>
      <c r="AN1176" s="17"/>
      <c r="AO1176" s="17"/>
      <c r="AP1176" s="28" t="str">
        <f t="shared" si="354"/>
        <v>CancelCancel</v>
      </c>
      <c r="AQ1176" s="28" t="str">
        <f t="shared" si="355"/>
        <v>CancelCancelRMB</v>
      </c>
      <c r="AR1176" s="206" t="str">
        <f t="shared" si="356"/>
        <v>YAMAHA_Mounter</v>
      </c>
      <c r="AS1176" s="22" t="str">
        <f t="shared" si="357"/>
        <v/>
      </c>
      <c r="AT1176" s="24" t="str">
        <f t="shared" si="358"/>
        <v/>
      </c>
      <c r="AU1176" s="22" t="s">
        <v>3751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59"/>
        <v>1.13</v>
      </c>
      <c r="Z1177" s="18">
        <f t="shared" si="342"/>
        <v>600000</v>
      </c>
      <c r="AA1177" s="13">
        <v>1.095</v>
      </c>
      <c r="AB1177" s="21">
        <f t="shared" si="341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45"/>
        <v>499582152.5142017</v>
      </c>
      <c r="AJ1177" s="19">
        <f t="shared" si="346"/>
        <v>59520528.679470733</v>
      </c>
      <c r="AK1177" s="20">
        <f t="shared" si="353"/>
        <v>0.11914062257814291</v>
      </c>
      <c r="AL1177" s="17"/>
      <c r="AM1177" s="17"/>
      <c r="AN1177" s="17"/>
      <c r="AO1177" s="17"/>
      <c r="AP1177" s="28" t="str">
        <f t="shared" si="354"/>
        <v>CancelCancel</v>
      </c>
      <c r="AQ1177" s="28" t="str">
        <f t="shared" si="355"/>
        <v>CancelCancelRMB</v>
      </c>
      <c r="AR1177" s="206" t="str">
        <f t="shared" si="356"/>
        <v>YAMAHA_Mounter</v>
      </c>
      <c r="AS1177" s="22" t="str">
        <f t="shared" si="357"/>
        <v/>
      </c>
      <c r="AT1177" s="24" t="str">
        <f t="shared" si="358"/>
        <v/>
      </c>
      <c r="AU1177" s="22" t="s">
        <v>3751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2"/>
        <v>9175000</v>
      </c>
      <c r="AA1178" s="13">
        <v>7.2099999999999997E-2</v>
      </c>
      <c r="AB1178" s="21">
        <f t="shared" si="341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45"/>
        <v>26492741.106427077</v>
      </c>
      <c r="AJ1178" s="19">
        <f t="shared" si="346"/>
        <v>3348032.1325698122</v>
      </c>
      <c r="AK1178" s="20">
        <f t="shared" si="353"/>
        <v>0.12637545201985867</v>
      </c>
      <c r="AL1178" s="17"/>
      <c r="AM1178" s="17"/>
      <c r="AN1178" s="17"/>
      <c r="AO1178" s="17"/>
      <c r="AP1178" s="28" t="str">
        <f t="shared" si="354"/>
        <v>20189</v>
      </c>
      <c r="AQ1178" s="28" t="str">
        <f t="shared" si="355"/>
        <v>20189JPY</v>
      </c>
      <c r="AR1178" s="206" t="str">
        <f t="shared" si="356"/>
        <v>YAMAHA_Mounter</v>
      </c>
      <c r="AS1178" s="22">
        <f t="shared" si="357"/>
        <v>0</v>
      </c>
      <c r="AT1178" s="24" t="str">
        <f t="shared" si="358"/>
        <v>0-3 months</v>
      </c>
      <c r="AU1178" s="22" t="s">
        <v>3746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2"/>
        <v>12600000</v>
      </c>
      <c r="AA1179" s="13">
        <v>5.4199999999999998E-2</v>
      </c>
      <c r="AB1179" s="21">
        <f t="shared" ref="AB1179:AB1242" si="360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45"/>
        <v>10271727.486725664</v>
      </c>
      <c r="AJ1179" s="19">
        <f t="shared" si="346"/>
        <v>1227228.7260761063</v>
      </c>
      <c r="AK1179" s="20">
        <f t="shared" si="353"/>
        <v>0.11947637120066472</v>
      </c>
      <c r="AL1179" s="17"/>
      <c r="AM1179" s="17"/>
      <c r="AN1179" s="17"/>
      <c r="AO1179" s="17"/>
      <c r="AP1179" s="28" t="str">
        <f t="shared" si="354"/>
        <v>202312</v>
      </c>
      <c r="AQ1179" s="28" t="str">
        <f t="shared" si="355"/>
        <v>202312JPY</v>
      </c>
      <c r="AR1179" s="206" t="str">
        <f t="shared" si="356"/>
        <v>YAMAHA_Mounter</v>
      </c>
      <c r="AS1179" s="22">
        <f t="shared" si="357"/>
        <v>1</v>
      </c>
      <c r="AT1179" s="24" t="str">
        <f t="shared" si="358"/>
        <v>0-3 months</v>
      </c>
      <c r="AU1179" s="22" t="s">
        <v>3745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2"/>
        <v>9510000</v>
      </c>
      <c r="AA1180" s="13">
        <v>5.4199999999999998E-2</v>
      </c>
      <c r="AB1180" s="21">
        <f t="shared" si="360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45"/>
        <v>10271727.486725664</v>
      </c>
      <c r="AJ1180" s="19">
        <f t="shared" si="346"/>
        <v>1227228.7260761063</v>
      </c>
      <c r="AK1180" s="20">
        <f t="shared" si="353"/>
        <v>0.11947637120066472</v>
      </c>
      <c r="AL1180" s="17"/>
      <c r="AM1180" s="17"/>
      <c r="AN1180" s="17"/>
      <c r="AO1180" s="17"/>
      <c r="AP1180" s="28" t="str">
        <f t="shared" si="354"/>
        <v>202312</v>
      </c>
      <c r="AQ1180" s="28" t="str">
        <f t="shared" si="355"/>
        <v>202312JPY</v>
      </c>
      <c r="AR1180" s="206" t="str">
        <f t="shared" si="356"/>
        <v>YAMAHA_Mounter</v>
      </c>
      <c r="AS1180" s="22">
        <f t="shared" si="357"/>
        <v>1</v>
      </c>
      <c r="AT1180" s="24" t="str">
        <f t="shared" si="358"/>
        <v>0-3 months</v>
      </c>
      <c r="AU1180" s="22" t="s">
        <v>3745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2"/>
        <v>1020000</v>
      </c>
      <c r="AA1181" s="13">
        <v>1.095</v>
      </c>
      <c r="AB1181" s="21">
        <f t="shared" si="360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45"/>
        <v>28647263.974455759</v>
      </c>
      <c r="AJ1181" s="19">
        <f t="shared" si="346"/>
        <v>3219855.6912513468</v>
      </c>
      <c r="AK1181" s="20">
        <f t="shared" si="353"/>
        <v>0.11239662168514358</v>
      </c>
      <c r="AL1181" s="17"/>
      <c r="AM1181" s="17"/>
      <c r="AN1181" s="17"/>
      <c r="AO1181" s="17"/>
      <c r="AP1181" s="28" t="str">
        <f t="shared" si="354"/>
        <v>201910</v>
      </c>
      <c r="AQ1181" s="28" t="str">
        <f t="shared" si="355"/>
        <v>201910RMB</v>
      </c>
      <c r="AR1181" s="206" t="str">
        <f t="shared" si="356"/>
        <v>YAMAHA_Mounter</v>
      </c>
      <c r="AS1181" s="22">
        <f t="shared" si="357"/>
        <v>2</v>
      </c>
      <c r="AT1181" s="24" t="str">
        <f t="shared" si="358"/>
        <v>0-3 months</v>
      </c>
      <c r="AU1181" s="22" t="s">
        <v>3744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2"/>
        <v>12350000</v>
      </c>
      <c r="AA1182" s="13">
        <v>7.2999999999999995E-2</v>
      </c>
      <c r="AB1182" s="21">
        <f t="shared" si="360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45"/>
        <v>11620538.477876106</v>
      </c>
      <c r="AJ1182" s="19">
        <f t="shared" si="346"/>
        <v>1598596.3145221241</v>
      </c>
      <c r="AK1182" s="20">
        <f t="shared" si="353"/>
        <v>0.13756645766163331</v>
      </c>
      <c r="AL1182" s="17"/>
      <c r="AM1182" s="17"/>
      <c r="AN1182" s="17"/>
      <c r="AO1182" s="17"/>
      <c r="AP1182" s="28" t="str">
        <f t="shared" si="354"/>
        <v>20201</v>
      </c>
      <c r="AQ1182" s="28" t="str">
        <f t="shared" si="355"/>
        <v>20201JPY</v>
      </c>
      <c r="AR1182" s="206" t="str">
        <f t="shared" si="356"/>
        <v>YAMAHA_Mounter</v>
      </c>
      <c r="AS1182" s="22">
        <f t="shared" si="357"/>
        <v>2</v>
      </c>
      <c r="AT1182" s="24" t="str">
        <f t="shared" si="358"/>
        <v>0-3 months</v>
      </c>
      <c r="AU1182" s="22" t="s">
        <v>3745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2"/>
        <v>12350000</v>
      </c>
      <c r="AA1183" s="13">
        <v>7.2999999999999995E-2</v>
      </c>
      <c r="AB1183" s="21">
        <f t="shared" si="360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45"/>
        <v>11620538.477876106</v>
      </c>
      <c r="AJ1183" s="19">
        <f t="shared" si="346"/>
        <v>1598596.3145221241</v>
      </c>
      <c r="AK1183" s="20">
        <f t="shared" si="353"/>
        <v>0.13756645766163331</v>
      </c>
      <c r="AL1183" s="17"/>
      <c r="AM1183" s="17"/>
      <c r="AN1183" s="17"/>
      <c r="AO1183" s="17"/>
      <c r="AP1183" s="28" t="str">
        <f t="shared" si="354"/>
        <v>20201</v>
      </c>
      <c r="AQ1183" s="28" t="str">
        <f t="shared" si="355"/>
        <v>20201JPY</v>
      </c>
      <c r="AR1183" s="206" t="str">
        <f t="shared" si="356"/>
        <v>YAMAHA_Mounter</v>
      </c>
      <c r="AS1183" s="22">
        <f t="shared" si="357"/>
        <v>2</v>
      </c>
      <c r="AT1183" s="24" t="str">
        <f t="shared" si="358"/>
        <v>0-3 months</v>
      </c>
      <c r="AU1183" s="22" t="s">
        <v>3745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1">IF(W1184="RMB","1.13", "1")</f>
        <v>1</v>
      </c>
      <c r="Z1184" s="18">
        <f t="shared" si="342"/>
        <v>16200000</v>
      </c>
      <c r="AA1184" s="13">
        <v>7.4899999999999994E-2</v>
      </c>
      <c r="AB1184" s="21">
        <f t="shared" si="360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45"/>
        <v>28011162.254106201</v>
      </c>
      <c r="AJ1184" s="19">
        <f t="shared" si="346"/>
        <v>3401347.1124888416</v>
      </c>
      <c r="AK1184" s="20">
        <f t="shared" si="353"/>
        <v>0.12142827497242578</v>
      </c>
      <c r="AL1184" s="17"/>
      <c r="AM1184" s="17"/>
      <c r="AN1184" s="17"/>
      <c r="AO1184" s="17"/>
      <c r="AP1184" s="28" t="str">
        <f t="shared" si="354"/>
        <v>202010</v>
      </c>
      <c r="AQ1184" s="28" t="str">
        <f t="shared" si="355"/>
        <v>202010JPY</v>
      </c>
      <c r="AR1184" s="206" t="str">
        <f t="shared" si="356"/>
        <v>YAMAHA_Mounter</v>
      </c>
      <c r="AS1184" s="22">
        <f t="shared" si="357"/>
        <v>10</v>
      </c>
      <c r="AT1184" s="24" t="str">
        <f t="shared" si="358"/>
        <v>&gt; 6 months</v>
      </c>
      <c r="AU1184" s="22" t="s">
        <v>3745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1"/>
        <v>1</v>
      </c>
      <c r="Z1185" s="18">
        <f t="shared" si="342"/>
        <v>10200000</v>
      </c>
      <c r="AA1185" s="13">
        <v>7.4899999999999994E-2</v>
      </c>
      <c r="AB1185" s="21">
        <f t="shared" si="360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45"/>
        <v>28011162.254106201</v>
      </c>
      <c r="AJ1185" s="19">
        <f t="shared" si="346"/>
        <v>3401347.1124888416</v>
      </c>
      <c r="AK1185" s="20">
        <f t="shared" si="353"/>
        <v>0.12142827497242578</v>
      </c>
      <c r="AL1185" s="17"/>
      <c r="AM1185" s="17"/>
      <c r="AN1185" s="17"/>
      <c r="AO1185" s="17"/>
      <c r="AP1185" s="28" t="str">
        <f t="shared" si="354"/>
        <v>202010</v>
      </c>
      <c r="AQ1185" s="28" t="str">
        <f t="shared" si="355"/>
        <v>202010JPY</v>
      </c>
      <c r="AR1185" s="206" t="str">
        <f t="shared" si="356"/>
        <v>YAMAHA_Mounter</v>
      </c>
      <c r="AS1185" s="22">
        <f t="shared" si="357"/>
        <v>10</v>
      </c>
      <c r="AT1185" s="24" t="str">
        <f t="shared" si="358"/>
        <v>&gt; 6 months</v>
      </c>
      <c r="AU1185" s="22" t="s">
        <v>3745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1"/>
        <v>1</v>
      </c>
      <c r="Z1186" s="18">
        <f t="shared" si="342"/>
        <v>10600000</v>
      </c>
      <c r="AA1186" s="13">
        <v>7.2999999999999995E-2</v>
      </c>
      <c r="AB1186" s="21">
        <f t="shared" si="360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45"/>
        <v>499582152.5142017</v>
      </c>
      <c r="AJ1186" s="19">
        <f t="shared" si="346"/>
        <v>59520528.679470733</v>
      </c>
      <c r="AK1186" s="20">
        <f t="shared" si="353"/>
        <v>0.11914062257814291</v>
      </c>
      <c r="AL1186" s="17"/>
      <c r="AM1186" s="17"/>
      <c r="AN1186" s="17"/>
      <c r="AO1186" s="17"/>
      <c r="AP1186" s="28" t="str">
        <f t="shared" si="354"/>
        <v>CancelCancel</v>
      </c>
      <c r="AQ1186" s="28" t="str">
        <f t="shared" si="355"/>
        <v>CancelCancelJPY</v>
      </c>
      <c r="AR1186" s="206" t="str">
        <f t="shared" si="356"/>
        <v>YAMAHA_Mounter</v>
      </c>
      <c r="AS1186" s="22" t="str">
        <f t="shared" si="357"/>
        <v/>
      </c>
      <c r="AT1186" s="24" t="str">
        <f t="shared" si="358"/>
        <v/>
      </c>
      <c r="AU1186" s="22" t="s">
        <v>3745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1"/>
        <v>1</v>
      </c>
      <c r="Z1187" s="18">
        <f t="shared" si="342"/>
        <v>8150000</v>
      </c>
      <c r="AA1187" s="13">
        <v>7.2999999999999995E-2</v>
      </c>
      <c r="AB1187" s="21">
        <f t="shared" si="360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45"/>
        <v>499582152.5142017</v>
      </c>
      <c r="AJ1187" s="19">
        <f t="shared" si="346"/>
        <v>59520528.679470733</v>
      </c>
      <c r="AK1187" s="20">
        <f t="shared" si="353"/>
        <v>0.11914062257814291</v>
      </c>
      <c r="AL1187" s="17"/>
      <c r="AM1187" s="17"/>
      <c r="AN1187" s="17"/>
      <c r="AO1187" s="17"/>
      <c r="AP1187" s="28" t="str">
        <f t="shared" si="354"/>
        <v>CancelCancel</v>
      </c>
      <c r="AQ1187" s="28" t="str">
        <f t="shared" si="355"/>
        <v>CancelCancelJPY</v>
      </c>
      <c r="AR1187" s="206" t="str">
        <f t="shared" si="356"/>
        <v>YAMAHA_Mounter</v>
      </c>
      <c r="AS1187" s="22" t="str">
        <f t="shared" si="357"/>
        <v/>
      </c>
      <c r="AT1187" s="24" t="str">
        <f t="shared" si="358"/>
        <v/>
      </c>
      <c r="AU1187" s="22" t="s">
        <v>3745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1"/>
        <v>1</v>
      </c>
      <c r="Z1188" s="18">
        <f t="shared" si="342"/>
        <v>8150000</v>
      </c>
      <c r="AA1188" s="13">
        <v>7.2999999999999995E-2</v>
      </c>
      <c r="AB1188" s="21">
        <f t="shared" si="360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45"/>
        <v>499582152.5142017</v>
      </c>
      <c r="AJ1188" s="19">
        <f t="shared" si="346"/>
        <v>59520528.679470733</v>
      </c>
      <c r="AK1188" s="20">
        <f t="shared" si="353"/>
        <v>0.11914062257814291</v>
      </c>
      <c r="AL1188" s="17"/>
      <c r="AM1188" s="17"/>
      <c r="AN1188" s="17"/>
      <c r="AO1188" s="17"/>
      <c r="AP1188" s="28" t="str">
        <f t="shared" si="354"/>
        <v>CancelCancel</v>
      </c>
      <c r="AQ1188" s="28" t="str">
        <f t="shared" si="355"/>
        <v>CancelCancelJPY</v>
      </c>
      <c r="AR1188" s="206" t="str">
        <f t="shared" si="356"/>
        <v>YAMAHA_Mounter</v>
      </c>
      <c r="AS1188" s="22" t="str">
        <f t="shared" si="357"/>
        <v/>
      </c>
      <c r="AT1188" s="24" t="str">
        <f t="shared" si="358"/>
        <v/>
      </c>
      <c r="AU1188" s="22" t="s">
        <v>3745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1"/>
        <v>1</v>
      </c>
      <c r="Z1189" s="18">
        <f t="shared" si="342"/>
        <v>8300000</v>
      </c>
      <c r="AA1189" s="13">
        <v>5.7500000000000002E-2</v>
      </c>
      <c r="AB1189" s="21">
        <f t="shared" si="360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45"/>
        <v>17329060.066371687</v>
      </c>
      <c r="AJ1189" s="19">
        <f t="shared" si="346"/>
        <v>2472600.2142256643</v>
      </c>
      <c r="AK1189" s="20">
        <f t="shared" si="353"/>
        <v>0.14268518919984163</v>
      </c>
      <c r="AL1189" s="17"/>
      <c r="AM1189" s="17"/>
      <c r="AN1189" s="17"/>
      <c r="AO1189" s="17"/>
      <c r="AP1189" s="28" t="str">
        <f t="shared" si="354"/>
        <v>202212</v>
      </c>
      <c r="AQ1189" s="28" t="str">
        <f t="shared" si="355"/>
        <v>202212JPY</v>
      </c>
      <c r="AR1189" s="206" t="str">
        <f t="shared" si="356"/>
        <v>YAMAHA_Mounter</v>
      </c>
      <c r="AS1189" s="22">
        <f t="shared" si="357"/>
        <v>6</v>
      </c>
      <c r="AT1189" s="24" t="str">
        <f t="shared" si="358"/>
        <v>4-6 months</v>
      </c>
      <c r="AU1189" s="22" t="s">
        <v>3746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1"/>
        <v>1</v>
      </c>
      <c r="Z1190" s="18">
        <f t="shared" si="342"/>
        <v>8300000</v>
      </c>
      <c r="AA1190" s="13">
        <v>5.7500000000000002E-2</v>
      </c>
      <c r="AB1190" s="21">
        <f t="shared" si="360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45"/>
        <v>17329060.066371687</v>
      </c>
      <c r="AJ1190" s="19">
        <f t="shared" si="346"/>
        <v>2472600.2142256643</v>
      </c>
      <c r="AK1190" s="20">
        <f t="shared" si="353"/>
        <v>0.14268518919984163</v>
      </c>
      <c r="AL1190" s="17"/>
      <c r="AM1190" s="17"/>
      <c r="AN1190" s="17"/>
      <c r="AO1190" s="17"/>
      <c r="AP1190" s="28" t="str">
        <f t="shared" si="354"/>
        <v>202212</v>
      </c>
      <c r="AQ1190" s="28" t="str">
        <f t="shared" si="355"/>
        <v>202212JPY</v>
      </c>
      <c r="AR1190" s="206" t="str">
        <f t="shared" si="356"/>
        <v>YAMAHA_Mounter</v>
      </c>
      <c r="AS1190" s="22">
        <f t="shared" si="357"/>
        <v>6</v>
      </c>
      <c r="AT1190" s="24" t="str">
        <f t="shared" si="358"/>
        <v>4-6 months</v>
      </c>
      <c r="AU1190" s="22" t="s">
        <v>3746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2"/>
        <v>650000</v>
      </c>
      <c r="AA1191" s="22">
        <v>1.083</v>
      </c>
      <c r="AB1191" s="21">
        <f t="shared" si="360"/>
        <v>622964.60176991147</v>
      </c>
      <c r="AC1191" s="25">
        <f t="shared" si="351"/>
        <v>144590.08407079647</v>
      </c>
      <c r="AD1191" s="22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45"/>
        <v>11472879.764601771</v>
      </c>
      <c r="AJ1191" s="27">
        <f t="shared" si="346"/>
        <v>2038344.1716106194</v>
      </c>
      <c r="AK1191" s="28">
        <f t="shared" si="353"/>
        <v>0.17766630640544948</v>
      </c>
      <c r="AL1191" s="24"/>
      <c r="AM1191" s="24"/>
      <c r="AN1191" s="24"/>
      <c r="AO1191" s="24"/>
      <c r="AP1191" s="28" t="str">
        <f t="shared" si="354"/>
        <v>20245</v>
      </c>
      <c r="AQ1191" s="28" t="str">
        <f t="shared" si="355"/>
        <v>20245RMB</v>
      </c>
      <c r="AR1191" s="206" t="str">
        <f t="shared" si="356"/>
        <v>YAMAHA_Mounter</v>
      </c>
      <c r="AS1191" s="22">
        <f t="shared" si="357"/>
        <v>4</v>
      </c>
      <c r="AT1191" s="24" t="str">
        <f t="shared" si="358"/>
        <v>4-6 months</v>
      </c>
      <c r="AU1191" s="22" t="s">
        <v>3751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2">IF(W1192="RMB","1.13", "1")</f>
        <v>1</v>
      </c>
      <c r="Z1192" s="18">
        <f t="shared" si="342"/>
        <v>8600000</v>
      </c>
      <c r="AA1192" s="13">
        <v>7.4499999999999997E-2</v>
      </c>
      <c r="AB1192" s="21">
        <f t="shared" si="360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45"/>
        <v>57778307.282035396</v>
      </c>
      <c r="AJ1192" s="19">
        <f t="shared" si="346"/>
        <v>7259860.7225420559</v>
      </c>
      <c r="AK1192" s="20">
        <f t="shared" si="353"/>
        <v>0.12565028406083667</v>
      </c>
      <c r="AL1192" s="17"/>
      <c r="AM1192" s="17"/>
      <c r="AN1192" s="17"/>
      <c r="AO1192" s="17"/>
      <c r="AP1192" s="28" t="str">
        <f t="shared" si="354"/>
        <v>20213</v>
      </c>
      <c r="AQ1192" s="28" t="str">
        <f t="shared" si="355"/>
        <v>20213JPY</v>
      </c>
      <c r="AR1192" s="206" t="str">
        <f t="shared" si="356"/>
        <v>YAMAHA_Mounter</v>
      </c>
      <c r="AS1192" s="22">
        <f t="shared" si="357"/>
        <v>3</v>
      </c>
      <c r="AT1192" s="24" t="str">
        <f t="shared" si="358"/>
        <v>0-3 months</v>
      </c>
      <c r="AU1192" s="22" t="s">
        <v>3745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2"/>
        <v>1</v>
      </c>
      <c r="Z1193" s="18">
        <f t="shared" si="342"/>
        <v>8600000</v>
      </c>
      <c r="AA1193" s="13">
        <v>7.4499999999999997E-2</v>
      </c>
      <c r="AB1193" s="21">
        <f t="shared" si="360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45"/>
        <v>57778307.282035396</v>
      </c>
      <c r="AJ1193" s="19">
        <f t="shared" si="346"/>
        <v>7259860.7225420559</v>
      </c>
      <c r="AK1193" s="20">
        <f t="shared" si="353"/>
        <v>0.12565028406083667</v>
      </c>
      <c r="AL1193" s="17"/>
      <c r="AM1193" s="17"/>
      <c r="AN1193" s="17"/>
      <c r="AO1193" s="17"/>
      <c r="AP1193" s="28" t="str">
        <f t="shared" si="354"/>
        <v>20213</v>
      </c>
      <c r="AQ1193" s="28" t="str">
        <f t="shared" si="355"/>
        <v>20213JPY</v>
      </c>
      <c r="AR1193" s="206" t="str">
        <f t="shared" si="356"/>
        <v>YAMAHA_Mounter</v>
      </c>
      <c r="AS1193" s="22">
        <f t="shared" si="357"/>
        <v>3</v>
      </c>
      <c r="AT1193" s="24" t="str">
        <f t="shared" si="358"/>
        <v>0-3 months</v>
      </c>
      <c r="AU1193" s="22" t="s">
        <v>3745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2"/>
        <v>1</v>
      </c>
      <c r="Z1194" s="18">
        <f t="shared" si="342"/>
        <v>8150000</v>
      </c>
      <c r="AA1194" s="13">
        <v>7.2400000000000006E-2</v>
      </c>
      <c r="AB1194" s="21">
        <f t="shared" si="360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45"/>
        <v>499582152.5142017</v>
      </c>
      <c r="AJ1194" s="19">
        <f t="shared" si="346"/>
        <v>59520528.679470733</v>
      </c>
      <c r="AK1194" s="20">
        <f t="shared" si="353"/>
        <v>0.11914062257814291</v>
      </c>
      <c r="AL1194" s="17"/>
      <c r="AM1194" s="17"/>
      <c r="AN1194" s="17"/>
      <c r="AO1194" s="17"/>
      <c r="AP1194" s="28" t="str">
        <f t="shared" si="354"/>
        <v>CancelCancel</v>
      </c>
      <c r="AQ1194" s="28" t="str">
        <f t="shared" si="355"/>
        <v>CancelCancelJPY</v>
      </c>
      <c r="AR1194" s="206" t="str">
        <f t="shared" si="356"/>
        <v>YAMAHA_Mounter</v>
      </c>
      <c r="AS1194" s="22" t="str">
        <f t="shared" si="357"/>
        <v/>
      </c>
      <c r="AT1194" s="24" t="str">
        <f t="shared" si="358"/>
        <v/>
      </c>
      <c r="AU1194" s="22" t="s">
        <v>3745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2"/>
        <v>1</v>
      </c>
      <c r="Z1195" s="18">
        <f t="shared" si="342"/>
        <v>8150000</v>
      </c>
      <c r="AA1195" s="13">
        <v>7.2400000000000006E-2</v>
      </c>
      <c r="AB1195" s="21">
        <f t="shared" si="360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45"/>
        <v>499582152.5142017</v>
      </c>
      <c r="AJ1195" s="19">
        <f t="shared" si="346"/>
        <v>59520528.679470733</v>
      </c>
      <c r="AK1195" s="20">
        <f t="shared" si="353"/>
        <v>0.11914062257814291</v>
      </c>
      <c r="AL1195" s="17"/>
      <c r="AM1195" s="17"/>
      <c r="AN1195" s="17"/>
      <c r="AO1195" s="17"/>
      <c r="AP1195" s="28" t="str">
        <f t="shared" si="354"/>
        <v>CancelCancel</v>
      </c>
      <c r="AQ1195" s="28" t="str">
        <f t="shared" si="355"/>
        <v>CancelCancelJPY</v>
      </c>
      <c r="AR1195" s="206" t="str">
        <f t="shared" si="356"/>
        <v>YAMAHA_Mounter</v>
      </c>
      <c r="AS1195" s="22" t="str">
        <f t="shared" si="357"/>
        <v/>
      </c>
      <c r="AT1195" s="24" t="str">
        <f t="shared" si="358"/>
        <v/>
      </c>
      <c r="AU1195" s="22" t="s">
        <v>3745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2"/>
        <v>1</v>
      </c>
      <c r="Z1196" s="18">
        <f t="shared" si="342"/>
        <v>8150000</v>
      </c>
      <c r="AA1196" s="13">
        <v>7.2400000000000006E-2</v>
      </c>
      <c r="AB1196" s="21">
        <f t="shared" si="360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45"/>
        <v>499582152.5142017</v>
      </c>
      <c r="AJ1196" s="19">
        <f t="shared" si="346"/>
        <v>59520528.679470733</v>
      </c>
      <c r="AK1196" s="20">
        <f t="shared" si="353"/>
        <v>0.11914062257814291</v>
      </c>
      <c r="AL1196" s="17"/>
      <c r="AM1196" s="17"/>
      <c r="AN1196" s="17"/>
      <c r="AO1196" s="17"/>
      <c r="AP1196" s="28" t="str">
        <f t="shared" si="354"/>
        <v>CancelCancel</v>
      </c>
      <c r="AQ1196" s="28" t="str">
        <f t="shared" si="355"/>
        <v>CancelCancelJPY</v>
      </c>
      <c r="AR1196" s="206" t="str">
        <f t="shared" si="356"/>
        <v>YAMAHA_Mounter</v>
      </c>
      <c r="AS1196" s="22" t="str">
        <f t="shared" si="357"/>
        <v/>
      </c>
      <c r="AT1196" s="24" t="str">
        <f t="shared" si="358"/>
        <v/>
      </c>
      <c r="AU1196" s="22" t="s">
        <v>3745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2"/>
        <v>1</v>
      </c>
      <c r="Z1197" s="18">
        <f t="shared" si="342"/>
        <v>8150000</v>
      </c>
      <c r="AA1197" s="13">
        <v>7.2400000000000006E-2</v>
      </c>
      <c r="AB1197" s="21">
        <f t="shared" si="360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45"/>
        <v>499582152.5142017</v>
      </c>
      <c r="AJ1197" s="19">
        <f t="shared" si="346"/>
        <v>59520528.679470733</v>
      </c>
      <c r="AK1197" s="20">
        <f t="shared" si="353"/>
        <v>0.11914062257814291</v>
      </c>
      <c r="AL1197" s="17"/>
      <c r="AM1197" s="17"/>
      <c r="AN1197" s="17"/>
      <c r="AO1197" s="17"/>
      <c r="AP1197" s="28" t="str">
        <f t="shared" si="354"/>
        <v>CancelCancel</v>
      </c>
      <c r="AQ1197" s="28" t="str">
        <f t="shared" si="355"/>
        <v>CancelCancelJPY</v>
      </c>
      <c r="AR1197" s="206" t="str">
        <f t="shared" si="356"/>
        <v>YAMAHA_Mounter</v>
      </c>
      <c r="AS1197" s="22" t="str">
        <f t="shared" si="357"/>
        <v/>
      </c>
      <c r="AT1197" s="24" t="str">
        <f t="shared" si="358"/>
        <v/>
      </c>
      <c r="AU1197" s="22" t="s">
        <v>3745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2"/>
        <v>1</v>
      </c>
      <c r="Z1198" s="18">
        <f t="shared" ref="Z1198:Z1261" si="363">IF(X1198="","",X1198*MAX(O1198,N1198))</f>
        <v>9600000</v>
      </c>
      <c r="AA1198" s="13">
        <v>7.2800000000000004E-2</v>
      </c>
      <c r="AB1198" s="21">
        <f t="shared" si="360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45"/>
        <v>63006605.696460173</v>
      </c>
      <c r="AJ1198" s="19">
        <f t="shared" si="346"/>
        <v>8897485.660753984</v>
      </c>
      <c r="AK1198" s="20">
        <f t="shared" si="353"/>
        <v>0.141215124388995</v>
      </c>
      <c r="AL1198" s="17"/>
      <c r="AM1198" s="17"/>
      <c r="AN1198" s="17"/>
      <c r="AO1198" s="17"/>
      <c r="AP1198" s="28" t="str">
        <f t="shared" si="354"/>
        <v>20215</v>
      </c>
      <c r="AQ1198" s="28" t="str">
        <f t="shared" si="355"/>
        <v>20215JPY</v>
      </c>
      <c r="AR1198" s="206" t="str">
        <f t="shared" si="356"/>
        <v>YAMAHA_Mounter</v>
      </c>
      <c r="AS1198" s="22">
        <f t="shared" si="357"/>
        <v>2</v>
      </c>
      <c r="AT1198" s="24" t="str">
        <f t="shared" si="358"/>
        <v>0-3 months</v>
      </c>
      <c r="AU1198" s="22" t="s">
        <v>3745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2"/>
        <v>1</v>
      </c>
      <c r="Z1199" s="18">
        <f t="shared" si="363"/>
        <v>9000000</v>
      </c>
      <c r="AA1199" s="13">
        <v>6.2799999999999995E-2</v>
      </c>
      <c r="AB1199" s="21">
        <f t="shared" si="360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45"/>
        <v>44014086.982070789</v>
      </c>
      <c r="AJ1199" s="19">
        <f t="shared" si="346"/>
        <v>6419974.0221889298</v>
      </c>
      <c r="AK1199" s="20">
        <f t="shared" si="353"/>
        <v>0.14586180158193709</v>
      </c>
      <c r="AL1199" s="17"/>
      <c r="AM1199" s="17"/>
      <c r="AN1199" s="17"/>
      <c r="AO1199" s="17"/>
      <c r="AP1199" s="28" t="str">
        <f t="shared" si="354"/>
        <v>20225</v>
      </c>
      <c r="AQ1199" s="28" t="str">
        <f t="shared" si="355"/>
        <v>20225JPY</v>
      </c>
      <c r="AR1199" s="206" t="str">
        <f t="shared" si="356"/>
        <v>YAMAHA_Mounter</v>
      </c>
      <c r="AS1199" s="22">
        <f t="shared" si="357"/>
        <v>3</v>
      </c>
      <c r="AT1199" s="24" t="str">
        <f t="shared" si="358"/>
        <v>0-3 months</v>
      </c>
      <c r="AU1199" s="22" t="s">
        <v>3745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2"/>
        <v>1</v>
      </c>
      <c r="Z1200" s="18">
        <f t="shared" si="363"/>
        <v>9000000</v>
      </c>
      <c r="AA1200" s="13">
        <v>6.2799999999999995E-2</v>
      </c>
      <c r="AB1200" s="21">
        <f t="shared" si="360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45"/>
        <v>44014086.982070789</v>
      </c>
      <c r="AJ1200" s="19">
        <f t="shared" si="346"/>
        <v>6419974.0221889298</v>
      </c>
      <c r="AK1200" s="20">
        <f t="shared" si="353"/>
        <v>0.14586180158193709</v>
      </c>
      <c r="AL1200" s="17"/>
      <c r="AM1200" s="17"/>
      <c r="AN1200" s="17"/>
      <c r="AO1200" s="17"/>
      <c r="AP1200" s="28" t="str">
        <f t="shared" si="354"/>
        <v>20225</v>
      </c>
      <c r="AQ1200" s="28" t="str">
        <f t="shared" si="355"/>
        <v>20225JPY</v>
      </c>
      <c r="AR1200" s="206" t="str">
        <f t="shared" si="356"/>
        <v>YAMAHA_Mounter</v>
      </c>
      <c r="AS1200" s="22">
        <f t="shared" si="357"/>
        <v>3</v>
      </c>
      <c r="AT1200" s="24" t="str">
        <f t="shared" si="358"/>
        <v>0-3 months</v>
      </c>
      <c r="AU1200" s="22" t="s">
        <v>3745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2"/>
        <v>1.13</v>
      </c>
      <c r="Z1201" s="18">
        <f t="shared" si="363"/>
        <v>900000</v>
      </c>
      <c r="AA1201" s="13">
        <v>1.155</v>
      </c>
      <c r="AB1201" s="21">
        <f t="shared" si="360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45"/>
        <v>44078731.611185849</v>
      </c>
      <c r="AJ1201" s="19">
        <f t="shared" si="346"/>
        <v>5508173.2163771465</v>
      </c>
      <c r="AK1201" s="20">
        <f t="shared" si="353"/>
        <v>0.12496215328889679</v>
      </c>
      <c r="AL1201" s="17"/>
      <c r="AM1201" s="17"/>
      <c r="AN1201" s="17"/>
      <c r="AO1201" s="17"/>
      <c r="AP1201" s="28" t="str">
        <f t="shared" si="354"/>
        <v>202011</v>
      </c>
      <c r="AQ1201" s="28" t="str">
        <f t="shared" si="355"/>
        <v>202011RMB</v>
      </c>
      <c r="AR1201" s="206" t="str">
        <f t="shared" si="356"/>
        <v>YAMAHA_Mounter</v>
      </c>
      <c r="AS1201" s="22">
        <f t="shared" si="357"/>
        <v>2</v>
      </c>
      <c r="AT1201" s="24" t="str">
        <f t="shared" si="358"/>
        <v>0-3 months</v>
      </c>
      <c r="AU1201" s="22" t="s">
        <v>3744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2"/>
        <v>1.13</v>
      </c>
      <c r="Z1202" s="18">
        <f t="shared" si="363"/>
        <v>900000</v>
      </c>
      <c r="AA1202" s="13">
        <v>1.155</v>
      </c>
      <c r="AB1202" s="21">
        <f t="shared" si="360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45"/>
        <v>44078731.611185849</v>
      </c>
      <c r="AJ1202" s="19">
        <f t="shared" si="346"/>
        <v>5508173.2163771465</v>
      </c>
      <c r="AK1202" s="20">
        <f t="shared" si="353"/>
        <v>0.12496215328889679</v>
      </c>
      <c r="AL1202" s="17"/>
      <c r="AM1202" s="17"/>
      <c r="AN1202" s="17"/>
      <c r="AO1202" s="17"/>
      <c r="AP1202" s="28" t="str">
        <f t="shared" si="354"/>
        <v>202011</v>
      </c>
      <c r="AQ1202" s="28" t="str">
        <f t="shared" si="355"/>
        <v>202011RMB</v>
      </c>
      <c r="AR1202" s="206" t="str">
        <f t="shared" si="356"/>
        <v>YAMAHA_Mounter</v>
      </c>
      <c r="AS1202" s="22">
        <f t="shared" si="357"/>
        <v>2</v>
      </c>
      <c r="AT1202" s="24" t="str">
        <f t="shared" si="358"/>
        <v>0-3 months</v>
      </c>
      <c r="AU1202" s="22" t="s">
        <v>3744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2"/>
        <v>1.13</v>
      </c>
      <c r="Z1203" s="18">
        <f t="shared" si="363"/>
        <v>875000</v>
      </c>
      <c r="AA1203" s="13">
        <v>1.155</v>
      </c>
      <c r="AB1203" s="21">
        <f t="shared" si="360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45"/>
        <v>44078731.611185849</v>
      </c>
      <c r="AJ1203" s="19">
        <f t="shared" si="346"/>
        <v>5508173.2163771465</v>
      </c>
      <c r="AK1203" s="20">
        <f t="shared" si="353"/>
        <v>0.12496215328889679</v>
      </c>
      <c r="AL1203" s="17"/>
      <c r="AM1203" s="17"/>
      <c r="AN1203" s="17"/>
      <c r="AO1203" s="17"/>
      <c r="AP1203" s="28" t="str">
        <f t="shared" si="354"/>
        <v>202011</v>
      </c>
      <c r="AQ1203" s="28" t="str">
        <f t="shared" si="355"/>
        <v>202011RMB</v>
      </c>
      <c r="AR1203" s="206" t="str">
        <f t="shared" si="356"/>
        <v>YAMAHA_Mounter</v>
      </c>
      <c r="AS1203" s="22">
        <f t="shared" si="357"/>
        <v>2</v>
      </c>
      <c r="AT1203" s="24" t="str">
        <f t="shared" si="358"/>
        <v>0-3 months</v>
      </c>
      <c r="AU1203" s="22" t="s">
        <v>3744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2"/>
        <v>1.13</v>
      </c>
      <c r="Z1204" s="18">
        <f t="shared" si="363"/>
        <v>875000</v>
      </c>
      <c r="AA1204" s="13">
        <v>1.155</v>
      </c>
      <c r="AB1204" s="21">
        <f t="shared" si="360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45"/>
        <v>44078731.611185849</v>
      </c>
      <c r="AJ1204" s="19">
        <f t="shared" si="346"/>
        <v>5508173.2163771465</v>
      </c>
      <c r="AK1204" s="20">
        <f t="shared" si="353"/>
        <v>0.12496215328889679</v>
      </c>
      <c r="AL1204" s="17"/>
      <c r="AM1204" s="17"/>
      <c r="AN1204" s="17"/>
      <c r="AO1204" s="17"/>
      <c r="AP1204" s="28" t="str">
        <f t="shared" si="354"/>
        <v>202011</v>
      </c>
      <c r="AQ1204" s="28" t="str">
        <f t="shared" si="355"/>
        <v>202011RMB</v>
      </c>
      <c r="AR1204" s="206" t="str">
        <f t="shared" si="356"/>
        <v>YAMAHA_Mounter</v>
      </c>
      <c r="AS1204" s="22">
        <f t="shared" si="357"/>
        <v>2</v>
      </c>
      <c r="AT1204" s="24" t="str">
        <f t="shared" si="358"/>
        <v>0-3 months</v>
      </c>
      <c r="AU1204" s="22" t="s">
        <v>3744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2"/>
        <v>1.13</v>
      </c>
      <c r="Z1205" s="18">
        <f t="shared" si="363"/>
        <v>490000</v>
      </c>
      <c r="AA1205" s="13">
        <v>1.175</v>
      </c>
      <c r="AB1205" s="21">
        <f t="shared" si="360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45"/>
        <v>35682787.057522126</v>
      </c>
      <c r="AJ1205" s="19">
        <f t="shared" si="346"/>
        <v>5833368.3789623892</v>
      </c>
      <c r="AK1205" s="20">
        <f t="shared" si="353"/>
        <v>0.16347849649632912</v>
      </c>
      <c r="AL1205" s="17"/>
      <c r="AM1205" s="17"/>
      <c r="AN1205" s="17"/>
      <c r="AO1205" s="17"/>
      <c r="AP1205" s="28" t="str">
        <f t="shared" si="354"/>
        <v>20226</v>
      </c>
      <c r="AQ1205" s="28" t="str">
        <f t="shared" si="355"/>
        <v>20226RMB</v>
      </c>
      <c r="AR1205" s="206" t="str">
        <f t="shared" si="356"/>
        <v>YAMAHA_Mounter</v>
      </c>
      <c r="AS1205" s="22">
        <f t="shared" si="357"/>
        <v>2</v>
      </c>
      <c r="AT1205" s="24" t="str">
        <f t="shared" si="358"/>
        <v>0-3 months</v>
      </c>
      <c r="AU1205" s="22" t="s">
        <v>3751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3"/>
        <v>11000000</v>
      </c>
      <c r="AA1206" s="13">
        <v>7.2999999999999995E-2</v>
      </c>
      <c r="AB1206" s="21">
        <f t="shared" si="360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45"/>
        <v>11620538.477876106</v>
      </c>
      <c r="AJ1206" s="19">
        <f t="shared" si="346"/>
        <v>1598596.3145221241</v>
      </c>
      <c r="AK1206" s="20">
        <f t="shared" si="353"/>
        <v>0.13756645766163331</v>
      </c>
      <c r="AL1206" s="17"/>
      <c r="AM1206" s="17"/>
      <c r="AN1206" s="17"/>
      <c r="AO1206" s="17"/>
      <c r="AP1206" s="28" t="str">
        <f t="shared" si="354"/>
        <v>20201</v>
      </c>
      <c r="AQ1206" s="28" t="str">
        <f t="shared" si="355"/>
        <v>20201JPY</v>
      </c>
      <c r="AR1206" s="206" t="str">
        <f t="shared" si="356"/>
        <v>YAMAHA_Mounter</v>
      </c>
      <c r="AS1206" s="22">
        <f t="shared" si="357"/>
        <v>1</v>
      </c>
      <c r="AT1206" s="24" t="str">
        <f t="shared" si="358"/>
        <v>0-3 months</v>
      </c>
      <c r="AU1206" s="22" t="s">
        <v>3746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3"/>
        <v>11000000</v>
      </c>
      <c r="AA1207" s="13">
        <v>7.2999999999999995E-2</v>
      </c>
      <c r="AB1207" s="21">
        <f t="shared" si="360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45"/>
        <v>11620538.477876106</v>
      </c>
      <c r="AJ1207" s="19">
        <f t="shared" si="346"/>
        <v>1598596.3145221241</v>
      </c>
      <c r="AK1207" s="20">
        <f t="shared" si="353"/>
        <v>0.13756645766163331</v>
      </c>
      <c r="AL1207" s="17"/>
      <c r="AM1207" s="17"/>
      <c r="AN1207" s="17"/>
      <c r="AO1207" s="17"/>
      <c r="AP1207" s="28" t="str">
        <f t="shared" si="354"/>
        <v>20201</v>
      </c>
      <c r="AQ1207" s="28" t="str">
        <f t="shared" si="355"/>
        <v>20201JPY</v>
      </c>
      <c r="AR1207" s="206" t="str">
        <f t="shared" si="356"/>
        <v>YAMAHA_Mounter</v>
      </c>
      <c r="AS1207" s="22">
        <f t="shared" si="357"/>
        <v>1</v>
      </c>
      <c r="AT1207" s="24" t="str">
        <f t="shared" si="358"/>
        <v>0-3 months</v>
      </c>
      <c r="AU1207" s="22" t="s">
        <v>3746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3"/>
        <v>11000000</v>
      </c>
      <c r="AA1208" s="13">
        <v>7.2999999999999995E-2</v>
      </c>
      <c r="AB1208" s="21">
        <f t="shared" si="360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45"/>
        <v>11620538.477876106</v>
      </c>
      <c r="AJ1208" s="19">
        <f t="shared" si="346"/>
        <v>1598596.3145221241</v>
      </c>
      <c r="AK1208" s="20">
        <f t="shared" si="353"/>
        <v>0.13756645766163331</v>
      </c>
      <c r="AL1208" s="17"/>
      <c r="AM1208" s="17"/>
      <c r="AN1208" s="17"/>
      <c r="AO1208" s="17"/>
      <c r="AP1208" s="28" t="str">
        <f t="shared" si="354"/>
        <v>20201</v>
      </c>
      <c r="AQ1208" s="28" t="str">
        <f t="shared" si="355"/>
        <v>20201JPY</v>
      </c>
      <c r="AR1208" s="206" t="str">
        <f t="shared" si="356"/>
        <v>YAMAHA_Mounter</v>
      </c>
      <c r="AS1208" s="22">
        <f t="shared" si="357"/>
        <v>1</v>
      </c>
      <c r="AT1208" s="24" t="str">
        <f t="shared" si="358"/>
        <v>0-3 months</v>
      </c>
      <c r="AU1208" s="22" t="s">
        <v>3746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3"/>
        <v>10510000</v>
      </c>
      <c r="AA1209" s="13">
        <v>7.2999999999999995E-2</v>
      </c>
      <c r="AB1209" s="21">
        <f t="shared" si="360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45"/>
        <v>11620538.477876106</v>
      </c>
      <c r="AJ1209" s="19">
        <f t="shared" si="346"/>
        <v>1598596.3145221241</v>
      </c>
      <c r="AK1209" s="20">
        <f t="shared" si="353"/>
        <v>0.13756645766163331</v>
      </c>
      <c r="AL1209" s="17"/>
      <c r="AM1209" s="17"/>
      <c r="AN1209" s="17"/>
      <c r="AO1209" s="17"/>
      <c r="AP1209" s="28" t="str">
        <f t="shared" si="354"/>
        <v>20201</v>
      </c>
      <c r="AQ1209" s="28" t="str">
        <f t="shared" si="355"/>
        <v>20201JPY</v>
      </c>
      <c r="AR1209" s="206" t="str">
        <f t="shared" si="356"/>
        <v>YAMAHA_Mounter</v>
      </c>
      <c r="AS1209" s="22">
        <f t="shared" si="357"/>
        <v>1</v>
      </c>
      <c r="AT1209" s="24" t="str">
        <f t="shared" si="358"/>
        <v>0-3 months</v>
      </c>
      <c r="AU1209" s="22" t="s">
        <v>3746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4">IF(W1210="RMB","1.13", "1")</f>
        <v>1</v>
      </c>
      <c r="Z1210" s="18">
        <f t="shared" si="363"/>
        <v>11300000</v>
      </c>
      <c r="AA1210" s="13">
        <v>6.25E-2</v>
      </c>
      <c r="AB1210" s="21">
        <f t="shared" si="360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45"/>
        <v>35682787.057522126</v>
      </c>
      <c r="AJ1210" s="19">
        <f t="shared" si="346"/>
        <v>5833368.3789623892</v>
      </c>
      <c r="AK1210" s="20">
        <f t="shared" si="353"/>
        <v>0.16347849649632912</v>
      </c>
      <c r="AL1210" s="17"/>
      <c r="AM1210" s="17"/>
      <c r="AN1210" s="17"/>
      <c r="AO1210" s="17"/>
      <c r="AP1210" s="28" t="str">
        <f t="shared" si="354"/>
        <v>20226</v>
      </c>
      <c r="AQ1210" s="28" t="str">
        <f t="shared" si="355"/>
        <v>20226JPY</v>
      </c>
      <c r="AR1210" s="206" t="str">
        <f t="shared" si="356"/>
        <v>YAMAHA_Mounter</v>
      </c>
      <c r="AS1210" s="22">
        <f t="shared" si="357"/>
        <v>2</v>
      </c>
      <c r="AT1210" s="24" t="str">
        <f t="shared" si="358"/>
        <v>0-3 months</v>
      </c>
      <c r="AU1210" s="22" t="s">
        <v>3745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4"/>
        <v>1</v>
      </c>
      <c r="Z1211" s="18">
        <f t="shared" si="363"/>
        <v>7000000</v>
      </c>
      <c r="AA1211" s="13">
        <v>6.25E-2</v>
      </c>
      <c r="AB1211" s="21">
        <f t="shared" si="360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45"/>
        <v>35682787.057522126</v>
      </c>
      <c r="AJ1211" s="19">
        <f t="shared" si="346"/>
        <v>5833368.3789623892</v>
      </c>
      <c r="AK1211" s="20">
        <f t="shared" si="353"/>
        <v>0.16347849649632912</v>
      </c>
      <c r="AL1211" s="17"/>
      <c r="AM1211" s="17"/>
      <c r="AN1211" s="17"/>
      <c r="AO1211" s="17"/>
      <c r="AP1211" s="28" t="str">
        <f t="shared" si="354"/>
        <v>20226</v>
      </c>
      <c r="AQ1211" s="28" t="str">
        <f t="shared" si="355"/>
        <v>20226JPY</v>
      </c>
      <c r="AR1211" s="206" t="str">
        <f t="shared" si="356"/>
        <v>YAMAHA_Mounter</v>
      </c>
      <c r="AS1211" s="22">
        <f t="shared" si="357"/>
        <v>2</v>
      </c>
      <c r="AT1211" s="24" t="str">
        <f t="shared" si="358"/>
        <v>0-3 months</v>
      </c>
      <c r="AU1211" s="22" t="s">
        <v>3745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4"/>
        <v>1</v>
      </c>
      <c r="Z1212" s="18">
        <f t="shared" si="363"/>
        <v>11300000</v>
      </c>
      <c r="AA1212" s="13">
        <v>5.96E-2</v>
      </c>
      <c r="AB1212" s="21">
        <f t="shared" si="360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45"/>
        <v>35073581.838938057</v>
      </c>
      <c r="AJ1212" s="19">
        <f t="shared" si="346"/>
        <v>5034113.9728989396</v>
      </c>
      <c r="AK1212" s="20">
        <f t="shared" si="353"/>
        <v>0.14353007902118958</v>
      </c>
      <c r="AL1212" s="17"/>
      <c r="AM1212" s="17"/>
      <c r="AN1212" s="17"/>
      <c r="AO1212" s="17"/>
      <c r="AP1212" s="28" t="str">
        <f t="shared" si="354"/>
        <v>20228</v>
      </c>
      <c r="AQ1212" s="28" t="str">
        <f t="shared" si="355"/>
        <v>20228JPY</v>
      </c>
      <c r="AR1212" s="206" t="str">
        <f t="shared" si="356"/>
        <v>YAMAHA_Mounter</v>
      </c>
      <c r="AS1212" s="22">
        <f t="shared" si="357"/>
        <v>4</v>
      </c>
      <c r="AT1212" s="24" t="str">
        <f t="shared" si="358"/>
        <v>4-6 months</v>
      </c>
      <c r="AU1212" s="22" t="s">
        <v>3745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4"/>
        <v>1</v>
      </c>
      <c r="Z1213" s="18">
        <f t="shared" si="363"/>
        <v>7000000</v>
      </c>
      <c r="AA1213" s="13">
        <v>5.96E-2</v>
      </c>
      <c r="AB1213" s="21">
        <f t="shared" si="360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45"/>
        <v>35073581.838938057</v>
      </c>
      <c r="AJ1213" s="19">
        <f t="shared" si="346"/>
        <v>5034113.9728989396</v>
      </c>
      <c r="AK1213" s="20">
        <f t="shared" si="353"/>
        <v>0.14353007902118958</v>
      </c>
      <c r="AL1213" s="17"/>
      <c r="AM1213" s="17"/>
      <c r="AN1213" s="17"/>
      <c r="AO1213" s="17"/>
      <c r="AP1213" s="28" t="str">
        <f t="shared" si="354"/>
        <v>20228</v>
      </c>
      <c r="AQ1213" s="28" t="str">
        <f t="shared" si="355"/>
        <v>20228JPY</v>
      </c>
      <c r="AR1213" s="206" t="str">
        <f t="shared" si="356"/>
        <v>YAMAHA_Mounter</v>
      </c>
      <c r="AS1213" s="22">
        <f t="shared" si="357"/>
        <v>4</v>
      </c>
      <c r="AT1213" s="24" t="str">
        <f t="shared" si="358"/>
        <v>4-6 months</v>
      </c>
      <c r="AU1213" s="22" t="s">
        <v>3745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4"/>
        <v>1</v>
      </c>
      <c r="Z1214" s="18">
        <f t="shared" si="363"/>
        <v>13000000</v>
      </c>
      <c r="AA1214" s="13">
        <v>5.8799999999999998E-2</v>
      </c>
      <c r="AB1214" s="21">
        <f t="shared" si="360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45"/>
        <v>499582152.5142017</v>
      </c>
      <c r="AJ1214" s="19">
        <f t="shared" si="346"/>
        <v>59520528.679470733</v>
      </c>
      <c r="AK1214" s="20">
        <f t="shared" si="353"/>
        <v>0.11914062257814291</v>
      </c>
      <c r="AL1214" s="17"/>
      <c r="AM1214" s="17"/>
      <c r="AN1214" s="17"/>
      <c r="AO1214" s="17"/>
      <c r="AP1214" s="28" t="str">
        <f t="shared" si="354"/>
        <v>CancelCancel</v>
      </c>
      <c r="AQ1214" s="28" t="str">
        <f t="shared" si="355"/>
        <v>CancelCancelJPY</v>
      </c>
      <c r="AR1214" s="206" t="str">
        <f t="shared" si="356"/>
        <v>YAMAHA_Mounter</v>
      </c>
      <c r="AS1214" s="22" t="str">
        <f t="shared" si="357"/>
        <v/>
      </c>
      <c r="AT1214" s="24" t="str">
        <f t="shared" si="358"/>
        <v/>
      </c>
      <c r="AU1214" s="22" t="s">
        <v>3745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4"/>
        <v>1</v>
      </c>
      <c r="Z1215" s="18">
        <f t="shared" si="363"/>
        <v>13000000</v>
      </c>
      <c r="AA1215" s="13">
        <v>5.8799999999999998E-2</v>
      </c>
      <c r="AB1215" s="21">
        <f t="shared" si="360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45"/>
        <v>499582152.5142017</v>
      </c>
      <c r="AJ1215" s="19">
        <f t="shared" si="346"/>
        <v>59520528.679470733</v>
      </c>
      <c r="AK1215" s="20">
        <f t="shared" si="353"/>
        <v>0.11914062257814291</v>
      </c>
      <c r="AL1215" s="17"/>
      <c r="AM1215" s="17"/>
      <c r="AN1215" s="17"/>
      <c r="AO1215" s="17"/>
      <c r="AP1215" s="28" t="str">
        <f t="shared" si="354"/>
        <v>CancelCancel</v>
      </c>
      <c r="AQ1215" s="28" t="str">
        <f t="shared" si="355"/>
        <v>CancelCancelJPY</v>
      </c>
      <c r="AR1215" s="206" t="str">
        <f t="shared" si="356"/>
        <v>YAMAHA_Mounter</v>
      </c>
      <c r="AS1215" s="22" t="str">
        <f t="shared" si="357"/>
        <v/>
      </c>
      <c r="AT1215" s="24" t="str">
        <f t="shared" si="358"/>
        <v/>
      </c>
      <c r="AU1215" s="22" t="s">
        <v>3745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4"/>
        <v>1</v>
      </c>
      <c r="Z1216" s="18">
        <f t="shared" si="363"/>
        <v>8300000</v>
      </c>
      <c r="AA1216" s="13">
        <v>5.8799999999999998E-2</v>
      </c>
      <c r="AB1216" s="21">
        <f t="shared" si="360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45"/>
        <v>499582152.5142017</v>
      </c>
      <c r="AJ1216" s="19">
        <f t="shared" si="346"/>
        <v>59520528.679470733</v>
      </c>
      <c r="AK1216" s="20">
        <f t="shared" si="353"/>
        <v>0.11914062257814291</v>
      </c>
      <c r="AL1216" s="17"/>
      <c r="AM1216" s="17"/>
      <c r="AN1216" s="17"/>
      <c r="AO1216" s="17"/>
      <c r="AP1216" s="28" t="str">
        <f t="shared" si="354"/>
        <v>CancelCancel</v>
      </c>
      <c r="AQ1216" s="28" t="str">
        <f t="shared" si="355"/>
        <v>CancelCancelJPY</v>
      </c>
      <c r="AR1216" s="206" t="str">
        <f t="shared" si="356"/>
        <v>YAMAHA_Mounter</v>
      </c>
      <c r="AS1216" s="22" t="str">
        <f t="shared" si="357"/>
        <v/>
      </c>
      <c r="AT1216" s="24" t="str">
        <f t="shared" si="358"/>
        <v/>
      </c>
      <c r="AU1216" s="22" t="s">
        <v>3745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4"/>
        <v>1</v>
      </c>
      <c r="Z1217" s="18">
        <f t="shared" si="363"/>
        <v>8300000</v>
      </c>
      <c r="AA1217" s="13">
        <v>5.8799999999999998E-2</v>
      </c>
      <c r="AB1217" s="21">
        <f t="shared" si="360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45"/>
        <v>499582152.5142017</v>
      </c>
      <c r="AJ1217" s="19">
        <f t="shared" si="346"/>
        <v>59520528.679470733</v>
      </c>
      <c r="AK1217" s="20">
        <f t="shared" si="353"/>
        <v>0.11914062257814291</v>
      </c>
      <c r="AL1217" s="17"/>
      <c r="AM1217" s="17"/>
      <c r="AN1217" s="17"/>
      <c r="AO1217" s="17"/>
      <c r="AP1217" s="28" t="str">
        <f t="shared" si="354"/>
        <v>CancelCancel</v>
      </c>
      <c r="AQ1217" s="28" t="str">
        <f t="shared" si="355"/>
        <v>CancelCancelJPY</v>
      </c>
      <c r="AR1217" s="206" t="str">
        <f t="shared" si="356"/>
        <v>YAMAHA_Mounter</v>
      </c>
      <c r="AS1217" s="22" t="str">
        <f t="shared" si="357"/>
        <v/>
      </c>
      <c r="AT1217" s="24" t="str">
        <f t="shared" si="358"/>
        <v/>
      </c>
      <c r="AU1217" s="22" t="s">
        <v>3745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4"/>
        <v>1.13</v>
      </c>
      <c r="Z1218" s="18">
        <f t="shared" si="363"/>
        <v>640000</v>
      </c>
      <c r="AA1218" s="13">
        <v>1.17</v>
      </c>
      <c r="AB1218" s="21">
        <f t="shared" si="360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65">IF(P1218="C66 SERVICE","",SUMIFS(AB:AB,F:F,F1218,G:G,G1218,E:E,E1218))</f>
        <v>36480247.665929198</v>
      </c>
      <c r="AJ1218" s="19">
        <f t="shared" ref="AJ1218:AJ1281" si="366">IF(P1218="C66 SERVICE","",SUMIFS(AC:AC,F:F,F1218,G:G,G1218,E:E,E1218))</f>
        <v>5330996.6372757526</v>
      </c>
      <c r="AK1218" s="20">
        <f t="shared" si="353"/>
        <v>0.14613378412599562</v>
      </c>
      <c r="AL1218" s="17"/>
      <c r="AM1218" s="17"/>
      <c r="AN1218" s="17"/>
      <c r="AO1218" s="17"/>
      <c r="AP1218" s="28" t="str">
        <f t="shared" si="354"/>
        <v>20227</v>
      </c>
      <c r="AQ1218" s="28" t="str">
        <f t="shared" si="355"/>
        <v>20227RMB</v>
      </c>
      <c r="AR1218" s="206" t="str">
        <f t="shared" si="356"/>
        <v>YAMAHA_Mounter</v>
      </c>
      <c r="AS1218" s="22">
        <f t="shared" si="357"/>
        <v>0</v>
      </c>
      <c r="AT1218" s="24" t="str">
        <f t="shared" si="358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4"/>
        <v>1.13</v>
      </c>
      <c r="Z1219" s="18">
        <f t="shared" si="363"/>
        <v>767000</v>
      </c>
      <c r="AA1219" s="13">
        <v>1.135</v>
      </c>
      <c r="AB1219" s="21">
        <f t="shared" si="360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65"/>
        <v>28177779.013274338</v>
      </c>
      <c r="AJ1219" s="19">
        <f t="shared" si="366"/>
        <v>4727216.6376190251</v>
      </c>
      <c r="AK1219" s="20">
        <f t="shared" si="353"/>
        <v>0.1677639900359808</v>
      </c>
      <c r="AL1219" s="17"/>
      <c r="AM1219" s="17"/>
      <c r="AN1219" s="17"/>
      <c r="AO1219" s="17"/>
      <c r="AP1219" s="28" t="str">
        <f t="shared" si="354"/>
        <v>20235</v>
      </c>
      <c r="AQ1219" s="28" t="str">
        <f t="shared" si="355"/>
        <v>20235RMB</v>
      </c>
      <c r="AR1219" s="206" t="str">
        <f t="shared" si="356"/>
        <v>YAMAHA_Mounter</v>
      </c>
      <c r="AS1219" s="22">
        <f t="shared" si="357"/>
        <v>1</v>
      </c>
      <c r="AT1219" s="24" t="str">
        <f t="shared" si="358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4"/>
        <v>1.13</v>
      </c>
      <c r="Z1220" s="18">
        <f t="shared" si="363"/>
        <v>652100</v>
      </c>
      <c r="AA1220" s="13">
        <v>1.1950000000000001</v>
      </c>
      <c r="AB1220" s="21">
        <f t="shared" si="360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65"/>
        <v>499582152.5142017</v>
      </c>
      <c r="AJ1220" s="19">
        <f t="shared" si="366"/>
        <v>59520528.679470733</v>
      </c>
      <c r="AK1220" s="20">
        <f t="shared" si="353"/>
        <v>0.11914062257814291</v>
      </c>
      <c r="AL1220" s="17"/>
      <c r="AM1220" s="17"/>
      <c r="AN1220" s="17"/>
      <c r="AO1220" s="17"/>
      <c r="AP1220" s="28" t="str">
        <f t="shared" si="354"/>
        <v>Cancelcancel</v>
      </c>
      <c r="AQ1220" s="28" t="str">
        <f t="shared" si="355"/>
        <v>CancelcancelRMB</v>
      </c>
      <c r="AR1220" s="206" t="str">
        <f t="shared" si="356"/>
        <v>YAMAHA_Mounter</v>
      </c>
      <c r="AS1220" s="22" t="str">
        <f t="shared" si="357"/>
        <v/>
      </c>
      <c r="AT1220" s="24" t="str">
        <f t="shared" si="358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4"/>
        <v>1</v>
      </c>
      <c r="Z1221" s="18">
        <f t="shared" si="363"/>
        <v>25000000</v>
      </c>
      <c r="AA1221" s="13">
        <v>7.17E-2</v>
      </c>
      <c r="AB1221" s="21">
        <f t="shared" si="360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65"/>
        <v>41443303.53761062</v>
      </c>
      <c r="AJ1221" s="19">
        <f t="shared" si="366"/>
        <v>6194988.76643031</v>
      </c>
      <c r="AK1221" s="20">
        <f t="shared" si="353"/>
        <v>0.1494810557466355</v>
      </c>
      <c r="AL1221" s="17"/>
      <c r="AM1221" s="17"/>
      <c r="AN1221" s="17"/>
      <c r="AO1221" s="17"/>
      <c r="AP1221" s="28" t="str">
        <f t="shared" si="354"/>
        <v>20217</v>
      </c>
      <c r="AQ1221" s="28" t="str">
        <f t="shared" si="355"/>
        <v>20217JPY</v>
      </c>
      <c r="AR1221" s="206" t="str">
        <f t="shared" si="356"/>
        <v>YAMAHA_Mounter</v>
      </c>
      <c r="AS1221" s="22">
        <f t="shared" si="357"/>
        <v>3</v>
      </c>
      <c r="AT1221" s="24" t="str">
        <f t="shared" si="358"/>
        <v>0-3 months</v>
      </c>
      <c r="AU1221" s="22" t="s">
        <v>3745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4"/>
        <v>1</v>
      </c>
      <c r="Z1222" s="18">
        <f t="shared" si="363"/>
        <v>15710000</v>
      </c>
      <c r="AA1222" s="13">
        <v>7.17E-2</v>
      </c>
      <c r="AB1222" s="21">
        <f t="shared" si="360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65"/>
        <v>41443303.53761062</v>
      </c>
      <c r="AJ1222" s="19">
        <f t="shared" si="366"/>
        <v>6194988.76643031</v>
      </c>
      <c r="AK1222" s="20">
        <f t="shared" ref="AK1222:AK1285" si="37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4">IF(F1222="","",F1222&amp;G1222)</f>
        <v>20217</v>
      </c>
      <c r="AQ1222" s="28" t="str">
        <f t="shared" ref="AQ1222:AQ1285" si="375">IF(W1222="","",F1222&amp;G1222&amp;W1222)</f>
        <v>20217JPY</v>
      </c>
      <c r="AR1222" s="206" t="str">
        <f t="shared" ref="AR1222:AR1285" si="376">IFERROR(IF(AND(M1222="YAMAHA", R1222="C28"), "YAMAHA_Non_Mounter", IF(AND(M1222="YAMAHA", R1222="C49"), "YAMAHA_Mounter", M1222)),"")</f>
        <v>YAMAHA_Mounter</v>
      </c>
      <c r="AS1222" s="22">
        <f t="shared" ref="AS1222:AS1285" si="377">IFERROR(IF(OR(G1222="TBA", G1222=""), "", DATEDIF(DATE(B1222, C1222, 1), DATE(F1222, G1222, 1), "M")),"")</f>
        <v>3</v>
      </c>
      <c r="AT1222" s="24" t="str">
        <f t="shared" ref="AT1222:AT1285" si="378">IF(ISNUMBER(AS1222), IF(AS1222&gt;=0, IF(AS1222&lt;=3, "0-3 months", IF(AS1222&lt;=6, "4-6 months", "&gt; 6 months"))), "")</f>
        <v>0-3 months</v>
      </c>
      <c r="AU1222" s="22" t="s">
        <v>3745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4"/>
        <v>1</v>
      </c>
      <c r="Z1223" s="18">
        <f t="shared" si="363"/>
        <v>20300000</v>
      </c>
      <c r="AA1223" s="13">
        <v>7.17E-2</v>
      </c>
      <c r="AB1223" s="21">
        <f t="shared" si="360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65"/>
        <v>41443303.53761062</v>
      </c>
      <c r="AJ1223" s="19">
        <f t="shared" si="366"/>
        <v>6194988.76643031</v>
      </c>
      <c r="AK1223" s="20">
        <f t="shared" si="373"/>
        <v>0.1494810557466355</v>
      </c>
      <c r="AL1223" s="17"/>
      <c r="AM1223" s="17"/>
      <c r="AN1223" s="17"/>
      <c r="AO1223" s="17"/>
      <c r="AP1223" s="28" t="str">
        <f t="shared" si="374"/>
        <v>20217</v>
      </c>
      <c r="AQ1223" s="28" t="str">
        <f t="shared" si="375"/>
        <v>20217JPY</v>
      </c>
      <c r="AR1223" s="206" t="str">
        <f t="shared" si="376"/>
        <v>YAMAHA_Mounter</v>
      </c>
      <c r="AS1223" s="22">
        <f t="shared" si="377"/>
        <v>3</v>
      </c>
      <c r="AT1223" s="24" t="str">
        <f t="shared" si="378"/>
        <v>0-3 months</v>
      </c>
      <c r="AU1223" s="22" t="s">
        <v>3745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4"/>
        <v>1</v>
      </c>
      <c r="Z1224" s="18">
        <f t="shared" si="363"/>
        <v>20300000</v>
      </c>
      <c r="AA1224" s="13">
        <v>7.17E-2</v>
      </c>
      <c r="AB1224" s="21">
        <f t="shared" si="360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65"/>
        <v>41443303.53761062</v>
      </c>
      <c r="AJ1224" s="19">
        <f t="shared" si="366"/>
        <v>6194988.76643031</v>
      </c>
      <c r="AK1224" s="20">
        <f t="shared" si="373"/>
        <v>0.1494810557466355</v>
      </c>
      <c r="AL1224" s="17"/>
      <c r="AM1224" s="17"/>
      <c r="AN1224" s="17"/>
      <c r="AO1224" s="17"/>
      <c r="AP1224" s="28" t="str">
        <f t="shared" si="374"/>
        <v>20217</v>
      </c>
      <c r="AQ1224" s="28" t="str">
        <f t="shared" si="375"/>
        <v>20217JPY</v>
      </c>
      <c r="AR1224" s="206" t="str">
        <f t="shared" si="376"/>
        <v>YAMAHA_Mounter</v>
      </c>
      <c r="AS1224" s="22">
        <f t="shared" si="377"/>
        <v>3</v>
      </c>
      <c r="AT1224" s="24" t="str">
        <f t="shared" si="378"/>
        <v>0-3 months</v>
      </c>
      <c r="AU1224" s="22" t="s">
        <v>3745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4"/>
        <v>1</v>
      </c>
      <c r="Z1225" s="18">
        <f t="shared" si="363"/>
        <v>20300000</v>
      </c>
      <c r="AA1225" s="13">
        <v>7.17E-2</v>
      </c>
      <c r="AB1225" s="21">
        <f t="shared" si="360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65"/>
        <v>41443303.53761062</v>
      </c>
      <c r="AJ1225" s="19">
        <f t="shared" si="366"/>
        <v>6194988.76643031</v>
      </c>
      <c r="AK1225" s="20">
        <f t="shared" si="373"/>
        <v>0.1494810557466355</v>
      </c>
      <c r="AL1225" s="17"/>
      <c r="AM1225" s="17"/>
      <c r="AN1225" s="17"/>
      <c r="AO1225" s="17"/>
      <c r="AP1225" s="28" t="str">
        <f t="shared" si="374"/>
        <v>20217</v>
      </c>
      <c r="AQ1225" s="28" t="str">
        <f t="shared" si="375"/>
        <v>20217JPY</v>
      </c>
      <c r="AR1225" s="206" t="str">
        <f t="shared" si="376"/>
        <v>YAMAHA_Mounter</v>
      </c>
      <c r="AS1225" s="22">
        <f t="shared" si="377"/>
        <v>3</v>
      </c>
      <c r="AT1225" s="24" t="str">
        <f t="shared" si="378"/>
        <v>0-3 months</v>
      </c>
      <c r="AU1225" s="22" t="s">
        <v>3745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4"/>
        <v>1</v>
      </c>
      <c r="Z1226" s="18">
        <f t="shared" si="363"/>
        <v>20300000</v>
      </c>
      <c r="AA1226" s="13">
        <v>7.17E-2</v>
      </c>
      <c r="AB1226" s="21">
        <f t="shared" si="360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65"/>
        <v>41443303.53761062</v>
      </c>
      <c r="AJ1226" s="19">
        <f t="shared" si="366"/>
        <v>6194988.76643031</v>
      </c>
      <c r="AK1226" s="20">
        <f t="shared" si="373"/>
        <v>0.1494810557466355</v>
      </c>
      <c r="AL1226" s="17"/>
      <c r="AM1226" s="17"/>
      <c r="AN1226" s="17"/>
      <c r="AO1226" s="17"/>
      <c r="AP1226" s="28" t="str">
        <f t="shared" si="374"/>
        <v>20217</v>
      </c>
      <c r="AQ1226" s="28" t="str">
        <f t="shared" si="375"/>
        <v>20217JPY</v>
      </c>
      <c r="AR1226" s="206" t="str">
        <f t="shared" si="376"/>
        <v>YAMAHA_Mounter</v>
      </c>
      <c r="AS1226" s="22">
        <f t="shared" si="377"/>
        <v>3</v>
      </c>
      <c r="AT1226" s="24" t="str">
        <f t="shared" si="378"/>
        <v>0-3 months</v>
      </c>
      <c r="AU1226" s="22" t="s">
        <v>3745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4"/>
        <v>1</v>
      </c>
      <c r="Z1227" s="18">
        <f t="shared" si="363"/>
        <v>20300000</v>
      </c>
      <c r="AA1227" s="13">
        <v>7.17E-2</v>
      </c>
      <c r="AB1227" s="21">
        <f t="shared" si="360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65"/>
        <v>41443303.53761062</v>
      </c>
      <c r="AJ1227" s="19">
        <f t="shared" si="366"/>
        <v>6194988.76643031</v>
      </c>
      <c r="AK1227" s="20">
        <f t="shared" si="373"/>
        <v>0.1494810557466355</v>
      </c>
      <c r="AL1227" s="17"/>
      <c r="AM1227" s="17"/>
      <c r="AN1227" s="17"/>
      <c r="AO1227" s="17"/>
      <c r="AP1227" s="28" t="str">
        <f t="shared" si="374"/>
        <v>20217</v>
      </c>
      <c r="AQ1227" s="28" t="str">
        <f t="shared" si="375"/>
        <v>20217JPY</v>
      </c>
      <c r="AR1227" s="206" t="str">
        <f t="shared" si="376"/>
        <v>YAMAHA_Mounter</v>
      </c>
      <c r="AS1227" s="22">
        <f t="shared" si="377"/>
        <v>3</v>
      </c>
      <c r="AT1227" s="24" t="str">
        <f t="shared" si="378"/>
        <v>0-3 months</v>
      </c>
      <c r="AU1227" s="22" t="s">
        <v>3745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4"/>
        <v>1</v>
      </c>
      <c r="Z1228" s="18">
        <f t="shared" si="363"/>
        <v>20300000</v>
      </c>
      <c r="AA1228" s="13">
        <v>7.17E-2</v>
      </c>
      <c r="AB1228" s="21">
        <f t="shared" si="360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65"/>
        <v>41443303.53761062</v>
      </c>
      <c r="AJ1228" s="19">
        <f t="shared" si="366"/>
        <v>6194988.76643031</v>
      </c>
      <c r="AK1228" s="20">
        <f t="shared" si="373"/>
        <v>0.1494810557466355</v>
      </c>
      <c r="AL1228" s="17"/>
      <c r="AM1228" s="17"/>
      <c r="AN1228" s="17"/>
      <c r="AO1228" s="17"/>
      <c r="AP1228" s="28" t="str">
        <f t="shared" si="374"/>
        <v>20217</v>
      </c>
      <c r="AQ1228" s="28" t="str">
        <f t="shared" si="375"/>
        <v>20217JPY</v>
      </c>
      <c r="AR1228" s="206" t="str">
        <f t="shared" si="376"/>
        <v>YAMAHA_Mounter</v>
      </c>
      <c r="AS1228" s="22">
        <f t="shared" si="377"/>
        <v>3</v>
      </c>
      <c r="AT1228" s="24" t="str">
        <f t="shared" si="378"/>
        <v>0-3 months</v>
      </c>
      <c r="AU1228" s="22" t="s">
        <v>3745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4"/>
        <v>1</v>
      </c>
      <c r="Z1229" s="18">
        <f t="shared" si="363"/>
        <v>25000000</v>
      </c>
      <c r="AA1229" s="13">
        <v>7.2400000000000006E-2</v>
      </c>
      <c r="AB1229" s="21">
        <f t="shared" si="360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65"/>
        <v>47458373.787610628</v>
      </c>
      <c r="AJ1229" s="19">
        <f t="shared" si="366"/>
        <v>7436880.1411522133</v>
      </c>
      <c r="AK1229" s="20">
        <f t="shared" si="373"/>
        <v>0.15670322321692506</v>
      </c>
      <c r="AL1229" s="17"/>
      <c r="AM1229" s="17"/>
      <c r="AN1229" s="17"/>
      <c r="AO1229" s="17"/>
      <c r="AP1229" s="28" t="str">
        <f t="shared" si="374"/>
        <v>20218</v>
      </c>
      <c r="AQ1229" s="28" t="str">
        <f t="shared" si="375"/>
        <v>20218JPY</v>
      </c>
      <c r="AR1229" s="206" t="str">
        <f t="shared" si="376"/>
        <v>YAMAHA_Mounter</v>
      </c>
      <c r="AS1229" s="22">
        <f t="shared" si="377"/>
        <v>4</v>
      </c>
      <c r="AT1229" s="24" t="str">
        <f t="shared" si="378"/>
        <v>4-6 months</v>
      </c>
      <c r="AU1229" s="22" t="s">
        <v>3745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4"/>
        <v>1</v>
      </c>
      <c r="Z1230" s="18">
        <f t="shared" si="363"/>
        <v>25000000</v>
      </c>
      <c r="AA1230" s="13">
        <v>7.2400000000000006E-2</v>
      </c>
      <c r="AB1230" s="21">
        <f t="shared" si="360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65"/>
        <v>47458373.787610628</v>
      </c>
      <c r="AJ1230" s="19">
        <f t="shared" si="366"/>
        <v>7436880.1411522133</v>
      </c>
      <c r="AK1230" s="20">
        <f t="shared" si="373"/>
        <v>0.15670322321692506</v>
      </c>
      <c r="AL1230" s="17"/>
      <c r="AM1230" s="17"/>
      <c r="AN1230" s="17"/>
      <c r="AO1230" s="17"/>
      <c r="AP1230" s="28" t="str">
        <f t="shared" si="374"/>
        <v>20218</v>
      </c>
      <c r="AQ1230" s="28" t="str">
        <f t="shared" si="375"/>
        <v>20218JPY</v>
      </c>
      <c r="AR1230" s="206" t="str">
        <f t="shared" si="376"/>
        <v>YAMAHA_Mounter</v>
      </c>
      <c r="AS1230" s="22">
        <f t="shared" si="377"/>
        <v>4</v>
      </c>
      <c r="AT1230" s="24" t="str">
        <f t="shared" si="378"/>
        <v>4-6 months</v>
      </c>
      <c r="AU1230" s="22" t="s">
        <v>3745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4"/>
        <v>1</v>
      </c>
      <c r="Z1231" s="18">
        <f t="shared" si="363"/>
        <v>20300000</v>
      </c>
      <c r="AA1231" s="13">
        <v>7.2400000000000006E-2</v>
      </c>
      <c r="AB1231" s="21">
        <f t="shared" si="360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65"/>
        <v>47458373.787610628</v>
      </c>
      <c r="AJ1231" s="19">
        <f t="shared" si="366"/>
        <v>7436880.1411522133</v>
      </c>
      <c r="AK1231" s="20">
        <f t="shared" si="373"/>
        <v>0.15670322321692506</v>
      </c>
      <c r="AL1231" s="17"/>
      <c r="AM1231" s="17"/>
      <c r="AN1231" s="17"/>
      <c r="AO1231" s="17"/>
      <c r="AP1231" s="28" t="str">
        <f t="shared" si="374"/>
        <v>20218</v>
      </c>
      <c r="AQ1231" s="28" t="str">
        <f t="shared" si="375"/>
        <v>20218JPY</v>
      </c>
      <c r="AR1231" s="206" t="str">
        <f t="shared" si="376"/>
        <v>YAMAHA_Mounter</v>
      </c>
      <c r="AS1231" s="22">
        <f t="shared" si="377"/>
        <v>4</v>
      </c>
      <c r="AT1231" s="24" t="str">
        <f t="shared" si="378"/>
        <v>4-6 months</v>
      </c>
      <c r="AU1231" s="22" t="s">
        <v>3745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4"/>
        <v>1</v>
      </c>
      <c r="Z1232" s="18">
        <f t="shared" si="363"/>
        <v>20300000</v>
      </c>
      <c r="AA1232" s="13">
        <v>7.2400000000000006E-2</v>
      </c>
      <c r="AB1232" s="21">
        <f t="shared" si="360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65"/>
        <v>47458373.787610628</v>
      </c>
      <c r="AJ1232" s="19">
        <f t="shared" si="366"/>
        <v>7436880.1411522133</v>
      </c>
      <c r="AK1232" s="20">
        <f t="shared" si="373"/>
        <v>0.15670322321692506</v>
      </c>
      <c r="AL1232" s="17"/>
      <c r="AM1232" s="17"/>
      <c r="AN1232" s="17"/>
      <c r="AO1232" s="17"/>
      <c r="AP1232" s="28" t="str">
        <f t="shared" si="374"/>
        <v>20218</v>
      </c>
      <c r="AQ1232" s="28" t="str">
        <f t="shared" si="375"/>
        <v>20218JPY</v>
      </c>
      <c r="AR1232" s="206" t="str">
        <f t="shared" si="376"/>
        <v>YAMAHA_Mounter</v>
      </c>
      <c r="AS1232" s="22">
        <f t="shared" si="377"/>
        <v>4</v>
      </c>
      <c r="AT1232" s="24" t="str">
        <f t="shared" si="378"/>
        <v>4-6 months</v>
      </c>
      <c r="AU1232" s="22" t="s">
        <v>3745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4"/>
        <v>1</v>
      </c>
      <c r="Z1233" s="18">
        <f t="shared" si="363"/>
        <v>20300000</v>
      </c>
      <c r="AA1233" s="13">
        <v>7.2400000000000006E-2</v>
      </c>
      <c r="AB1233" s="21">
        <f t="shared" si="360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65"/>
        <v>47458373.787610628</v>
      </c>
      <c r="AJ1233" s="19">
        <f t="shared" si="366"/>
        <v>7436880.1411522133</v>
      </c>
      <c r="AK1233" s="20">
        <f t="shared" si="373"/>
        <v>0.15670322321692506</v>
      </c>
      <c r="AL1233" s="17"/>
      <c r="AM1233" s="17"/>
      <c r="AN1233" s="17"/>
      <c r="AO1233" s="17"/>
      <c r="AP1233" s="28" t="str">
        <f t="shared" si="374"/>
        <v>20218</v>
      </c>
      <c r="AQ1233" s="28" t="str">
        <f t="shared" si="375"/>
        <v>20218JPY</v>
      </c>
      <c r="AR1233" s="206" t="str">
        <f t="shared" si="376"/>
        <v>YAMAHA_Mounter</v>
      </c>
      <c r="AS1233" s="22">
        <f t="shared" si="377"/>
        <v>4</v>
      </c>
      <c r="AT1233" s="24" t="str">
        <f t="shared" si="378"/>
        <v>4-6 months</v>
      </c>
      <c r="AU1233" s="22" t="s">
        <v>3745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4"/>
        <v>1</v>
      </c>
      <c r="Z1234" s="18">
        <f t="shared" si="363"/>
        <v>20300000</v>
      </c>
      <c r="AA1234" s="13">
        <v>7.2400000000000006E-2</v>
      </c>
      <c r="AB1234" s="21">
        <f t="shared" si="360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65"/>
        <v>47458373.787610628</v>
      </c>
      <c r="AJ1234" s="19">
        <f t="shared" si="366"/>
        <v>7436880.1411522133</v>
      </c>
      <c r="AK1234" s="20">
        <f t="shared" si="373"/>
        <v>0.15670322321692506</v>
      </c>
      <c r="AL1234" s="17"/>
      <c r="AM1234" s="17"/>
      <c r="AN1234" s="17"/>
      <c r="AO1234" s="17"/>
      <c r="AP1234" s="28" t="str">
        <f t="shared" si="374"/>
        <v>20218</v>
      </c>
      <c r="AQ1234" s="28" t="str">
        <f t="shared" si="375"/>
        <v>20218JPY</v>
      </c>
      <c r="AR1234" s="206" t="str">
        <f t="shared" si="376"/>
        <v>YAMAHA_Mounter</v>
      </c>
      <c r="AS1234" s="22">
        <f t="shared" si="377"/>
        <v>4</v>
      </c>
      <c r="AT1234" s="24" t="str">
        <f t="shared" si="378"/>
        <v>4-6 months</v>
      </c>
      <c r="AU1234" s="22" t="s">
        <v>3745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4"/>
        <v>1</v>
      </c>
      <c r="Z1235" s="18">
        <f t="shared" si="363"/>
        <v>20300000</v>
      </c>
      <c r="AA1235" s="13">
        <v>7.2400000000000006E-2</v>
      </c>
      <c r="AB1235" s="21">
        <f t="shared" si="360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65"/>
        <v>47458373.787610628</v>
      </c>
      <c r="AJ1235" s="19">
        <f t="shared" si="366"/>
        <v>7436880.1411522133</v>
      </c>
      <c r="AK1235" s="20">
        <f t="shared" si="373"/>
        <v>0.15670322321692506</v>
      </c>
      <c r="AL1235" s="17"/>
      <c r="AM1235" s="17"/>
      <c r="AN1235" s="17"/>
      <c r="AO1235" s="17"/>
      <c r="AP1235" s="28" t="str">
        <f t="shared" si="374"/>
        <v>20218</v>
      </c>
      <c r="AQ1235" s="28" t="str">
        <f t="shared" si="375"/>
        <v>20218JPY</v>
      </c>
      <c r="AR1235" s="206" t="str">
        <f t="shared" si="376"/>
        <v>YAMAHA_Mounter</v>
      </c>
      <c r="AS1235" s="22">
        <f t="shared" si="377"/>
        <v>4</v>
      </c>
      <c r="AT1235" s="24" t="str">
        <f t="shared" si="378"/>
        <v>4-6 months</v>
      </c>
      <c r="AU1235" s="22" t="s">
        <v>3745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4"/>
        <v>1</v>
      </c>
      <c r="Z1236" s="18">
        <f t="shared" si="363"/>
        <v>20300000</v>
      </c>
      <c r="AA1236" s="13">
        <v>7.2400000000000006E-2</v>
      </c>
      <c r="AB1236" s="21">
        <f t="shared" si="360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65"/>
        <v>47458373.787610628</v>
      </c>
      <c r="AJ1236" s="19">
        <f t="shared" si="366"/>
        <v>7436880.1411522133</v>
      </c>
      <c r="AK1236" s="20">
        <f t="shared" si="373"/>
        <v>0.15670322321692506</v>
      </c>
      <c r="AL1236" s="17"/>
      <c r="AM1236" s="17"/>
      <c r="AN1236" s="17"/>
      <c r="AO1236" s="17"/>
      <c r="AP1236" s="28" t="str">
        <f t="shared" si="374"/>
        <v>20218</v>
      </c>
      <c r="AQ1236" s="28" t="str">
        <f t="shared" si="375"/>
        <v>20218JPY</v>
      </c>
      <c r="AR1236" s="206" t="str">
        <f t="shared" si="376"/>
        <v>YAMAHA_Mounter</v>
      </c>
      <c r="AS1236" s="22">
        <f t="shared" si="377"/>
        <v>4</v>
      </c>
      <c r="AT1236" s="24" t="str">
        <f t="shared" si="378"/>
        <v>4-6 months</v>
      </c>
      <c r="AU1236" s="22" t="s">
        <v>3745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3"/>
        <v>15920000</v>
      </c>
      <c r="AA1237" s="13">
        <v>7.2300000000000003E-2</v>
      </c>
      <c r="AB1237" s="21">
        <f t="shared" si="360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65"/>
        <v>32843736.557277881</v>
      </c>
      <c r="AJ1237" s="19">
        <f t="shared" si="366"/>
        <v>3921470.6822663117</v>
      </c>
      <c r="AK1237" s="20">
        <f t="shared" si="373"/>
        <v>0.11939782416131177</v>
      </c>
      <c r="AL1237" s="17"/>
      <c r="AM1237" s="17"/>
      <c r="AN1237" s="17"/>
      <c r="AO1237" s="17"/>
      <c r="AP1237" s="28" t="str">
        <f t="shared" si="374"/>
        <v>20194</v>
      </c>
      <c r="AQ1237" s="28" t="str">
        <f t="shared" si="375"/>
        <v>20194JPY</v>
      </c>
      <c r="AR1237" s="206" t="str">
        <f t="shared" si="376"/>
        <v>YAMAHA_Mounter</v>
      </c>
      <c r="AS1237" s="22">
        <f t="shared" si="377"/>
        <v>0</v>
      </c>
      <c r="AT1237" s="24" t="str">
        <f t="shared" si="378"/>
        <v>0-3 months</v>
      </c>
      <c r="AU1237" s="22" t="s">
        <v>3745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3"/>
        <v>14000000</v>
      </c>
      <c r="AA1238" s="13">
        <v>7.3999999999999996E-2</v>
      </c>
      <c r="AB1238" s="21">
        <f t="shared" si="360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65"/>
        <v>34015877.71150443</v>
      </c>
      <c r="AJ1238" s="19">
        <f t="shared" si="366"/>
        <v>4446292.375441948</v>
      </c>
      <c r="AK1238" s="20">
        <f t="shared" si="373"/>
        <v>0.13071226364205143</v>
      </c>
      <c r="AL1238" s="17"/>
      <c r="AM1238" s="17"/>
      <c r="AN1238" s="17"/>
      <c r="AO1238" s="17"/>
      <c r="AP1238" s="28" t="str">
        <f t="shared" si="374"/>
        <v>20197</v>
      </c>
      <c r="AQ1238" s="28" t="str">
        <f t="shared" si="375"/>
        <v>20197JPY</v>
      </c>
      <c r="AR1238" s="206" t="str">
        <f t="shared" si="376"/>
        <v>YAMAHA_Mounter</v>
      </c>
      <c r="AS1238" s="22">
        <f t="shared" si="377"/>
        <v>0</v>
      </c>
      <c r="AT1238" s="24" t="str">
        <f t="shared" si="378"/>
        <v>0-3 months</v>
      </c>
      <c r="AU1238" s="22" t="s">
        <v>3745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3"/>
        <v>14000000</v>
      </c>
      <c r="AA1239" s="13">
        <v>7.3999999999999996E-2</v>
      </c>
      <c r="AB1239" s="21">
        <f t="shared" si="360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65"/>
        <v>34015877.71150443</v>
      </c>
      <c r="AJ1239" s="19">
        <f t="shared" si="366"/>
        <v>4446292.375441948</v>
      </c>
      <c r="AK1239" s="20">
        <f t="shared" si="373"/>
        <v>0.13071226364205143</v>
      </c>
      <c r="AL1239" s="17"/>
      <c r="AM1239" s="17"/>
      <c r="AN1239" s="17"/>
      <c r="AO1239" s="17"/>
      <c r="AP1239" s="28" t="str">
        <f t="shared" si="374"/>
        <v>20197</v>
      </c>
      <c r="AQ1239" s="28" t="str">
        <f t="shared" si="375"/>
        <v>20197JPY</v>
      </c>
      <c r="AR1239" s="206" t="str">
        <f t="shared" si="376"/>
        <v>YAMAHA_Mounter</v>
      </c>
      <c r="AS1239" s="22">
        <f t="shared" si="377"/>
        <v>0</v>
      </c>
      <c r="AT1239" s="24" t="str">
        <f t="shared" si="378"/>
        <v>0-3 months</v>
      </c>
      <c r="AU1239" s="22" t="s">
        <v>3745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3"/>
        <v>10000000</v>
      </c>
      <c r="AA1240" s="13">
        <v>7.3999999999999996E-2</v>
      </c>
      <c r="AB1240" s="21">
        <f t="shared" si="360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65"/>
        <v>34015877.71150443</v>
      </c>
      <c r="AJ1240" s="19">
        <f t="shared" si="366"/>
        <v>4446292.375441948</v>
      </c>
      <c r="AK1240" s="20">
        <f t="shared" si="373"/>
        <v>0.13071226364205143</v>
      </c>
      <c r="AL1240" s="17"/>
      <c r="AM1240" s="17"/>
      <c r="AN1240" s="17"/>
      <c r="AO1240" s="17"/>
      <c r="AP1240" s="28" t="str">
        <f t="shared" si="374"/>
        <v>20197</v>
      </c>
      <c r="AQ1240" s="28" t="str">
        <f t="shared" si="375"/>
        <v>20197JPY</v>
      </c>
      <c r="AR1240" s="206" t="str">
        <f t="shared" si="376"/>
        <v>YAMAHA_Mounter</v>
      </c>
      <c r="AS1240" s="22">
        <f t="shared" si="377"/>
        <v>0</v>
      </c>
      <c r="AT1240" s="24" t="str">
        <f t="shared" si="378"/>
        <v>0-3 months</v>
      </c>
      <c r="AU1240" s="22" t="s">
        <v>3745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3"/>
        <v>10000000</v>
      </c>
      <c r="AA1241" s="13">
        <v>7.3999999999999996E-2</v>
      </c>
      <c r="AB1241" s="21">
        <f t="shared" si="360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65"/>
        <v>34015877.71150443</v>
      </c>
      <c r="AJ1241" s="19">
        <f t="shared" si="366"/>
        <v>4446292.375441948</v>
      </c>
      <c r="AK1241" s="20">
        <f t="shared" si="373"/>
        <v>0.13071226364205143</v>
      </c>
      <c r="AL1241" s="17"/>
      <c r="AM1241" s="17"/>
      <c r="AN1241" s="17"/>
      <c r="AO1241" s="17"/>
      <c r="AP1241" s="28" t="str">
        <f t="shared" si="374"/>
        <v>20197</v>
      </c>
      <c r="AQ1241" s="28" t="str">
        <f t="shared" si="375"/>
        <v>20197JPY</v>
      </c>
      <c r="AR1241" s="206" t="str">
        <f t="shared" si="376"/>
        <v>YAMAHA_Mounter</v>
      </c>
      <c r="AS1241" s="22">
        <f t="shared" si="377"/>
        <v>0</v>
      </c>
      <c r="AT1241" s="24" t="str">
        <f t="shared" si="378"/>
        <v>0-3 months</v>
      </c>
      <c r="AU1241" s="22" t="s">
        <v>3745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3"/>
        <v>1160000</v>
      </c>
      <c r="AA1242" s="13">
        <v>1.095</v>
      </c>
      <c r="AB1242" s="21">
        <f t="shared" si="360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65"/>
        <v>37599388.802345134</v>
      </c>
      <c r="AJ1242" s="19">
        <f t="shared" si="366"/>
        <v>4866784.3630338367</v>
      </c>
      <c r="AK1242" s="20">
        <f t="shared" si="373"/>
        <v>0.12943785838163113</v>
      </c>
      <c r="AL1242" s="17"/>
      <c r="AM1242" s="17"/>
      <c r="AN1242" s="17"/>
      <c r="AO1242" s="17"/>
      <c r="AP1242" s="28" t="str">
        <f t="shared" si="374"/>
        <v>20199</v>
      </c>
      <c r="AQ1242" s="28" t="str">
        <f t="shared" si="375"/>
        <v>20199RMB</v>
      </c>
      <c r="AR1242" s="206" t="str">
        <f t="shared" si="376"/>
        <v>YAMAHA_Mounter</v>
      </c>
      <c r="AS1242" s="22">
        <f t="shared" si="377"/>
        <v>0</v>
      </c>
      <c r="AT1242" s="24" t="str">
        <f t="shared" si="378"/>
        <v>0-3 months</v>
      </c>
      <c r="AU1242" s="22" t="s">
        <v>3744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3"/>
        <v>1090000</v>
      </c>
      <c r="AA1243" s="13">
        <v>1.095</v>
      </c>
      <c r="AB1243" s="21">
        <f t="shared" ref="AB1243:AB1306" si="379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65"/>
        <v>37599388.802345134</v>
      </c>
      <c r="AJ1243" s="19">
        <f t="shared" si="366"/>
        <v>4866784.3630338367</v>
      </c>
      <c r="AK1243" s="20">
        <f t="shared" si="373"/>
        <v>0.12943785838163113</v>
      </c>
      <c r="AL1243" s="17"/>
      <c r="AM1243" s="17"/>
      <c r="AN1243" s="17"/>
      <c r="AO1243" s="17"/>
      <c r="AP1243" s="28" t="str">
        <f t="shared" si="374"/>
        <v>20199</v>
      </c>
      <c r="AQ1243" s="28" t="str">
        <f t="shared" si="375"/>
        <v>20199RMB</v>
      </c>
      <c r="AR1243" s="206" t="str">
        <f t="shared" si="376"/>
        <v>YAMAHA_Mounter</v>
      </c>
      <c r="AS1243" s="22">
        <f t="shared" si="377"/>
        <v>0</v>
      </c>
      <c r="AT1243" s="24" t="str">
        <f t="shared" si="378"/>
        <v>0-3 months</v>
      </c>
      <c r="AU1243" s="22" t="s">
        <v>3744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3"/>
        <v>1090000</v>
      </c>
      <c r="AA1244" s="13">
        <v>1.095</v>
      </c>
      <c r="AB1244" s="21">
        <f t="shared" si="379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65"/>
        <v>37599388.802345134</v>
      </c>
      <c r="AJ1244" s="19">
        <f t="shared" si="366"/>
        <v>4866784.3630338367</v>
      </c>
      <c r="AK1244" s="20">
        <f t="shared" si="373"/>
        <v>0.12943785838163113</v>
      </c>
      <c r="AL1244" s="17"/>
      <c r="AM1244" s="17"/>
      <c r="AN1244" s="17"/>
      <c r="AO1244" s="17"/>
      <c r="AP1244" s="28" t="str">
        <f t="shared" si="374"/>
        <v>20199</v>
      </c>
      <c r="AQ1244" s="28" t="str">
        <f t="shared" si="375"/>
        <v>20199RMB</v>
      </c>
      <c r="AR1244" s="206" t="str">
        <f t="shared" si="376"/>
        <v>YAMAHA_Mounter</v>
      </c>
      <c r="AS1244" s="22">
        <f t="shared" si="377"/>
        <v>0</v>
      </c>
      <c r="AT1244" s="24" t="str">
        <f t="shared" si="378"/>
        <v>0-3 months</v>
      </c>
      <c r="AU1244" s="22" t="s">
        <v>3744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3"/>
        <v>14000000</v>
      </c>
      <c r="AA1245" s="13">
        <v>7.5700000000000003E-2</v>
      </c>
      <c r="AB1245" s="21">
        <f t="shared" si="379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65"/>
        <v>499582152.5142017</v>
      </c>
      <c r="AJ1245" s="19">
        <f t="shared" si="366"/>
        <v>59520528.679470733</v>
      </c>
      <c r="AK1245" s="20">
        <f t="shared" si="373"/>
        <v>0.11914062257814291</v>
      </c>
      <c r="AL1245" s="17"/>
      <c r="AM1245" s="17"/>
      <c r="AN1245" s="17"/>
      <c r="AO1245" s="17"/>
      <c r="AP1245" s="28" t="str">
        <f t="shared" si="374"/>
        <v>CancelCancel</v>
      </c>
      <c r="AQ1245" s="28" t="str">
        <f t="shared" si="375"/>
        <v>CancelCancelJPY</v>
      </c>
      <c r="AR1245" s="206" t="str">
        <f t="shared" si="376"/>
        <v>YAMAHA_Mounter</v>
      </c>
      <c r="AS1245" s="22" t="str">
        <f t="shared" si="377"/>
        <v/>
      </c>
      <c r="AT1245" s="24" t="str">
        <f t="shared" si="378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3"/>
        <v>14000000</v>
      </c>
      <c r="AA1246" s="13">
        <v>7.5700000000000003E-2</v>
      </c>
      <c r="AB1246" s="21">
        <f t="shared" si="379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65"/>
        <v>499582152.5142017</v>
      </c>
      <c r="AJ1246" s="19">
        <f t="shared" si="366"/>
        <v>59520528.679470733</v>
      </c>
      <c r="AK1246" s="20">
        <f t="shared" si="373"/>
        <v>0.11914062257814291</v>
      </c>
      <c r="AL1246" s="17"/>
      <c r="AM1246" s="17"/>
      <c r="AN1246" s="17"/>
      <c r="AO1246" s="17"/>
      <c r="AP1246" s="28" t="str">
        <f t="shared" si="374"/>
        <v>CancelCancel</v>
      </c>
      <c r="AQ1246" s="28" t="str">
        <f t="shared" si="375"/>
        <v>CancelCancelJPY</v>
      </c>
      <c r="AR1246" s="206" t="str">
        <f t="shared" si="376"/>
        <v>YAMAHA_Mounter</v>
      </c>
      <c r="AS1246" s="22" t="str">
        <f t="shared" si="377"/>
        <v/>
      </c>
      <c r="AT1246" s="24" t="str">
        <f t="shared" si="378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3"/>
        <v>14000000</v>
      </c>
      <c r="AA1247" s="13">
        <v>7.5700000000000003E-2</v>
      </c>
      <c r="AB1247" s="21">
        <f t="shared" si="379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65"/>
        <v>499582152.5142017</v>
      </c>
      <c r="AJ1247" s="19">
        <f t="shared" si="366"/>
        <v>59520528.679470733</v>
      </c>
      <c r="AK1247" s="20">
        <f t="shared" si="373"/>
        <v>0.11914062257814291</v>
      </c>
      <c r="AL1247" s="17"/>
      <c r="AM1247" s="17"/>
      <c r="AN1247" s="17"/>
      <c r="AO1247" s="17"/>
      <c r="AP1247" s="28" t="str">
        <f t="shared" si="374"/>
        <v>CancelCancel</v>
      </c>
      <c r="AQ1247" s="28" t="str">
        <f t="shared" si="375"/>
        <v>CancelCancelJPY</v>
      </c>
      <c r="AR1247" s="206" t="str">
        <f t="shared" si="376"/>
        <v>YAMAHA_Mounter</v>
      </c>
      <c r="AS1247" s="22" t="str">
        <f t="shared" si="377"/>
        <v/>
      </c>
      <c r="AT1247" s="24" t="str">
        <f t="shared" si="378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3"/>
        <v>14000000</v>
      </c>
      <c r="AA1248" s="13">
        <v>7.5700000000000003E-2</v>
      </c>
      <c r="AB1248" s="21">
        <f t="shared" si="379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65"/>
        <v>499582152.5142017</v>
      </c>
      <c r="AJ1248" s="19">
        <f t="shared" si="366"/>
        <v>59520528.679470733</v>
      </c>
      <c r="AK1248" s="20">
        <f t="shared" si="373"/>
        <v>0.11914062257814291</v>
      </c>
      <c r="AL1248" s="17"/>
      <c r="AM1248" s="17"/>
      <c r="AN1248" s="17"/>
      <c r="AO1248" s="17"/>
      <c r="AP1248" s="28" t="str">
        <f t="shared" si="374"/>
        <v>CancelCancel</v>
      </c>
      <c r="AQ1248" s="28" t="str">
        <f t="shared" si="375"/>
        <v>CancelCancelJPY</v>
      </c>
      <c r="AR1248" s="206" t="str">
        <f t="shared" si="376"/>
        <v>YAMAHA_Mounter</v>
      </c>
      <c r="AS1248" s="22" t="str">
        <f t="shared" si="377"/>
        <v/>
      </c>
      <c r="AT1248" s="24" t="str">
        <f t="shared" si="378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3"/>
        <v>24000000</v>
      </c>
      <c r="AA1249" s="13">
        <v>7.5700000000000003E-2</v>
      </c>
      <c r="AB1249" s="21">
        <f t="shared" si="379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65"/>
        <v>499582152.5142017</v>
      </c>
      <c r="AJ1249" s="19">
        <f t="shared" si="366"/>
        <v>59520528.679470733</v>
      </c>
      <c r="AK1249" s="20">
        <f t="shared" si="373"/>
        <v>0.11914062257814291</v>
      </c>
      <c r="AL1249" s="17"/>
      <c r="AM1249" s="17"/>
      <c r="AN1249" s="17"/>
      <c r="AO1249" s="17"/>
      <c r="AP1249" s="28" t="str">
        <f t="shared" si="374"/>
        <v>CancelCancel</v>
      </c>
      <c r="AQ1249" s="28" t="str">
        <f t="shared" si="375"/>
        <v>CancelCancelJPY</v>
      </c>
      <c r="AR1249" s="206" t="str">
        <f t="shared" si="376"/>
        <v>YAMAHA_Mounter</v>
      </c>
      <c r="AS1249" s="22" t="str">
        <f t="shared" si="377"/>
        <v/>
      </c>
      <c r="AT1249" s="24" t="str">
        <f t="shared" si="378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3"/>
        <v>11000000</v>
      </c>
      <c r="AA1250" s="13">
        <v>7.2900000000000006E-2</v>
      </c>
      <c r="AB1250" s="21">
        <f t="shared" si="379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65"/>
        <v>27318180.088495575</v>
      </c>
      <c r="AJ1250" s="19">
        <f t="shared" si="366"/>
        <v>3014099.212353982</v>
      </c>
      <c r="AK1250" s="20">
        <f t="shared" si="373"/>
        <v>0.11033308963444827</v>
      </c>
      <c r="AL1250" s="17"/>
      <c r="AM1250" s="17"/>
      <c r="AN1250" s="17"/>
      <c r="AO1250" s="17"/>
      <c r="AP1250" s="28" t="str">
        <f t="shared" si="374"/>
        <v>201912</v>
      </c>
      <c r="AQ1250" s="28" t="str">
        <f t="shared" si="375"/>
        <v>201912JPY</v>
      </c>
      <c r="AR1250" s="206" t="str">
        <f t="shared" si="376"/>
        <v>YAMAHA_Mounter</v>
      </c>
      <c r="AS1250" s="22">
        <f t="shared" si="377"/>
        <v>1</v>
      </c>
      <c r="AT1250" s="24" t="str">
        <f t="shared" si="378"/>
        <v>0-3 months</v>
      </c>
      <c r="AU1250" s="22" t="s">
        <v>3745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3"/>
        <v>11000000</v>
      </c>
      <c r="AA1251" s="13">
        <v>7.2900000000000006E-2</v>
      </c>
      <c r="AB1251" s="21">
        <f t="shared" si="379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65"/>
        <v>27318180.088495575</v>
      </c>
      <c r="AJ1251" s="19">
        <f t="shared" si="366"/>
        <v>3014099.212353982</v>
      </c>
      <c r="AK1251" s="20">
        <f t="shared" si="373"/>
        <v>0.11033308963444827</v>
      </c>
      <c r="AL1251" s="17"/>
      <c r="AM1251" s="17"/>
      <c r="AN1251" s="17"/>
      <c r="AO1251" s="17"/>
      <c r="AP1251" s="28" t="str">
        <f t="shared" si="374"/>
        <v>201912</v>
      </c>
      <c r="AQ1251" s="28" t="str">
        <f t="shared" si="375"/>
        <v>201912JPY</v>
      </c>
      <c r="AR1251" s="206" t="str">
        <f t="shared" si="376"/>
        <v>YAMAHA_Mounter</v>
      </c>
      <c r="AS1251" s="22">
        <f t="shared" si="377"/>
        <v>1</v>
      </c>
      <c r="AT1251" s="24" t="str">
        <f t="shared" si="378"/>
        <v>0-3 months</v>
      </c>
      <c r="AU1251" s="22" t="s">
        <v>3745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3"/>
        <v>11000000</v>
      </c>
      <c r="AA1252" s="13">
        <v>7.2900000000000006E-2</v>
      </c>
      <c r="AB1252" s="21">
        <f t="shared" si="379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65"/>
        <v>27318180.088495575</v>
      </c>
      <c r="AJ1252" s="19">
        <f t="shared" si="366"/>
        <v>3014099.212353982</v>
      </c>
      <c r="AK1252" s="20">
        <f t="shared" si="373"/>
        <v>0.11033308963444827</v>
      </c>
      <c r="AL1252" s="17"/>
      <c r="AM1252" s="17"/>
      <c r="AN1252" s="17"/>
      <c r="AO1252" s="17"/>
      <c r="AP1252" s="28" t="str">
        <f t="shared" si="374"/>
        <v>201912</v>
      </c>
      <c r="AQ1252" s="28" t="str">
        <f t="shared" si="375"/>
        <v>201912JPY</v>
      </c>
      <c r="AR1252" s="206" t="str">
        <f t="shared" si="376"/>
        <v>YAMAHA_Mounter</v>
      </c>
      <c r="AS1252" s="22">
        <f t="shared" si="377"/>
        <v>1</v>
      </c>
      <c r="AT1252" s="24" t="str">
        <f t="shared" si="378"/>
        <v>0-3 months</v>
      </c>
      <c r="AU1252" s="22" t="s">
        <v>3745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3"/>
        <v>11000000</v>
      </c>
      <c r="AA1253" s="13">
        <v>7.2900000000000006E-2</v>
      </c>
      <c r="AB1253" s="21">
        <f t="shared" si="379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65"/>
        <v>27318180.088495575</v>
      </c>
      <c r="AJ1253" s="19">
        <f t="shared" si="366"/>
        <v>3014099.212353982</v>
      </c>
      <c r="AK1253" s="20">
        <f t="shared" si="373"/>
        <v>0.11033308963444827</v>
      </c>
      <c r="AL1253" s="17"/>
      <c r="AM1253" s="17"/>
      <c r="AN1253" s="17"/>
      <c r="AO1253" s="17"/>
      <c r="AP1253" s="28" t="str">
        <f t="shared" si="374"/>
        <v>201912</v>
      </c>
      <c r="AQ1253" s="28" t="str">
        <f t="shared" si="375"/>
        <v>201912JPY</v>
      </c>
      <c r="AR1253" s="206" t="str">
        <f t="shared" si="376"/>
        <v>YAMAHA_Mounter</v>
      </c>
      <c r="AS1253" s="22">
        <f t="shared" si="377"/>
        <v>1</v>
      </c>
      <c r="AT1253" s="24" t="str">
        <f t="shared" si="378"/>
        <v>0-3 months</v>
      </c>
      <c r="AU1253" s="22" t="s">
        <v>3745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3"/>
        <v>11000000</v>
      </c>
      <c r="AA1254" s="13">
        <v>7.2900000000000006E-2</v>
      </c>
      <c r="AB1254" s="21">
        <f t="shared" si="379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65"/>
        <v>27318180.088495575</v>
      </c>
      <c r="AJ1254" s="19">
        <f t="shared" si="366"/>
        <v>3014099.212353982</v>
      </c>
      <c r="AK1254" s="20">
        <f t="shared" si="373"/>
        <v>0.11033308963444827</v>
      </c>
      <c r="AL1254" s="17"/>
      <c r="AM1254" s="17"/>
      <c r="AN1254" s="17"/>
      <c r="AO1254" s="17"/>
      <c r="AP1254" s="28" t="str">
        <f t="shared" si="374"/>
        <v>201912</v>
      </c>
      <c r="AQ1254" s="28" t="str">
        <f t="shared" si="375"/>
        <v>201912JPY</v>
      </c>
      <c r="AR1254" s="206" t="str">
        <f t="shared" si="376"/>
        <v>YAMAHA_Mounter</v>
      </c>
      <c r="AS1254" s="22">
        <f t="shared" si="377"/>
        <v>1</v>
      </c>
      <c r="AT1254" s="24" t="str">
        <f t="shared" si="378"/>
        <v>0-3 months</v>
      </c>
      <c r="AU1254" s="22" t="s">
        <v>3745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3"/>
        <v>7750000</v>
      </c>
      <c r="AA1255" s="13">
        <v>7.2900000000000006E-2</v>
      </c>
      <c r="AB1255" s="21">
        <f t="shared" si="379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65"/>
        <v>27318180.088495575</v>
      </c>
      <c r="AJ1255" s="19">
        <f t="shared" si="366"/>
        <v>3014099.212353982</v>
      </c>
      <c r="AK1255" s="20">
        <f t="shared" si="373"/>
        <v>0.11033308963444827</v>
      </c>
      <c r="AL1255" s="17"/>
      <c r="AM1255" s="17"/>
      <c r="AN1255" s="17"/>
      <c r="AO1255" s="17"/>
      <c r="AP1255" s="28" t="str">
        <f t="shared" si="374"/>
        <v>201912</v>
      </c>
      <c r="AQ1255" s="28" t="str">
        <f t="shared" si="375"/>
        <v>201912JPY</v>
      </c>
      <c r="AR1255" s="206" t="str">
        <f t="shared" si="376"/>
        <v>YAMAHA_Mounter</v>
      </c>
      <c r="AS1255" s="22">
        <f t="shared" si="377"/>
        <v>1</v>
      </c>
      <c r="AT1255" s="24" t="str">
        <f t="shared" si="378"/>
        <v>0-3 months</v>
      </c>
      <c r="AU1255" s="22" t="s">
        <v>3745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3"/>
        <v>7750000</v>
      </c>
      <c r="AA1256" s="13">
        <v>7.2900000000000006E-2</v>
      </c>
      <c r="AB1256" s="21">
        <f t="shared" si="379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65"/>
        <v>27318180.088495575</v>
      </c>
      <c r="AJ1256" s="19">
        <f t="shared" si="366"/>
        <v>3014099.212353982</v>
      </c>
      <c r="AK1256" s="20">
        <f t="shared" si="373"/>
        <v>0.11033308963444827</v>
      </c>
      <c r="AL1256" s="17"/>
      <c r="AM1256" s="17"/>
      <c r="AN1256" s="17"/>
      <c r="AO1256" s="17"/>
      <c r="AP1256" s="28" t="str">
        <f t="shared" si="374"/>
        <v>201912</v>
      </c>
      <c r="AQ1256" s="28" t="str">
        <f t="shared" si="375"/>
        <v>201912JPY</v>
      </c>
      <c r="AR1256" s="206" t="str">
        <f t="shared" si="376"/>
        <v>YAMAHA_Mounter</v>
      </c>
      <c r="AS1256" s="22">
        <f t="shared" si="377"/>
        <v>1</v>
      </c>
      <c r="AT1256" s="24" t="str">
        <f t="shared" si="378"/>
        <v>0-3 months</v>
      </c>
      <c r="AU1256" s="22" t="s">
        <v>3745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3"/>
        <v>7750000</v>
      </c>
      <c r="AA1257" s="13">
        <v>7.2900000000000006E-2</v>
      </c>
      <c r="AB1257" s="21">
        <f t="shared" si="379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65"/>
        <v>27318180.088495575</v>
      </c>
      <c r="AJ1257" s="19">
        <f t="shared" si="366"/>
        <v>3014099.212353982</v>
      </c>
      <c r="AK1257" s="20">
        <f t="shared" si="373"/>
        <v>0.11033308963444827</v>
      </c>
      <c r="AL1257" s="17"/>
      <c r="AM1257" s="17"/>
      <c r="AN1257" s="17"/>
      <c r="AO1257" s="17"/>
      <c r="AP1257" s="28" t="str">
        <f t="shared" si="374"/>
        <v>201912</v>
      </c>
      <c r="AQ1257" s="28" t="str">
        <f t="shared" si="375"/>
        <v>201912JPY</v>
      </c>
      <c r="AR1257" s="206" t="str">
        <f t="shared" si="376"/>
        <v>YAMAHA_Mounter</v>
      </c>
      <c r="AS1257" s="22">
        <f t="shared" si="377"/>
        <v>1</v>
      </c>
      <c r="AT1257" s="24" t="str">
        <f t="shared" si="378"/>
        <v>0-3 months</v>
      </c>
      <c r="AU1257" s="22" t="s">
        <v>3745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3"/>
        <v>7750000</v>
      </c>
      <c r="AA1258" s="13">
        <v>7.2900000000000006E-2</v>
      </c>
      <c r="AB1258" s="21">
        <f t="shared" si="379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65"/>
        <v>27318180.088495575</v>
      </c>
      <c r="AJ1258" s="19">
        <f t="shared" si="366"/>
        <v>3014099.212353982</v>
      </c>
      <c r="AK1258" s="20">
        <f t="shared" si="373"/>
        <v>0.11033308963444827</v>
      </c>
      <c r="AL1258" s="17"/>
      <c r="AM1258" s="17"/>
      <c r="AN1258" s="17"/>
      <c r="AO1258" s="17"/>
      <c r="AP1258" s="28" t="str">
        <f t="shared" si="374"/>
        <v>201912</v>
      </c>
      <c r="AQ1258" s="28" t="str">
        <f t="shared" si="375"/>
        <v>201912JPY</v>
      </c>
      <c r="AR1258" s="206" t="str">
        <f t="shared" si="376"/>
        <v>YAMAHA_Mounter</v>
      </c>
      <c r="AS1258" s="22">
        <f t="shared" si="377"/>
        <v>1</v>
      </c>
      <c r="AT1258" s="24" t="str">
        <f t="shared" si="378"/>
        <v>0-3 months</v>
      </c>
      <c r="AU1258" s="22" t="s">
        <v>3745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0">IF(W1259="RMB","1.13", "1")</f>
        <v>1</v>
      </c>
      <c r="Z1259" s="18">
        <f t="shared" si="363"/>
        <v>7800000</v>
      </c>
      <c r="AA1259" s="13">
        <v>7.2800000000000004E-2</v>
      </c>
      <c r="AB1259" s="21">
        <f t="shared" si="379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65"/>
        <v>63006605.696460173</v>
      </c>
      <c r="AJ1259" s="19">
        <f t="shared" si="366"/>
        <v>8897485.660753984</v>
      </c>
      <c r="AK1259" s="20">
        <f t="shared" si="373"/>
        <v>0.141215124388995</v>
      </c>
      <c r="AL1259" s="17"/>
      <c r="AM1259" s="17"/>
      <c r="AN1259" s="17"/>
      <c r="AO1259" s="17"/>
      <c r="AP1259" s="28" t="str">
        <f t="shared" si="374"/>
        <v>20215</v>
      </c>
      <c r="AQ1259" s="28" t="str">
        <f t="shared" si="375"/>
        <v>20215JPY</v>
      </c>
      <c r="AR1259" s="206" t="str">
        <f t="shared" si="376"/>
        <v>YAMAHA_Mounter</v>
      </c>
      <c r="AS1259" s="22">
        <f t="shared" si="377"/>
        <v>3</v>
      </c>
      <c r="AT1259" s="24" t="str">
        <f t="shared" si="378"/>
        <v>0-3 months</v>
      </c>
      <c r="AU1259" s="22" t="s">
        <v>3745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0"/>
        <v>1</v>
      </c>
      <c r="Z1260" s="18">
        <f t="shared" si="363"/>
        <v>15000000</v>
      </c>
      <c r="AA1260" s="13">
        <v>7.2800000000000004E-2</v>
      </c>
      <c r="AB1260" s="21">
        <f t="shared" si="379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65"/>
        <v>63006605.696460173</v>
      </c>
      <c r="AJ1260" s="19">
        <f t="shared" si="366"/>
        <v>8897485.660753984</v>
      </c>
      <c r="AK1260" s="20">
        <f t="shared" si="373"/>
        <v>0.141215124388995</v>
      </c>
      <c r="AL1260" s="17"/>
      <c r="AM1260" s="17"/>
      <c r="AN1260" s="17"/>
      <c r="AO1260" s="17"/>
      <c r="AP1260" s="28" t="str">
        <f t="shared" si="374"/>
        <v>20215</v>
      </c>
      <c r="AQ1260" s="28" t="str">
        <f t="shared" si="375"/>
        <v>20215JPY</v>
      </c>
      <c r="AR1260" s="206" t="str">
        <f t="shared" si="376"/>
        <v>YAMAHA_Mounter</v>
      </c>
      <c r="AS1260" s="22">
        <f t="shared" si="377"/>
        <v>3</v>
      </c>
      <c r="AT1260" s="24" t="str">
        <f t="shared" si="378"/>
        <v>0-3 months</v>
      </c>
      <c r="AU1260" s="22" t="s">
        <v>3745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0"/>
        <v>1</v>
      </c>
      <c r="Z1261" s="18">
        <f t="shared" si="363"/>
        <v>15000000</v>
      </c>
      <c r="AA1261" s="13">
        <v>7.2800000000000004E-2</v>
      </c>
      <c r="AB1261" s="21">
        <f t="shared" si="379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65"/>
        <v>63006605.696460173</v>
      </c>
      <c r="AJ1261" s="19">
        <f t="shared" si="366"/>
        <v>8897485.660753984</v>
      </c>
      <c r="AK1261" s="20">
        <f t="shared" si="373"/>
        <v>0.141215124388995</v>
      </c>
      <c r="AL1261" s="17"/>
      <c r="AM1261" s="17"/>
      <c r="AN1261" s="17"/>
      <c r="AO1261" s="17"/>
      <c r="AP1261" s="28" t="str">
        <f t="shared" si="374"/>
        <v>20215</v>
      </c>
      <c r="AQ1261" s="28" t="str">
        <f t="shared" si="375"/>
        <v>20215JPY</v>
      </c>
      <c r="AR1261" s="206" t="str">
        <f t="shared" si="376"/>
        <v>YAMAHA_Mounter</v>
      </c>
      <c r="AS1261" s="22">
        <f t="shared" si="377"/>
        <v>3</v>
      </c>
      <c r="AT1261" s="24" t="str">
        <f t="shared" si="378"/>
        <v>0-3 months</v>
      </c>
      <c r="AU1261" s="22" t="s">
        <v>3745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0"/>
        <v>1</v>
      </c>
      <c r="Z1262" s="18">
        <f t="shared" ref="Z1262:Z1273" si="381">IF(X1262="","",X1262*MAX(O1262,N1262))</f>
        <v>8989000</v>
      </c>
      <c r="AA1262" s="13">
        <v>7.2099999999999997E-2</v>
      </c>
      <c r="AB1262" s="21">
        <f t="shared" si="379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65"/>
        <v>54700260.692079648</v>
      </c>
      <c r="AJ1262" s="19">
        <f t="shared" si="366"/>
        <v>7482899.5749188727</v>
      </c>
      <c r="AK1262" s="20">
        <f t="shared" si="373"/>
        <v>0.13679824337660537</v>
      </c>
      <c r="AL1262" s="17"/>
      <c r="AM1262" s="17"/>
      <c r="AN1262" s="17"/>
      <c r="AO1262" s="17"/>
      <c r="AP1262" s="28" t="str">
        <f t="shared" si="374"/>
        <v>20216</v>
      </c>
      <c r="AQ1262" s="28" t="str">
        <f t="shared" si="375"/>
        <v>20216JPY</v>
      </c>
      <c r="AR1262" s="206" t="str">
        <f t="shared" si="376"/>
        <v>YAMAHA_Mounter</v>
      </c>
      <c r="AS1262" s="22">
        <f t="shared" si="377"/>
        <v>0</v>
      </c>
      <c r="AT1262" s="24" t="str">
        <f t="shared" si="378"/>
        <v>0-3 months</v>
      </c>
      <c r="AU1262" s="22" t="s">
        <v>3745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0"/>
        <v>1</v>
      </c>
      <c r="Z1263" s="18">
        <f t="shared" si="381"/>
        <v>14345000</v>
      </c>
      <c r="AA1263" s="13">
        <v>5.4199999999999998E-2</v>
      </c>
      <c r="AB1263" s="21">
        <f t="shared" si="379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65"/>
        <v>499582152.5142017</v>
      </c>
      <c r="AJ1263" s="19">
        <f t="shared" si="366"/>
        <v>59520528.679470733</v>
      </c>
      <c r="AK1263" s="20">
        <f t="shared" si="373"/>
        <v>0.11914062257814291</v>
      </c>
      <c r="AL1263" s="17"/>
      <c r="AM1263" s="17"/>
      <c r="AN1263" s="17"/>
      <c r="AO1263" s="17"/>
      <c r="AP1263" s="28" t="str">
        <f t="shared" si="374"/>
        <v>CancelCancel</v>
      </c>
      <c r="AQ1263" s="28" t="str">
        <f t="shared" si="375"/>
        <v>CancelCancelJPY</v>
      </c>
      <c r="AR1263" s="206" t="str">
        <f t="shared" si="376"/>
        <v>YAMAHA_Mounter</v>
      </c>
      <c r="AS1263" s="22" t="str">
        <f t="shared" si="377"/>
        <v/>
      </c>
      <c r="AT1263" s="24" t="str">
        <f t="shared" si="378"/>
        <v/>
      </c>
      <c r="AU1263" s="22" t="s">
        <v>3745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0"/>
        <v>1</v>
      </c>
      <c r="Z1264" s="18">
        <f t="shared" si="381"/>
        <v>14345000</v>
      </c>
      <c r="AA1264" s="13">
        <v>5.4199999999999998E-2</v>
      </c>
      <c r="AB1264" s="21">
        <f t="shared" si="379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65"/>
        <v>499582152.5142017</v>
      </c>
      <c r="AJ1264" s="19">
        <f t="shared" si="366"/>
        <v>59520528.679470733</v>
      </c>
      <c r="AK1264" s="20">
        <f t="shared" si="373"/>
        <v>0.11914062257814291</v>
      </c>
      <c r="AL1264" s="17"/>
      <c r="AM1264" s="17"/>
      <c r="AN1264" s="17"/>
      <c r="AO1264" s="17"/>
      <c r="AP1264" s="28" t="str">
        <f t="shared" si="374"/>
        <v>CancelCancel</v>
      </c>
      <c r="AQ1264" s="28" t="str">
        <f t="shared" si="375"/>
        <v>CancelCancelJPY</v>
      </c>
      <c r="AR1264" s="206" t="str">
        <f t="shared" si="376"/>
        <v>YAMAHA_Mounter</v>
      </c>
      <c r="AS1264" s="22" t="str">
        <f t="shared" si="377"/>
        <v/>
      </c>
      <c r="AT1264" s="24" t="str">
        <f t="shared" si="378"/>
        <v/>
      </c>
      <c r="AU1264" s="22" t="s">
        <v>3745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0"/>
        <v>1</v>
      </c>
      <c r="Z1265" s="18">
        <f t="shared" si="381"/>
        <v>8989000</v>
      </c>
      <c r="AA1265" s="13">
        <v>5.4199999999999998E-2</v>
      </c>
      <c r="AB1265" s="21">
        <f t="shared" si="379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65"/>
        <v>499582152.5142017</v>
      </c>
      <c r="AJ1265" s="19">
        <f t="shared" si="366"/>
        <v>59520528.679470733</v>
      </c>
      <c r="AK1265" s="20">
        <f t="shared" si="373"/>
        <v>0.11914062257814291</v>
      </c>
      <c r="AL1265" s="17"/>
      <c r="AM1265" s="17"/>
      <c r="AN1265" s="17"/>
      <c r="AO1265" s="17"/>
      <c r="AP1265" s="28" t="str">
        <f t="shared" si="374"/>
        <v>CancelCancel</v>
      </c>
      <c r="AQ1265" s="28" t="str">
        <f t="shared" si="375"/>
        <v>CancelCancelJPY</v>
      </c>
      <c r="AR1265" s="206" t="str">
        <f t="shared" si="376"/>
        <v>YAMAHA_Mounter</v>
      </c>
      <c r="AS1265" s="22" t="str">
        <f t="shared" si="377"/>
        <v/>
      </c>
      <c r="AT1265" s="24" t="str">
        <f t="shared" si="378"/>
        <v/>
      </c>
      <c r="AU1265" s="22" t="s">
        <v>3745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0"/>
        <v>1</v>
      </c>
      <c r="Z1266" s="18">
        <f t="shared" si="381"/>
        <v>8989000</v>
      </c>
      <c r="AA1266" s="13">
        <v>5.4199999999999998E-2</v>
      </c>
      <c r="AB1266" s="21">
        <f t="shared" si="379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65"/>
        <v>499582152.5142017</v>
      </c>
      <c r="AJ1266" s="19">
        <f t="shared" si="366"/>
        <v>59520528.679470733</v>
      </c>
      <c r="AK1266" s="20">
        <f t="shared" si="373"/>
        <v>0.11914062257814291</v>
      </c>
      <c r="AL1266" s="17"/>
      <c r="AM1266" s="17"/>
      <c r="AN1266" s="17"/>
      <c r="AO1266" s="17"/>
      <c r="AP1266" s="28" t="str">
        <f t="shared" si="374"/>
        <v>CancelCancel</v>
      </c>
      <c r="AQ1266" s="28" t="str">
        <f t="shared" si="375"/>
        <v>CancelCancelJPY</v>
      </c>
      <c r="AR1266" s="206" t="str">
        <f t="shared" si="376"/>
        <v>YAMAHA_Mounter</v>
      </c>
      <c r="AS1266" s="22" t="str">
        <f t="shared" si="377"/>
        <v/>
      </c>
      <c r="AT1266" s="24" t="str">
        <f t="shared" si="378"/>
        <v/>
      </c>
      <c r="AU1266" s="22" t="s">
        <v>3745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0"/>
        <v>1</v>
      </c>
      <c r="Z1267" s="18">
        <f t="shared" si="381"/>
        <v>12165000</v>
      </c>
      <c r="AA1267" s="13">
        <v>7.0000000000000007E-2</v>
      </c>
      <c r="AB1267" s="21">
        <f t="shared" si="379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65"/>
        <v>29500529.005044252</v>
      </c>
      <c r="AJ1267" s="19">
        <f t="shared" si="366"/>
        <v>3253064.846231177</v>
      </c>
      <c r="AK1267" s="20">
        <f t="shared" si="373"/>
        <v>0.11027140718984871</v>
      </c>
      <c r="AL1267" s="17"/>
      <c r="AM1267" s="17"/>
      <c r="AN1267" s="17"/>
      <c r="AO1267" s="17"/>
      <c r="AP1267" s="28" t="str">
        <f t="shared" si="374"/>
        <v>202111</v>
      </c>
      <c r="AQ1267" s="28" t="str">
        <f t="shared" si="375"/>
        <v>202111JPY</v>
      </c>
      <c r="AR1267" s="206" t="str">
        <f t="shared" si="376"/>
        <v>YAMAHA_Mounter</v>
      </c>
      <c r="AS1267" s="22">
        <f t="shared" si="377"/>
        <v>6</v>
      </c>
      <c r="AT1267" s="24" t="str">
        <f t="shared" si="378"/>
        <v>4-6 months</v>
      </c>
      <c r="AU1267" s="22" t="s">
        <v>3745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1"/>
        <v>563500</v>
      </c>
      <c r="AA1268" s="13">
        <v>1.135</v>
      </c>
      <c r="AB1268" s="21">
        <f t="shared" si="379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65"/>
        <v>31296887.037898075</v>
      </c>
      <c r="AJ1268" s="19">
        <f t="shared" si="366"/>
        <v>3588873.9502021763</v>
      </c>
      <c r="AK1268" s="20">
        <f t="shared" si="373"/>
        <v>0.11467191436184473</v>
      </c>
      <c r="AL1268" s="17"/>
      <c r="AM1268" s="17"/>
      <c r="AN1268" s="17"/>
      <c r="AO1268" s="17"/>
      <c r="AP1268" s="28" t="str">
        <f t="shared" si="374"/>
        <v>20196</v>
      </c>
      <c r="AQ1268" s="28" t="str">
        <f t="shared" si="375"/>
        <v>20196RMB</v>
      </c>
      <c r="AR1268" s="206" t="str">
        <f t="shared" si="376"/>
        <v>YAMAHA_Mounter</v>
      </c>
      <c r="AS1268" s="22" t="str">
        <f t="shared" si="377"/>
        <v/>
      </c>
      <c r="AT1268" s="24" t="str">
        <f t="shared" si="378"/>
        <v/>
      </c>
      <c r="AU1268" s="22" t="s">
        <v>3744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1"/>
        <v>563500</v>
      </c>
      <c r="AA1269" s="13">
        <v>1.135</v>
      </c>
      <c r="AB1269" s="21">
        <f t="shared" si="379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65"/>
        <v>31296887.037898075</v>
      </c>
      <c r="AJ1269" s="19">
        <f t="shared" si="366"/>
        <v>3588873.9502021763</v>
      </c>
      <c r="AK1269" s="20">
        <f t="shared" si="373"/>
        <v>0.11467191436184473</v>
      </c>
      <c r="AL1269" s="17"/>
      <c r="AM1269" s="17"/>
      <c r="AN1269" s="17"/>
      <c r="AO1269" s="17"/>
      <c r="AP1269" s="28" t="str">
        <f t="shared" si="374"/>
        <v>20196</v>
      </c>
      <c r="AQ1269" s="28" t="str">
        <f t="shared" si="375"/>
        <v>20196RMB</v>
      </c>
      <c r="AR1269" s="206" t="str">
        <f t="shared" si="376"/>
        <v>YAMAHA_Mounter</v>
      </c>
      <c r="AS1269" s="22" t="str">
        <f t="shared" si="377"/>
        <v/>
      </c>
      <c r="AT1269" s="24" t="str">
        <f t="shared" si="378"/>
        <v/>
      </c>
      <c r="AU1269" s="22" t="s">
        <v>3744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1"/>
        <v>577500</v>
      </c>
      <c r="AA1270" s="13">
        <v>1.095</v>
      </c>
      <c r="AB1270" s="21">
        <f t="shared" si="379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65"/>
        <v>35384300.169380538</v>
      </c>
      <c r="AJ1270" s="19">
        <f t="shared" si="366"/>
        <v>5044538.8896988509</v>
      </c>
      <c r="AK1270" s="20">
        <f t="shared" si="373"/>
        <v>0.14256432557804533</v>
      </c>
      <c r="AL1270" s="17"/>
      <c r="AM1270" s="17"/>
      <c r="AN1270" s="17"/>
      <c r="AO1270" s="17"/>
      <c r="AP1270" s="28" t="str">
        <f t="shared" si="374"/>
        <v>20207</v>
      </c>
      <c r="AQ1270" s="28" t="str">
        <f t="shared" si="375"/>
        <v>20207RMB</v>
      </c>
      <c r="AR1270" s="206" t="str">
        <f t="shared" si="376"/>
        <v>YAMAHA_Mounter</v>
      </c>
      <c r="AS1270" s="22">
        <f t="shared" si="377"/>
        <v>1</v>
      </c>
      <c r="AT1270" s="24" t="str">
        <f t="shared" si="378"/>
        <v>0-3 months</v>
      </c>
      <c r="AU1270" s="22" t="s">
        <v>3744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1"/>
        <v>577500</v>
      </c>
      <c r="AA1271" s="13">
        <v>1.095</v>
      </c>
      <c r="AB1271" s="21">
        <f t="shared" si="379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65"/>
        <v>35384300.169380538</v>
      </c>
      <c r="AJ1271" s="19">
        <f t="shared" si="366"/>
        <v>5044538.8896988509</v>
      </c>
      <c r="AK1271" s="20">
        <f t="shared" si="373"/>
        <v>0.14256432557804533</v>
      </c>
      <c r="AL1271" s="17"/>
      <c r="AM1271" s="17"/>
      <c r="AN1271" s="17"/>
      <c r="AO1271" s="17"/>
      <c r="AP1271" s="28" t="str">
        <f t="shared" si="374"/>
        <v>20207</v>
      </c>
      <c r="AQ1271" s="28" t="str">
        <f t="shared" si="375"/>
        <v>20207RMB</v>
      </c>
      <c r="AR1271" s="206" t="str">
        <f t="shared" si="376"/>
        <v>YAMAHA_Mounter</v>
      </c>
      <c r="AS1271" s="22">
        <f t="shared" si="377"/>
        <v>1</v>
      </c>
      <c r="AT1271" s="24" t="str">
        <f t="shared" si="378"/>
        <v>0-3 months</v>
      </c>
      <c r="AU1271" s="22" t="s">
        <v>3744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1"/>
        <v>17000000</v>
      </c>
      <c r="AA1272" s="13">
        <v>6.9199999999999998E-2</v>
      </c>
      <c r="AB1272" s="21">
        <f t="shared" si="379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65"/>
        <v>28726768.133805312</v>
      </c>
      <c r="AJ1272" s="19">
        <f t="shared" si="366"/>
        <v>3853638.1988864429</v>
      </c>
      <c r="AK1272" s="20">
        <f t="shared" si="373"/>
        <v>0.1341479898099476</v>
      </c>
      <c r="AL1272" s="17"/>
      <c r="AM1272" s="17"/>
      <c r="AN1272" s="17"/>
      <c r="AO1272" s="17"/>
      <c r="AP1272" s="28" t="str">
        <f t="shared" si="374"/>
        <v>20223</v>
      </c>
      <c r="AQ1272" s="28" t="str">
        <f t="shared" si="375"/>
        <v>20223JPY</v>
      </c>
      <c r="AR1272" s="206" t="str">
        <f t="shared" si="376"/>
        <v>YAMAHA_Mounter</v>
      </c>
      <c r="AS1272" s="22">
        <f t="shared" si="377"/>
        <v>2</v>
      </c>
      <c r="AT1272" s="24" t="str">
        <f t="shared" si="378"/>
        <v>0-3 months</v>
      </c>
      <c r="AU1272" s="22" t="s">
        <v>3745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1"/>
        <v>11800000</v>
      </c>
      <c r="AA1273" s="13">
        <v>6.9199999999999998E-2</v>
      </c>
      <c r="AB1273" s="21">
        <f t="shared" si="379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65"/>
        <v>28726768.133805312</v>
      </c>
      <c r="AJ1273" s="19">
        <f t="shared" si="366"/>
        <v>3853638.1988864429</v>
      </c>
      <c r="AK1273" s="20">
        <f t="shared" si="373"/>
        <v>0.1341479898099476</v>
      </c>
      <c r="AL1273" s="17"/>
      <c r="AM1273" s="17"/>
      <c r="AN1273" s="17"/>
      <c r="AO1273" s="17"/>
      <c r="AP1273" s="28" t="str">
        <f t="shared" si="374"/>
        <v>20223</v>
      </c>
      <c r="AQ1273" s="28" t="str">
        <f t="shared" si="375"/>
        <v>20223JPY</v>
      </c>
      <c r="AR1273" s="206" t="str">
        <f t="shared" si="376"/>
        <v>YAMAHA_Mounter</v>
      </c>
      <c r="AS1273" s="22">
        <f t="shared" si="377"/>
        <v>2</v>
      </c>
      <c r="AT1273" s="24" t="str">
        <f t="shared" si="378"/>
        <v>0-3 months</v>
      </c>
      <c r="AU1273" s="22" t="s">
        <v>3745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79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65"/>
        <v>21241742.157380536</v>
      </c>
      <c r="AJ1274" s="27">
        <f t="shared" si="366"/>
        <v>2987081.1613773629</v>
      </c>
      <c r="AK1274" s="28">
        <f t="shared" si="373"/>
        <v>0.14062317201884914</v>
      </c>
      <c r="AL1274" s="24"/>
      <c r="AM1274" s="24"/>
      <c r="AN1274" s="24"/>
      <c r="AO1274" s="24"/>
      <c r="AP1274" s="28" t="str">
        <f t="shared" si="374"/>
        <v>20243</v>
      </c>
      <c r="AQ1274" s="28" t="str">
        <f t="shared" si="375"/>
        <v>20243JPY</v>
      </c>
      <c r="AR1274" s="206" t="str">
        <f t="shared" si="376"/>
        <v>YAMAHA_Mounter</v>
      </c>
      <c r="AS1274" s="22">
        <f t="shared" si="377"/>
        <v>0</v>
      </c>
      <c r="AT1274" s="24" t="str">
        <f t="shared" si="378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79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65"/>
        <v>21241742.157380536</v>
      </c>
      <c r="AJ1275" s="27">
        <f t="shared" si="366"/>
        <v>2987081.1613773629</v>
      </c>
      <c r="AK1275" s="28">
        <f t="shared" si="373"/>
        <v>0.14062317201884914</v>
      </c>
      <c r="AL1275" s="24"/>
      <c r="AM1275" s="24"/>
      <c r="AN1275" s="24"/>
      <c r="AO1275" s="24"/>
      <c r="AP1275" s="28" t="str">
        <f t="shared" si="374"/>
        <v>20243</v>
      </c>
      <c r="AQ1275" s="28" t="str">
        <f t="shared" si="375"/>
        <v>20243JPY</v>
      </c>
      <c r="AR1275" s="206" t="str">
        <f t="shared" si="376"/>
        <v>YAMAHA_Mounter</v>
      </c>
      <c r="AS1275" s="22">
        <f t="shared" si="377"/>
        <v>0</v>
      </c>
      <c r="AT1275" s="24" t="str">
        <f t="shared" si="378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2">IF(X1276="","",X1276*MAX(O1276,N1276))</f>
        <v>12000000</v>
      </c>
      <c r="AA1276" s="22">
        <v>5.0999999999999997E-2</v>
      </c>
      <c r="AB1276" s="21">
        <f t="shared" si="379"/>
        <v>612000</v>
      </c>
      <c r="AC1276" s="25">
        <f t="shared" si="371"/>
        <v>50428.800000000003</v>
      </c>
      <c r="AD1276" s="22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65"/>
        <v>11472879.764601771</v>
      </c>
      <c r="AJ1276" s="27">
        <f t="shared" si="366"/>
        <v>2038344.1716106194</v>
      </c>
      <c r="AK1276" s="28">
        <f t="shared" si="373"/>
        <v>0.17766630640544948</v>
      </c>
      <c r="AL1276" s="24"/>
      <c r="AM1276" s="24"/>
      <c r="AN1276" s="24"/>
      <c r="AO1276" s="24"/>
      <c r="AP1276" s="28" t="str">
        <f t="shared" si="374"/>
        <v>20245</v>
      </c>
      <c r="AQ1276" s="28" t="str">
        <f t="shared" si="375"/>
        <v>20245JPY</v>
      </c>
      <c r="AR1276" s="206" t="str">
        <f t="shared" si="376"/>
        <v>YAMAHA_Mounter</v>
      </c>
      <c r="AS1276" s="22">
        <f t="shared" si="377"/>
        <v>1</v>
      </c>
      <c r="AT1276" s="24" t="str">
        <f t="shared" si="378"/>
        <v>0-3 months</v>
      </c>
      <c r="AU1276" s="22" t="s">
        <v>3745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2"/>
        <v>9300000</v>
      </c>
      <c r="AA1277" s="22">
        <v>5.0999999999999997E-2</v>
      </c>
      <c r="AB1277" s="21">
        <f t="shared" si="379"/>
        <v>474299.99999999994</v>
      </c>
      <c r="AC1277" s="25">
        <f t="shared" si="371"/>
        <v>39082.319999999992</v>
      </c>
      <c r="AD1277" s="22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65"/>
        <v>11472879.764601771</v>
      </c>
      <c r="AJ1277" s="27">
        <f t="shared" si="366"/>
        <v>2038344.1716106194</v>
      </c>
      <c r="AK1277" s="28">
        <f t="shared" si="373"/>
        <v>0.17766630640544948</v>
      </c>
      <c r="AL1277" s="24"/>
      <c r="AM1277" s="24"/>
      <c r="AN1277" s="24"/>
      <c r="AO1277" s="24"/>
      <c r="AP1277" s="28" t="str">
        <f t="shared" si="374"/>
        <v>20245</v>
      </c>
      <c r="AQ1277" s="28" t="str">
        <f t="shared" si="375"/>
        <v>20245JPY</v>
      </c>
      <c r="AR1277" s="206" t="str">
        <f t="shared" si="376"/>
        <v>YAMAHA_Mounter</v>
      </c>
      <c r="AS1277" s="22">
        <f t="shared" si="377"/>
        <v>1</v>
      </c>
      <c r="AT1277" s="24" t="str">
        <f t="shared" si="378"/>
        <v>0-3 months</v>
      </c>
      <c r="AU1277" s="22" t="s">
        <v>3745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2"/>
        <v>1050000</v>
      </c>
      <c r="AA1278" s="13">
        <v>1.095</v>
      </c>
      <c r="AB1278" s="21">
        <f t="shared" si="379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65"/>
        <v>37599388.802345134</v>
      </c>
      <c r="AJ1278" s="19">
        <f t="shared" si="366"/>
        <v>4866784.3630338367</v>
      </c>
      <c r="AK1278" s="20">
        <f t="shared" si="373"/>
        <v>0.12943785838163113</v>
      </c>
      <c r="AL1278" s="17"/>
      <c r="AM1278" s="17"/>
      <c r="AN1278" s="17"/>
      <c r="AO1278" s="17"/>
      <c r="AP1278" s="28" t="str">
        <f t="shared" si="374"/>
        <v>20199</v>
      </c>
      <c r="AQ1278" s="28" t="str">
        <f t="shared" si="375"/>
        <v>20199RMB</v>
      </c>
      <c r="AR1278" s="206" t="str">
        <f t="shared" si="376"/>
        <v>YAMAHA_Mounter</v>
      </c>
      <c r="AS1278" s="22">
        <f t="shared" si="377"/>
        <v>0</v>
      </c>
      <c r="AT1278" s="24" t="str">
        <f t="shared" si="378"/>
        <v>0-3 months</v>
      </c>
      <c r="AU1278" s="22" t="s">
        <v>3744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2"/>
        <v>1050000</v>
      </c>
      <c r="AA1279" s="13">
        <v>1.095</v>
      </c>
      <c r="AB1279" s="21">
        <f t="shared" si="379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65"/>
        <v>37599388.802345134</v>
      </c>
      <c r="AJ1279" s="19">
        <f t="shared" si="366"/>
        <v>4866784.3630338367</v>
      </c>
      <c r="AK1279" s="20">
        <f t="shared" si="373"/>
        <v>0.12943785838163113</v>
      </c>
      <c r="AL1279" s="17"/>
      <c r="AM1279" s="17"/>
      <c r="AN1279" s="17"/>
      <c r="AO1279" s="17"/>
      <c r="AP1279" s="28" t="str">
        <f t="shared" si="374"/>
        <v>20199</v>
      </c>
      <c r="AQ1279" s="28" t="str">
        <f t="shared" si="375"/>
        <v>20199RMB</v>
      </c>
      <c r="AR1279" s="206" t="str">
        <f t="shared" si="376"/>
        <v>YAMAHA_Mounter</v>
      </c>
      <c r="AS1279" s="22">
        <f t="shared" si="377"/>
        <v>0</v>
      </c>
      <c r="AT1279" s="24" t="str">
        <f t="shared" si="378"/>
        <v>0-3 months</v>
      </c>
      <c r="AU1279" s="22" t="s">
        <v>3744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2"/>
        <v>1045000</v>
      </c>
      <c r="AA1280" s="13">
        <v>1.089</v>
      </c>
      <c r="AB1280" s="21">
        <f t="shared" si="379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65"/>
        <v>29183109.05575221</v>
      </c>
      <c r="AJ1280" s="19">
        <f t="shared" si="366"/>
        <v>3741266.5648721238</v>
      </c>
      <c r="AK1280" s="20">
        <f t="shared" si="373"/>
        <v>0.12819972531798121</v>
      </c>
      <c r="AL1280" s="17"/>
      <c r="AM1280" s="17"/>
      <c r="AN1280" s="17"/>
      <c r="AO1280" s="17"/>
      <c r="AP1280" s="28" t="str">
        <f t="shared" si="374"/>
        <v>20206</v>
      </c>
      <c r="AQ1280" s="28" t="str">
        <f t="shared" si="375"/>
        <v>20206RMB</v>
      </c>
      <c r="AR1280" s="206" t="str">
        <f t="shared" si="376"/>
        <v>YAMAHA_Mounter</v>
      </c>
      <c r="AS1280" s="22">
        <f t="shared" si="377"/>
        <v>1</v>
      </c>
      <c r="AT1280" s="24" t="str">
        <f t="shared" si="378"/>
        <v>0-3 months</v>
      </c>
      <c r="AU1280" s="22" t="s">
        <v>3744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2"/>
        <v>1045000</v>
      </c>
      <c r="AA1281" s="13">
        <v>1.089</v>
      </c>
      <c r="AB1281" s="21">
        <f t="shared" si="379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65"/>
        <v>29183109.05575221</v>
      </c>
      <c r="AJ1281" s="19">
        <f t="shared" si="366"/>
        <v>3741266.5648721238</v>
      </c>
      <c r="AK1281" s="20">
        <f t="shared" si="373"/>
        <v>0.12819972531798121</v>
      </c>
      <c r="AL1281" s="17"/>
      <c r="AM1281" s="17"/>
      <c r="AN1281" s="17"/>
      <c r="AO1281" s="17"/>
      <c r="AP1281" s="28" t="str">
        <f t="shared" si="374"/>
        <v>20206</v>
      </c>
      <c r="AQ1281" s="28" t="str">
        <f t="shared" si="375"/>
        <v>20206RMB</v>
      </c>
      <c r="AR1281" s="206" t="str">
        <f t="shared" si="376"/>
        <v>YAMAHA_Mounter</v>
      </c>
      <c r="AS1281" s="22">
        <f t="shared" si="377"/>
        <v>1</v>
      </c>
      <c r="AT1281" s="24" t="str">
        <f t="shared" si="378"/>
        <v>0-3 months</v>
      </c>
      <c r="AU1281" s="22" t="s">
        <v>3744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2"/>
        <v>332500</v>
      </c>
      <c r="AA1282" s="22">
        <v>1.083</v>
      </c>
      <c r="AB1282" s="21">
        <f t="shared" si="379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ref="AI1282:AI1345" si="383">IF(P1282="C66 SERVICE","",SUMIFS(AB:AB,F:F,F1282,G:G,G1282,E:E,E1282))</f>
        <v>11472879.764601771</v>
      </c>
      <c r="AJ1282" s="27">
        <f t="shared" ref="AJ1282:AJ1345" si="384">IF(P1282="C66 SERVICE","",SUMIFS(AC:AC,F:F,F1282,G:G,G1282,E:E,E1282))</f>
        <v>2038344.1716106194</v>
      </c>
      <c r="AK1282" s="28">
        <f t="shared" si="373"/>
        <v>0.17766630640544948</v>
      </c>
      <c r="AL1282" s="24"/>
      <c r="AM1282" s="24"/>
      <c r="AN1282" s="24"/>
      <c r="AO1282" s="24"/>
      <c r="AP1282" s="28" t="str">
        <f t="shared" si="374"/>
        <v>20245</v>
      </c>
      <c r="AQ1282" s="28" t="str">
        <f t="shared" si="375"/>
        <v>20245RMB</v>
      </c>
      <c r="AR1282" s="206" t="str">
        <f t="shared" si="376"/>
        <v>YAMAHA_Non_Mounter</v>
      </c>
      <c r="AS1282" s="22">
        <f t="shared" si="377"/>
        <v>1</v>
      </c>
      <c r="AT1282" s="24" t="str">
        <f t="shared" si="378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2"/>
        <v>13000000</v>
      </c>
      <c r="AA1283" s="13">
        <v>5.0999999999999997E-2</v>
      </c>
      <c r="AB1283" s="21">
        <f t="shared" si="379"/>
        <v>663000</v>
      </c>
      <c r="AC1283" s="25">
        <f t="shared" si="371"/>
        <v>80355.600000000006</v>
      </c>
      <c r="AD1283" s="22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83"/>
        <v>11472879.764601771</v>
      </c>
      <c r="AJ1283" s="27">
        <f t="shared" si="384"/>
        <v>2038344.1716106194</v>
      </c>
      <c r="AK1283" s="28">
        <f t="shared" si="373"/>
        <v>0.17766630640544948</v>
      </c>
      <c r="AL1283" s="24"/>
      <c r="AM1283" s="24"/>
      <c r="AN1283" s="24"/>
      <c r="AO1283" s="24"/>
      <c r="AP1283" s="28" t="str">
        <f t="shared" si="374"/>
        <v>20245</v>
      </c>
      <c r="AQ1283" s="28" t="str">
        <f t="shared" si="375"/>
        <v>20245JPY</v>
      </c>
      <c r="AR1283" s="206" t="str">
        <f t="shared" si="376"/>
        <v>YAMAHA_Mounter</v>
      </c>
      <c r="AS1283" s="22">
        <f t="shared" si="377"/>
        <v>2</v>
      </c>
      <c r="AT1283" s="24" t="str">
        <f t="shared" si="378"/>
        <v>0-3 months</v>
      </c>
      <c r="AU1283" s="22" t="s">
        <v>3745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2"/>
        <v>8600000</v>
      </c>
      <c r="AA1284" s="13">
        <v>5.0999999999999997E-2</v>
      </c>
      <c r="AB1284" s="21">
        <f t="shared" si="379"/>
        <v>438600</v>
      </c>
      <c r="AC1284" s="25">
        <f t="shared" si="371"/>
        <v>53158.32</v>
      </c>
      <c r="AD1284" s="22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83"/>
        <v>11472879.764601771</v>
      </c>
      <c r="AJ1284" s="27">
        <f t="shared" si="384"/>
        <v>2038344.1716106194</v>
      </c>
      <c r="AK1284" s="28">
        <f t="shared" si="373"/>
        <v>0.17766630640544948</v>
      </c>
      <c r="AL1284" s="24"/>
      <c r="AM1284" s="24"/>
      <c r="AN1284" s="24"/>
      <c r="AO1284" s="24"/>
      <c r="AP1284" s="28" t="str">
        <f t="shared" si="374"/>
        <v>20245</v>
      </c>
      <c r="AQ1284" s="28" t="str">
        <f t="shared" si="375"/>
        <v>20245JPY</v>
      </c>
      <c r="AR1284" s="206" t="str">
        <f t="shared" si="376"/>
        <v>YAMAHA_Mounter</v>
      </c>
      <c r="AS1284" s="22">
        <f t="shared" si="377"/>
        <v>2</v>
      </c>
      <c r="AT1284" s="24" t="str">
        <f t="shared" si="378"/>
        <v>0-3 months</v>
      </c>
      <c r="AU1284" s="22" t="s">
        <v>3745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2"/>
        <v>800000</v>
      </c>
      <c r="AA1285" s="13">
        <v>1.23</v>
      </c>
      <c r="AB1285" s="21">
        <f t="shared" si="379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83"/>
        <v>29288201.603076916</v>
      </c>
      <c r="AJ1285" s="19">
        <f t="shared" si="384"/>
        <v>3870159.1769246152</v>
      </c>
      <c r="AK1285" s="20">
        <f t="shared" si="37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4"/>
        <v>20184</v>
      </c>
      <c r="AQ1285" s="28" t="str">
        <f t="shared" si="375"/>
        <v>20184RMB</v>
      </c>
      <c r="AR1285" s="206" t="str">
        <f t="shared" si="376"/>
        <v>YAMAHA_Mounter</v>
      </c>
      <c r="AS1285" s="22">
        <f t="shared" si="377"/>
        <v>1</v>
      </c>
      <c r="AT1285" s="24" t="str">
        <f t="shared" si="378"/>
        <v>0-3 months</v>
      </c>
      <c r="AU1285" s="22" t="s">
        <v>3744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79"/>
        <v>688500</v>
      </c>
      <c r="AC1286" s="25">
        <f t="shared" ref="AC1286:AC1349" si="390">IF(R1286&lt;&gt;"",AB1286*AD1286,"")</f>
        <v>70089.3</v>
      </c>
      <c r="AD1286" s="22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83"/>
        <v>11472879.764601771</v>
      </c>
      <c r="AJ1286" s="27">
        <f t="shared" si="384"/>
        <v>2038344.1716106194</v>
      </c>
      <c r="AK1286" s="28">
        <f t="shared" ref="AK1286:AK1349" si="392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3">IF(F1286="","",F1286&amp;G1286)</f>
        <v>20245</v>
      </c>
      <c r="AQ1286" s="28" t="str">
        <f t="shared" ref="AQ1286:AQ1349" si="394">IF(W1286="","",F1286&amp;G1286&amp;W1286)</f>
        <v>20245JPY</v>
      </c>
      <c r="AR1286" s="206" t="str">
        <f t="shared" ref="AR1286:AR1349" si="395">IFERROR(IF(AND(M1286="YAMAHA", R1286="C28"), "YAMAHA_Non_Mounter", IF(AND(M1286="YAMAHA", R1286="C49"), "YAMAHA_Mounter", M1286)),"")</f>
        <v>YAMAHA_Mounter</v>
      </c>
      <c r="AS1286" s="22">
        <f t="shared" ref="AS1286:AS1349" si="396">IFERROR(IF(OR(G1286="TBA", G1286=""), "", DATEDIF(DATE(B1286, C1286, 1), DATE(F1286, G1286, 1), "M")),"")</f>
        <v>2</v>
      </c>
      <c r="AT1286" s="24" t="str">
        <f t="shared" ref="AT1286:AT1349" si="397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79"/>
        <v>688500</v>
      </c>
      <c r="AC1287" s="25">
        <f t="shared" si="390"/>
        <v>70089.3</v>
      </c>
      <c r="AD1287" s="22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83"/>
        <v>11472879.764601771</v>
      </c>
      <c r="AJ1287" s="27">
        <f t="shared" si="384"/>
        <v>2038344.1716106194</v>
      </c>
      <c r="AK1287" s="28">
        <f t="shared" si="392"/>
        <v>0.17766630640544948</v>
      </c>
      <c r="AL1287" s="24"/>
      <c r="AM1287" s="24"/>
      <c r="AN1287" s="24"/>
      <c r="AO1287" s="24"/>
      <c r="AP1287" s="28" t="str">
        <f t="shared" si="393"/>
        <v>20245</v>
      </c>
      <c r="AQ1287" s="28" t="str">
        <f t="shared" si="394"/>
        <v>20245JPY</v>
      </c>
      <c r="AR1287" s="206" t="str">
        <f t="shared" si="395"/>
        <v>YAMAHA_Mounter</v>
      </c>
      <c r="AS1287" s="22">
        <f t="shared" si="396"/>
        <v>2</v>
      </c>
      <c r="AT1287" s="24" t="str">
        <f t="shared" si="397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79"/>
        <v>462059.99999999994</v>
      </c>
      <c r="AC1288" s="25">
        <f t="shared" si="390"/>
        <v>47037.707999999991</v>
      </c>
      <c r="AD1288" s="22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83"/>
        <v>11472879.764601771</v>
      </c>
      <c r="AJ1288" s="27">
        <f t="shared" si="384"/>
        <v>2038344.1716106194</v>
      </c>
      <c r="AK1288" s="28">
        <f t="shared" si="392"/>
        <v>0.17766630640544948</v>
      </c>
      <c r="AL1288" s="24"/>
      <c r="AM1288" s="24"/>
      <c r="AN1288" s="24"/>
      <c r="AO1288" s="24"/>
      <c r="AP1288" s="28" t="str">
        <f t="shared" si="393"/>
        <v>20245</v>
      </c>
      <c r="AQ1288" s="28" t="str">
        <f t="shared" si="394"/>
        <v>20245JPY</v>
      </c>
      <c r="AR1288" s="206" t="str">
        <f t="shared" si="395"/>
        <v>YAMAHA_Mounter</v>
      </c>
      <c r="AS1288" s="22">
        <f t="shared" si="396"/>
        <v>2</v>
      </c>
      <c r="AT1288" s="24" t="str">
        <f t="shared" si="397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79"/>
        <v>462059.99999999994</v>
      </c>
      <c r="AC1289" s="25">
        <f t="shared" si="390"/>
        <v>47037.707999999991</v>
      </c>
      <c r="AD1289" s="22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83"/>
        <v>11472879.764601771</v>
      </c>
      <c r="AJ1289" s="27">
        <f t="shared" si="384"/>
        <v>2038344.1716106194</v>
      </c>
      <c r="AK1289" s="28">
        <f t="shared" si="392"/>
        <v>0.17766630640544948</v>
      </c>
      <c r="AL1289" s="24"/>
      <c r="AM1289" s="24"/>
      <c r="AN1289" s="24"/>
      <c r="AO1289" s="24"/>
      <c r="AP1289" s="28" t="str">
        <f t="shared" si="393"/>
        <v>20245</v>
      </c>
      <c r="AQ1289" s="28" t="str">
        <f t="shared" si="394"/>
        <v>20245JPY</v>
      </c>
      <c r="AR1289" s="206" t="str">
        <f t="shared" si="395"/>
        <v>YAMAHA_Mounter</v>
      </c>
      <c r="AS1289" s="22">
        <f t="shared" si="396"/>
        <v>2</v>
      </c>
      <c r="AT1289" s="24" t="str">
        <f t="shared" si="397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398">IF(X1290="","",X1290*MAX(O1290,N1290))</f>
        <v>11180000</v>
      </c>
      <c r="AA1290" s="13">
        <v>5.0999999999999997E-2</v>
      </c>
      <c r="AB1290" s="21">
        <f t="shared" si="379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83"/>
        <v>11472879.764601771</v>
      </c>
      <c r="AJ1290" s="27">
        <f t="shared" si="384"/>
        <v>2038344.1716106194</v>
      </c>
      <c r="AK1290" s="28">
        <f t="shared" si="392"/>
        <v>0.17766630640544948</v>
      </c>
      <c r="AL1290" s="24"/>
      <c r="AM1290" s="24"/>
      <c r="AN1290" s="24"/>
      <c r="AO1290" s="24"/>
      <c r="AP1290" s="28" t="str">
        <f t="shared" si="393"/>
        <v>20245</v>
      </c>
      <c r="AQ1290" s="28" t="str">
        <f t="shared" si="394"/>
        <v>20245JPY</v>
      </c>
      <c r="AR1290" s="206" t="str">
        <f t="shared" si="395"/>
        <v>YAMAHA_Mounter</v>
      </c>
      <c r="AS1290" s="22">
        <f t="shared" si="396"/>
        <v>2</v>
      </c>
      <c r="AT1290" s="24" t="str">
        <f t="shared" si="397"/>
        <v>0-3 months</v>
      </c>
      <c r="AU1290" s="22" t="s">
        <v>3746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398"/>
        <v>11180000</v>
      </c>
      <c r="AA1291" s="13">
        <v>5.0999999999999997E-2</v>
      </c>
      <c r="AB1291" s="21">
        <f t="shared" si="379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83"/>
        <v>11472879.764601771</v>
      </c>
      <c r="AJ1291" s="27">
        <f t="shared" si="384"/>
        <v>2038344.1716106194</v>
      </c>
      <c r="AK1291" s="28">
        <f t="shared" si="392"/>
        <v>0.17766630640544948</v>
      </c>
      <c r="AL1291" s="24"/>
      <c r="AM1291" s="24"/>
      <c r="AN1291" s="24"/>
      <c r="AO1291" s="24"/>
      <c r="AP1291" s="28" t="str">
        <f t="shared" si="393"/>
        <v>20245</v>
      </c>
      <c r="AQ1291" s="28" t="str">
        <f t="shared" si="394"/>
        <v>20245JPY</v>
      </c>
      <c r="AR1291" s="206" t="str">
        <f t="shared" si="395"/>
        <v>YAMAHA_Mounter</v>
      </c>
      <c r="AS1291" s="22">
        <f t="shared" si="396"/>
        <v>2</v>
      </c>
      <c r="AT1291" s="24" t="str">
        <f t="shared" si="397"/>
        <v>0-3 months</v>
      </c>
      <c r="AU1291" s="22" t="s">
        <v>3746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98"/>
        <v>1360000</v>
      </c>
      <c r="AA1292" s="13">
        <v>1.1100000000000001</v>
      </c>
      <c r="AB1292" s="21">
        <f t="shared" si="379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83"/>
        <v>499582152.5142017</v>
      </c>
      <c r="AJ1292" s="19">
        <f t="shared" si="384"/>
        <v>59520528.679470733</v>
      </c>
      <c r="AK1292" s="20">
        <f t="shared" si="392"/>
        <v>0.11914062257814291</v>
      </c>
      <c r="AL1292" s="17"/>
      <c r="AM1292" s="17"/>
      <c r="AN1292" s="17"/>
      <c r="AO1292" s="17"/>
      <c r="AP1292" s="28" t="str">
        <f t="shared" si="393"/>
        <v>CancelCancel</v>
      </c>
      <c r="AQ1292" s="28" t="str">
        <f t="shared" si="394"/>
        <v>CancelCancelRMB</v>
      </c>
      <c r="AR1292" s="206" t="str">
        <f t="shared" si="395"/>
        <v>YAMAHA_Mounter</v>
      </c>
      <c r="AS1292" s="22" t="str">
        <f t="shared" si="396"/>
        <v/>
      </c>
      <c r="AT1292" s="24" t="str">
        <f t="shared" si="397"/>
        <v/>
      </c>
      <c r="AU1292" s="22" t="s">
        <v>3744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98"/>
        <v>100000</v>
      </c>
      <c r="AA1293" s="22">
        <v>7.8</v>
      </c>
      <c r="AB1293" s="21">
        <f t="shared" si="379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83"/>
        <v>21241742.157380536</v>
      </c>
      <c r="AJ1293" s="27">
        <f t="shared" si="384"/>
        <v>2987081.1613773629</v>
      </c>
      <c r="AK1293" s="28">
        <f t="shared" si="392"/>
        <v>0.14062317201884914</v>
      </c>
      <c r="AL1293" s="24"/>
      <c r="AM1293" s="24"/>
      <c r="AN1293" s="24"/>
      <c r="AO1293" s="24"/>
      <c r="AP1293" s="28" t="str">
        <f t="shared" si="393"/>
        <v>20243</v>
      </c>
      <c r="AQ1293" s="28" t="str">
        <f t="shared" si="394"/>
        <v>20243USD</v>
      </c>
      <c r="AR1293" s="206" t="str">
        <f t="shared" si="395"/>
        <v>YAMAHA_Mounter</v>
      </c>
      <c r="AS1293" s="22">
        <f t="shared" si="396"/>
        <v>2</v>
      </c>
      <c r="AT1293" s="24" t="str">
        <f t="shared" si="397"/>
        <v>0-3 months</v>
      </c>
      <c r="AU1293" s="22" t="s">
        <v>3746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98"/>
        <v>88000</v>
      </c>
      <c r="AA1294" s="22">
        <v>7.8</v>
      </c>
      <c r="AB1294" s="21">
        <f t="shared" si="379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83"/>
        <v>21241742.157380536</v>
      </c>
      <c r="AJ1294" s="27">
        <f t="shared" si="384"/>
        <v>2987081.1613773629</v>
      </c>
      <c r="AK1294" s="28">
        <f t="shared" si="392"/>
        <v>0.14062317201884914</v>
      </c>
      <c r="AL1294" s="24"/>
      <c r="AM1294" s="24"/>
      <c r="AN1294" s="24"/>
      <c r="AO1294" s="24"/>
      <c r="AP1294" s="28" t="str">
        <f t="shared" si="393"/>
        <v>20243</v>
      </c>
      <c r="AQ1294" s="28" t="str">
        <f t="shared" si="394"/>
        <v>20243USD</v>
      </c>
      <c r="AR1294" s="206" t="str">
        <f t="shared" si="395"/>
        <v>YAMAHA_Mounter</v>
      </c>
      <c r="AS1294" s="22">
        <f t="shared" si="396"/>
        <v>2</v>
      </c>
      <c r="AT1294" s="24" t="str">
        <f t="shared" si="397"/>
        <v>0-3 months</v>
      </c>
      <c r="AU1294" s="22" t="s">
        <v>3746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98"/>
        <v>11180000</v>
      </c>
      <c r="AA1295" s="13">
        <v>5.0999999999999997E-2</v>
      </c>
      <c r="AB1295" s="21">
        <f t="shared" si="379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83"/>
        <v>11472879.764601771</v>
      </c>
      <c r="AJ1295" s="27">
        <f t="shared" si="384"/>
        <v>2038344.1716106194</v>
      </c>
      <c r="AK1295" s="28">
        <f t="shared" si="392"/>
        <v>0.17766630640544948</v>
      </c>
      <c r="AL1295" s="24"/>
      <c r="AM1295" s="24"/>
      <c r="AN1295" s="24"/>
      <c r="AO1295" s="24"/>
      <c r="AP1295" s="28" t="str">
        <f t="shared" si="393"/>
        <v>20245</v>
      </c>
      <c r="AQ1295" s="28" t="str">
        <f t="shared" si="394"/>
        <v>20245JPY</v>
      </c>
      <c r="AR1295" s="206" t="str">
        <f t="shared" si="395"/>
        <v>YAMAHA_Mounter</v>
      </c>
      <c r="AS1295" s="22">
        <f t="shared" si="396"/>
        <v>2</v>
      </c>
      <c r="AT1295" s="24" t="str">
        <f t="shared" si="397"/>
        <v>0-3 months</v>
      </c>
      <c r="AU1295" s="22" t="s">
        <v>3746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98"/>
        <v>1050000</v>
      </c>
      <c r="AA1296" s="22">
        <v>1.083</v>
      </c>
      <c r="AB1296" s="21">
        <f t="shared" si="379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83"/>
        <v>499582152.5142017</v>
      </c>
      <c r="AJ1296" s="19">
        <f t="shared" si="384"/>
        <v>59520528.679470733</v>
      </c>
      <c r="AK1296" s="20">
        <f t="shared" si="392"/>
        <v>0.11914062257814291</v>
      </c>
      <c r="AL1296" s="17"/>
      <c r="AM1296" s="17"/>
      <c r="AN1296" s="17"/>
      <c r="AO1296" s="17"/>
      <c r="AP1296" s="28" t="str">
        <f t="shared" si="393"/>
        <v>CancelCancel</v>
      </c>
      <c r="AQ1296" s="28" t="str">
        <f t="shared" si="394"/>
        <v>CancelCancelRMB</v>
      </c>
      <c r="AR1296" s="206" t="str">
        <f t="shared" si="395"/>
        <v>YAMAHA_Mounter</v>
      </c>
      <c r="AS1296" s="22" t="str">
        <f t="shared" si="396"/>
        <v/>
      </c>
      <c r="AT1296" s="24" t="str">
        <f t="shared" si="397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98"/>
        <v>800000</v>
      </c>
      <c r="AA1297" s="13">
        <v>1.135</v>
      </c>
      <c r="AB1297" s="21">
        <f t="shared" si="379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83"/>
        <v>28177779.013274338</v>
      </c>
      <c r="AJ1297" s="19">
        <f t="shared" si="384"/>
        <v>4727216.6376190251</v>
      </c>
      <c r="AK1297" s="20">
        <f t="shared" si="392"/>
        <v>0.1677639900359808</v>
      </c>
      <c r="AL1297" s="17"/>
      <c r="AM1297" s="17"/>
      <c r="AN1297" s="17"/>
      <c r="AO1297" s="17"/>
      <c r="AP1297" s="28" t="str">
        <f t="shared" si="393"/>
        <v>20235</v>
      </c>
      <c r="AQ1297" s="28" t="str">
        <f t="shared" si="394"/>
        <v>20235RMB</v>
      </c>
      <c r="AR1297" s="206" t="str">
        <f t="shared" si="395"/>
        <v>YAMAHA_Mounter</v>
      </c>
      <c r="AS1297" s="22">
        <f t="shared" si="396"/>
        <v>1</v>
      </c>
      <c r="AT1297" s="24" t="str">
        <f t="shared" si="397"/>
        <v>0-3 months</v>
      </c>
      <c r="AU1297" s="22" t="s">
        <v>3751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98"/>
        <v>1120000</v>
      </c>
      <c r="AA1298" s="13">
        <v>1.135</v>
      </c>
      <c r="AB1298" s="21">
        <f t="shared" si="379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83"/>
        <v>28177779.013274338</v>
      </c>
      <c r="AJ1298" s="19">
        <f t="shared" si="384"/>
        <v>4727216.6376190251</v>
      </c>
      <c r="AK1298" s="20">
        <f t="shared" si="392"/>
        <v>0.1677639900359808</v>
      </c>
      <c r="AL1298" s="17"/>
      <c r="AM1298" s="17"/>
      <c r="AN1298" s="17"/>
      <c r="AO1298" s="17"/>
      <c r="AP1298" s="28" t="str">
        <f t="shared" si="393"/>
        <v>20235</v>
      </c>
      <c r="AQ1298" s="28" t="str">
        <f t="shared" si="394"/>
        <v>20235RMB</v>
      </c>
      <c r="AR1298" s="206" t="str">
        <f t="shared" si="395"/>
        <v>YAMAHA_Mounter</v>
      </c>
      <c r="AS1298" s="22">
        <f t="shared" si="396"/>
        <v>1</v>
      </c>
      <c r="AT1298" s="24" t="str">
        <f t="shared" si="397"/>
        <v>0-3 months</v>
      </c>
      <c r="AU1298" s="22" t="s">
        <v>3751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98"/>
        <v>9116260</v>
      </c>
      <c r="AA1299" s="13">
        <v>7.22E-2</v>
      </c>
      <c r="AB1299" s="21">
        <f t="shared" si="379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83"/>
        <v>29946107.503386207</v>
      </c>
      <c r="AJ1299" s="19">
        <f t="shared" si="384"/>
        <v>3987206.4954923098</v>
      </c>
      <c r="AK1299" s="20">
        <f t="shared" si="392"/>
        <v>0.13314606898547499</v>
      </c>
      <c r="AL1299" s="17"/>
      <c r="AM1299" s="17"/>
      <c r="AN1299" s="17"/>
      <c r="AO1299" s="17"/>
      <c r="AP1299" s="28" t="str">
        <f t="shared" si="393"/>
        <v>20187</v>
      </c>
      <c r="AQ1299" s="28" t="str">
        <f t="shared" si="394"/>
        <v>20187JPY</v>
      </c>
      <c r="AR1299" s="206" t="str">
        <f t="shared" si="395"/>
        <v>YAMAHA_Mounter</v>
      </c>
      <c r="AS1299" s="22">
        <f t="shared" si="396"/>
        <v>1</v>
      </c>
      <c r="AT1299" s="24" t="str">
        <f t="shared" si="397"/>
        <v>0-3 months</v>
      </c>
      <c r="AU1299" s="22" t="s">
        <v>3745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98"/>
        <v>1000000</v>
      </c>
      <c r="AA1300" s="13">
        <v>1.135</v>
      </c>
      <c r="AB1300" s="21">
        <f t="shared" si="379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83"/>
        <v>34015877.71150443</v>
      </c>
      <c r="AJ1300" s="19">
        <f t="shared" si="384"/>
        <v>4446292.375441948</v>
      </c>
      <c r="AK1300" s="20">
        <f t="shared" si="392"/>
        <v>0.13071226364205143</v>
      </c>
      <c r="AL1300" s="17"/>
      <c r="AM1300" s="17"/>
      <c r="AN1300" s="17"/>
      <c r="AO1300" s="17"/>
      <c r="AP1300" s="28" t="str">
        <f t="shared" si="393"/>
        <v>20197</v>
      </c>
      <c r="AQ1300" s="28" t="str">
        <f t="shared" si="394"/>
        <v>20197RMB</v>
      </c>
      <c r="AR1300" s="206" t="str">
        <f t="shared" si="395"/>
        <v>YAMAHA_Mounter</v>
      </c>
      <c r="AS1300" s="22">
        <f t="shared" si="396"/>
        <v>1</v>
      </c>
      <c r="AT1300" s="24" t="str">
        <f t="shared" si="397"/>
        <v>0-3 months</v>
      </c>
      <c r="AU1300" s="22" t="s">
        <v>3744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98"/>
        <v>730000</v>
      </c>
      <c r="AA1301" s="13">
        <v>1.135</v>
      </c>
      <c r="AB1301" s="21">
        <f t="shared" si="379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83"/>
        <v>34015877.71150443</v>
      </c>
      <c r="AJ1301" s="19">
        <f t="shared" si="384"/>
        <v>4446292.375441948</v>
      </c>
      <c r="AK1301" s="20">
        <f t="shared" si="392"/>
        <v>0.13071226364205143</v>
      </c>
      <c r="AL1301" s="17"/>
      <c r="AM1301" s="17"/>
      <c r="AN1301" s="17"/>
      <c r="AO1301" s="17"/>
      <c r="AP1301" s="28" t="str">
        <f t="shared" si="393"/>
        <v>20197</v>
      </c>
      <c r="AQ1301" s="28" t="str">
        <f t="shared" si="394"/>
        <v>20197RMB</v>
      </c>
      <c r="AR1301" s="206" t="str">
        <f t="shared" si="395"/>
        <v>YAMAHA_Mounter</v>
      </c>
      <c r="AS1301" s="22">
        <f t="shared" si="396"/>
        <v>1</v>
      </c>
      <c r="AT1301" s="24" t="str">
        <f t="shared" si="397"/>
        <v>0-3 months</v>
      </c>
      <c r="AU1301" s="22" t="s">
        <v>3744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98"/>
        <v>950000</v>
      </c>
      <c r="AA1302" s="13">
        <v>1.155</v>
      </c>
      <c r="AB1302" s="21">
        <f t="shared" si="379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83"/>
        <v>44078731.611185849</v>
      </c>
      <c r="AJ1302" s="19">
        <f t="shared" si="384"/>
        <v>5508173.2163771465</v>
      </c>
      <c r="AK1302" s="20">
        <f t="shared" si="392"/>
        <v>0.12496215328889679</v>
      </c>
      <c r="AL1302" s="17"/>
      <c r="AM1302" s="17"/>
      <c r="AN1302" s="17"/>
      <c r="AO1302" s="17"/>
      <c r="AP1302" s="28" t="str">
        <f t="shared" si="393"/>
        <v>202011</v>
      </c>
      <c r="AQ1302" s="28" t="str">
        <f t="shared" si="394"/>
        <v>202011RMB</v>
      </c>
      <c r="AR1302" s="206" t="str">
        <f t="shared" si="395"/>
        <v>YAMAHA_Mounter</v>
      </c>
      <c r="AS1302" s="22">
        <f t="shared" si="396"/>
        <v>3</v>
      </c>
      <c r="AT1302" s="24" t="str">
        <f t="shared" si="397"/>
        <v>0-3 months</v>
      </c>
      <c r="AU1302" s="22" t="s">
        <v>3744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98"/>
        <v>650000</v>
      </c>
      <c r="AA1303" s="13">
        <v>1.155</v>
      </c>
      <c r="AB1303" s="21">
        <f t="shared" si="379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83"/>
        <v>44078731.611185849</v>
      </c>
      <c r="AJ1303" s="19">
        <f t="shared" si="384"/>
        <v>5508173.2163771465</v>
      </c>
      <c r="AK1303" s="20">
        <f t="shared" si="392"/>
        <v>0.12496215328889679</v>
      </c>
      <c r="AL1303" s="17"/>
      <c r="AM1303" s="17"/>
      <c r="AN1303" s="17"/>
      <c r="AO1303" s="17"/>
      <c r="AP1303" s="28" t="str">
        <f t="shared" si="393"/>
        <v>202011</v>
      </c>
      <c r="AQ1303" s="28" t="str">
        <f t="shared" si="394"/>
        <v>202011RMB</v>
      </c>
      <c r="AR1303" s="206" t="str">
        <f t="shared" si="395"/>
        <v>YAMAHA_Mounter</v>
      </c>
      <c r="AS1303" s="22">
        <f t="shared" si="396"/>
        <v>3</v>
      </c>
      <c r="AT1303" s="24" t="str">
        <f t="shared" si="397"/>
        <v>0-3 months</v>
      </c>
      <c r="AU1303" s="22" t="s">
        <v>3744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98"/>
        <v>11600000</v>
      </c>
      <c r="AA1304" s="13">
        <v>5.0999999999999997E-2</v>
      </c>
      <c r="AB1304" s="21">
        <f t="shared" si="379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83"/>
        <v>11472879.764601771</v>
      </c>
      <c r="AJ1304" s="27">
        <f t="shared" si="384"/>
        <v>2038344.1716106194</v>
      </c>
      <c r="AK1304" s="28">
        <f t="shared" si="392"/>
        <v>0.17766630640544948</v>
      </c>
      <c r="AL1304" s="24"/>
      <c r="AM1304" s="24"/>
      <c r="AN1304" s="24"/>
      <c r="AO1304" s="24"/>
      <c r="AP1304" s="28" t="str">
        <f t="shared" si="393"/>
        <v>20245</v>
      </c>
      <c r="AQ1304" s="28" t="str">
        <f t="shared" si="394"/>
        <v>20245JPY</v>
      </c>
      <c r="AR1304" s="206" t="str">
        <f t="shared" si="395"/>
        <v>YAMAHA_Non_Mounter</v>
      </c>
      <c r="AS1304" s="22">
        <f t="shared" si="396"/>
        <v>2</v>
      </c>
      <c r="AT1304" s="24" t="str">
        <f t="shared" si="397"/>
        <v>0-3 months</v>
      </c>
      <c r="AU1304" s="22" t="s">
        <v>3746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98"/>
        <v>51000</v>
      </c>
      <c r="AA1305" s="22">
        <v>7.8</v>
      </c>
      <c r="AB1305" s="21">
        <f t="shared" si="379"/>
        <v>397800</v>
      </c>
      <c r="AC1305" s="25">
        <f t="shared" si="390"/>
        <v>87913.8</v>
      </c>
      <c r="AD1305" s="22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83"/>
        <v>11472879.764601771</v>
      </c>
      <c r="AJ1305" s="27">
        <f t="shared" si="384"/>
        <v>2038344.1716106194</v>
      </c>
      <c r="AK1305" s="28">
        <f t="shared" si="392"/>
        <v>0.17766630640544948</v>
      </c>
      <c r="AL1305" s="24"/>
      <c r="AM1305" s="24"/>
      <c r="AN1305" s="24"/>
      <c r="AO1305" s="24"/>
      <c r="AP1305" s="28" t="str">
        <f t="shared" si="393"/>
        <v>20245</v>
      </c>
      <c r="AQ1305" s="28" t="str">
        <f t="shared" si="394"/>
        <v>20245USD</v>
      </c>
      <c r="AR1305" s="206" t="str">
        <f t="shared" si="395"/>
        <v>PEMTRON</v>
      </c>
      <c r="AS1305" s="22">
        <f t="shared" si="396"/>
        <v>2</v>
      </c>
      <c r="AT1305" s="24" t="str">
        <f t="shared" si="397"/>
        <v>0-3 months</v>
      </c>
      <c r="AU1305" s="22" t="s">
        <v>3746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98"/>
        <v>730000</v>
      </c>
      <c r="AA1306" s="13">
        <v>1.07</v>
      </c>
      <c r="AB1306" s="21">
        <f t="shared" si="379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83"/>
        <v>5219988.5752212387</v>
      </c>
      <c r="AJ1306" s="19">
        <f t="shared" si="384"/>
        <v>631627.0013460177</v>
      </c>
      <c r="AK1306" s="20">
        <f t="shared" si="392"/>
        <v>0.12100160608478869</v>
      </c>
      <c r="AL1306" s="17"/>
      <c r="AM1306" s="17"/>
      <c r="AN1306" s="17"/>
      <c r="AO1306" s="17"/>
      <c r="AP1306" s="28" t="str">
        <f t="shared" si="393"/>
        <v>202310</v>
      </c>
      <c r="AQ1306" s="28" t="str">
        <f t="shared" si="394"/>
        <v>202310RMB</v>
      </c>
      <c r="AR1306" s="206" t="str">
        <f t="shared" si="395"/>
        <v>YAMAHA_Mounter</v>
      </c>
      <c r="AS1306" s="22">
        <f t="shared" si="396"/>
        <v>1</v>
      </c>
      <c r="AT1306" s="24" t="str">
        <f t="shared" si="397"/>
        <v>0-3 months</v>
      </c>
      <c r="AU1306" s="22" t="s">
        <v>3751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98"/>
        <v>850000</v>
      </c>
      <c r="AA1307" s="13">
        <v>1.175</v>
      </c>
      <c r="AB1307" s="21">
        <f t="shared" ref="AB1307:AB1362" si="399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83"/>
        <v>35682787.057522126</v>
      </c>
      <c r="AJ1307" s="19">
        <f t="shared" si="384"/>
        <v>5833368.3789623892</v>
      </c>
      <c r="AK1307" s="20">
        <f t="shared" si="392"/>
        <v>0.16347849649632912</v>
      </c>
      <c r="AL1307" s="17"/>
      <c r="AM1307" s="17"/>
      <c r="AN1307" s="17"/>
      <c r="AO1307" s="17"/>
      <c r="AP1307" s="28" t="str">
        <f t="shared" si="393"/>
        <v>20226</v>
      </c>
      <c r="AQ1307" s="28" t="str">
        <f t="shared" si="394"/>
        <v>20226RMB</v>
      </c>
      <c r="AR1307" s="206" t="str">
        <f t="shared" si="395"/>
        <v>YAMAHA_Mounter</v>
      </c>
      <c r="AS1307" s="22">
        <f t="shared" si="396"/>
        <v>3</v>
      </c>
      <c r="AT1307" s="24" t="str">
        <f t="shared" si="397"/>
        <v>0-3 months</v>
      </c>
      <c r="AU1307" s="22" t="s">
        <v>3751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98"/>
        <v>520000</v>
      </c>
      <c r="AA1308" s="13">
        <v>1.1299999999999999</v>
      </c>
      <c r="AB1308" s="21">
        <f t="shared" si="399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83"/>
        <v>33543315.897345133</v>
      </c>
      <c r="AJ1308" s="19">
        <f t="shared" si="384"/>
        <v>4706169.3252984071</v>
      </c>
      <c r="AK1308" s="20">
        <f t="shared" si="392"/>
        <v>0.14030125523967318</v>
      </c>
      <c r="AL1308" s="17"/>
      <c r="AM1308" s="17"/>
      <c r="AN1308" s="17"/>
      <c r="AO1308" s="17"/>
      <c r="AP1308" s="28" t="str">
        <f t="shared" si="393"/>
        <v>20233</v>
      </c>
      <c r="AQ1308" s="28" t="str">
        <f t="shared" si="394"/>
        <v>20233RMB</v>
      </c>
      <c r="AR1308" s="206" t="str">
        <f t="shared" si="395"/>
        <v>YAMAHA_Mounter</v>
      </c>
      <c r="AS1308" s="22">
        <f t="shared" si="396"/>
        <v>1</v>
      </c>
      <c r="AT1308" s="24" t="str">
        <f t="shared" si="397"/>
        <v>0-3 months</v>
      </c>
      <c r="AU1308" s="22" t="s">
        <v>3751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98"/>
        <v>714000</v>
      </c>
      <c r="AA1309" s="13">
        <v>1.1399999999999999</v>
      </c>
      <c r="AB1309" s="21">
        <f t="shared" si="399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83"/>
        <v>30573205.452778768</v>
      </c>
      <c r="AJ1309" s="19">
        <f t="shared" si="384"/>
        <v>3790930.1683151261</v>
      </c>
      <c r="AK1309" s="20">
        <f t="shared" si="392"/>
        <v>0.12399518179964254</v>
      </c>
      <c r="AL1309" s="17"/>
      <c r="AM1309" s="17"/>
      <c r="AN1309" s="17"/>
      <c r="AO1309" s="17"/>
      <c r="AP1309" s="28" t="str">
        <f t="shared" si="393"/>
        <v>20234</v>
      </c>
      <c r="AQ1309" s="28" t="str">
        <f t="shared" si="394"/>
        <v>20234RMB</v>
      </c>
      <c r="AR1309" s="206" t="str">
        <f t="shared" si="395"/>
        <v>YAMAHA_Mounter</v>
      </c>
      <c r="AS1309" s="22">
        <f t="shared" si="396"/>
        <v>0</v>
      </c>
      <c r="AT1309" s="24" t="str">
        <f t="shared" si="397"/>
        <v>0-3 months</v>
      </c>
      <c r="AU1309" s="22" t="s">
        <v>3751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98"/>
        <v>714000</v>
      </c>
      <c r="AA1310" s="13">
        <v>1.1399999999999999</v>
      </c>
      <c r="AB1310" s="21">
        <f t="shared" si="399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83"/>
        <v>30573205.452778768</v>
      </c>
      <c r="AJ1310" s="19">
        <f t="shared" si="384"/>
        <v>3790930.1683151261</v>
      </c>
      <c r="AK1310" s="20">
        <f t="shared" si="392"/>
        <v>0.12399518179964254</v>
      </c>
      <c r="AL1310" s="17"/>
      <c r="AM1310" s="17"/>
      <c r="AN1310" s="17"/>
      <c r="AO1310" s="17"/>
      <c r="AP1310" s="28" t="str">
        <f t="shared" si="393"/>
        <v>20234</v>
      </c>
      <c r="AQ1310" s="28" t="str">
        <f t="shared" si="394"/>
        <v>20234RMB</v>
      </c>
      <c r="AR1310" s="206" t="str">
        <f t="shared" si="395"/>
        <v>YAMAHA_Mounter</v>
      </c>
      <c r="AS1310" s="22">
        <f t="shared" si="396"/>
        <v>0</v>
      </c>
      <c r="AT1310" s="24" t="str">
        <f t="shared" si="397"/>
        <v>0-3 months</v>
      </c>
      <c r="AU1310" s="22" t="s">
        <v>3751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98"/>
        <v>11800000</v>
      </c>
      <c r="AA1311" s="22">
        <v>5.3100000000000001E-2</v>
      </c>
      <c r="AB1311" s="21">
        <f t="shared" si="399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83"/>
        <v>21241742.157380536</v>
      </c>
      <c r="AJ1311" s="27">
        <f t="shared" si="384"/>
        <v>2987081.1613773629</v>
      </c>
      <c r="AK1311" s="28">
        <f t="shared" si="392"/>
        <v>0.14062317201884914</v>
      </c>
      <c r="AL1311" s="24"/>
      <c r="AM1311" s="24"/>
      <c r="AN1311" s="24"/>
      <c r="AO1311" s="24"/>
      <c r="AP1311" s="28" t="str">
        <f t="shared" si="393"/>
        <v>20243</v>
      </c>
      <c r="AQ1311" s="28" t="str">
        <f t="shared" si="394"/>
        <v>20243JPY</v>
      </c>
      <c r="AR1311" s="206" t="str">
        <f t="shared" si="395"/>
        <v>YAMAHA_Mounter</v>
      </c>
      <c r="AS1311" s="22">
        <f t="shared" si="396"/>
        <v>0</v>
      </c>
      <c r="AT1311" s="24" t="str">
        <f t="shared" si="397"/>
        <v>0-3 months</v>
      </c>
      <c r="AU1311" s="22" t="s">
        <v>3745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98"/>
        <v>580000</v>
      </c>
      <c r="AA1312" s="13">
        <v>1.105</v>
      </c>
      <c r="AB1312" s="21">
        <f t="shared" si="399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83"/>
        <v>37969334.083628319</v>
      </c>
      <c r="AJ1312" s="19">
        <f t="shared" si="384"/>
        <v>5097226.4551657084</v>
      </c>
      <c r="AK1312" s="20">
        <f t="shared" si="392"/>
        <v>0.13424587441904964</v>
      </c>
      <c r="AL1312" s="17"/>
      <c r="AM1312" s="17"/>
      <c r="AN1312" s="17"/>
      <c r="AO1312" s="17"/>
      <c r="AP1312" s="28" t="str">
        <f t="shared" si="393"/>
        <v>20208</v>
      </c>
      <c r="AQ1312" s="28" t="str">
        <f t="shared" si="394"/>
        <v>20208RMB</v>
      </c>
      <c r="AR1312" s="206" t="str">
        <f t="shared" si="395"/>
        <v>YAMAHA_Mounter</v>
      </c>
      <c r="AS1312" s="22">
        <f t="shared" si="396"/>
        <v>4</v>
      </c>
      <c r="AT1312" s="24" t="str">
        <f t="shared" si="397"/>
        <v>4-6 months</v>
      </c>
      <c r="AU1312" s="22" t="s">
        <v>3744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98"/>
        <v>810000</v>
      </c>
      <c r="AA1313" s="13">
        <v>1.1950000000000001</v>
      </c>
      <c r="AB1313" s="21">
        <f t="shared" si="399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83"/>
        <v>44014086.982070789</v>
      </c>
      <c r="AJ1313" s="19">
        <f t="shared" si="384"/>
        <v>6419974.0221889298</v>
      </c>
      <c r="AK1313" s="20">
        <f t="shared" si="392"/>
        <v>0.14586180158193709</v>
      </c>
      <c r="AL1313" s="17"/>
      <c r="AM1313" s="17"/>
      <c r="AN1313" s="17"/>
      <c r="AO1313" s="17"/>
      <c r="AP1313" s="28" t="str">
        <f t="shared" si="393"/>
        <v>20225</v>
      </c>
      <c r="AQ1313" s="28" t="str">
        <f t="shared" si="394"/>
        <v>20225RMB</v>
      </c>
      <c r="AR1313" s="206" t="str">
        <f t="shared" si="395"/>
        <v>YAMAHA_Mounter</v>
      </c>
      <c r="AS1313" s="22">
        <f t="shared" si="396"/>
        <v>3</v>
      </c>
      <c r="AT1313" s="24" t="str">
        <f t="shared" si="397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98"/>
        <v>750000</v>
      </c>
      <c r="AA1314" s="13">
        <v>1.1950000000000001</v>
      </c>
      <c r="AB1314" s="21">
        <f t="shared" si="399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83"/>
        <v>44014086.982070789</v>
      </c>
      <c r="AJ1314" s="19">
        <f t="shared" si="384"/>
        <v>6419974.0221889298</v>
      </c>
      <c r="AK1314" s="20">
        <f t="shared" si="392"/>
        <v>0.14586180158193709</v>
      </c>
      <c r="AL1314" s="17"/>
      <c r="AM1314" s="17"/>
      <c r="AN1314" s="17"/>
      <c r="AO1314" s="17"/>
      <c r="AP1314" s="28" t="str">
        <f t="shared" si="393"/>
        <v>20225</v>
      </c>
      <c r="AQ1314" s="28" t="str">
        <f t="shared" si="394"/>
        <v>20225RMB</v>
      </c>
      <c r="AR1314" s="206" t="str">
        <f t="shared" si="395"/>
        <v>YAMAHA_Mounter</v>
      </c>
      <c r="AS1314" s="22">
        <f t="shared" si="396"/>
        <v>0</v>
      </c>
      <c r="AT1314" s="24" t="str">
        <f t="shared" si="397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98"/>
        <v>750000</v>
      </c>
      <c r="AA1315" s="13">
        <v>1.1399999999999999</v>
      </c>
      <c r="AB1315" s="21">
        <f t="shared" si="399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83"/>
        <v>30573205.452778768</v>
      </c>
      <c r="AJ1315" s="19">
        <f t="shared" si="384"/>
        <v>3790930.1683151261</v>
      </c>
      <c r="AK1315" s="20">
        <f t="shared" si="392"/>
        <v>0.12399518179964254</v>
      </c>
      <c r="AL1315" s="17"/>
      <c r="AM1315" s="17"/>
      <c r="AN1315" s="17"/>
      <c r="AO1315" s="17"/>
      <c r="AP1315" s="28" t="str">
        <f t="shared" si="393"/>
        <v>20234</v>
      </c>
      <c r="AQ1315" s="28" t="str">
        <f t="shared" si="394"/>
        <v>20234RMB</v>
      </c>
      <c r="AR1315" s="206" t="str">
        <f t="shared" si="395"/>
        <v>YAMAHA_Mounter</v>
      </c>
      <c r="AS1315" s="22">
        <f t="shared" si="396"/>
        <v>1</v>
      </c>
      <c r="AT1315" s="24" t="str">
        <f t="shared" si="397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98"/>
        <v>21800000</v>
      </c>
      <c r="AA1316" s="13">
        <v>6.9199999999999998E-2</v>
      </c>
      <c r="AB1316" s="21">
        <f t="shared" si="399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83"/>
        <v>28726768.133805312</v>
      </c>
      <c r="AJ1316" s="19">
        <f t="shared" si="384"/>
        <v>3853638.1988864429</v>
      </c>
      <c r="AK1316" s="20">
        <f t="shared" si="392"/>
        <v>0.1341479898099476</v>
      </c>
      <c r="AL1316" s="17"/>
      <c r="AM1316" s="17"/>
      <c r="AN1316" s="17"/>
      <c r="AO1316" s="17"/>
      <c r="AP1316" s="28" t="str">
        <f t="shared" si="393"/>
        <v>20223</v>
      </c>
      <c r="AQ1316" s="28" t="str">
        <f t="shared" si="394"/>
        <v>20223JPY</v>
      </c>
      <c r="AR1316" s="206" t="str">
        <f t="shared" si="395"/>
        <v>YAMAHA_Mounter</v>
      </c>
      <c r="AS1316" s="22">
        <f t="shared" si="396"/>
        <v>7</v>
      </c>
      <c r="AT1316" s="24" t="str">
        <f t="shared" si="397"/>
        <v>&gt; 6 months</v>
      </c>
      <c r="AU1316" s="22" t="s">
        <v>3745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98"/>
        <v>21800000</v>
      </c>
      <c r="AA1317" s="13">
        <v>6.9199999999999998E-2</v>
      </c>
      <c r="AB1317" s="21">
        <f t="shared" si="399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83"/>
        <v>28726768.133805312</v>
      </c>
      <c r="AJ1317" s="19">
        <f t="shared" si="384"/>
        <v>3853638.1988864429</v>
      </c>
      <c r="AK1317" s="20">
        <f t="shared" si="392"/>
        <v>0.1341479898099476</v>
      </c>
      <c r="AL1317" s="17"/>
      <c r="AM1317" s="17"/>
      <c r="AN1317" s="17"/>
      <c r="AO1317" s="17"/>
      <c r="AP1317" s="28" t="str">
        <f t="shared" si="393"/>
        <v>20223</v>
      </c>
      <c r="AQ1317" s="28" t="str">
        <f t="shared" si="394"/>
        <v>20223JPY</v>
      </c>
      <c r="AR1317" s="206" t="str">
        <f t="shared" si="395"/>
        <v>YAMAHA_Mounter</v>
      </c>
      <c r="AS1317" s="22">
        <f t="shared" si="396"/>
        <v>7</v>
      </c>
      <c r="AT1317" s="24" t="str">
        <f t="shared" si="397"/>
        <v>&gt; 6 months</v>
      </c>
      <c r="AU1317" s="22" t="s">
        <v>3745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98"/>
        <v>78000</v>
      </c>
      <c r="AA1318" s="22">
        <v>7.8</v>
      </c>
      <c r="AB1318" s="21">
        <f t="shared" si="399"/>
        <v>608400</v>
      </c>
      <c r="AC1318" s="25">
        <f t="shared" si="390"/>
        <v>193106.16</v>
      </c>
      <c r="AD1318" s="22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83"/>
        <v>11472879.764601771</v>
      </c>
      <c r="AJ1318" s="27">
        <f t="shared" si="384"/>
        <v>2038344.1716106194</v>
      </c>
      <c r="AK1318" s="28">
        <f t="shared" si="392"/>
        <v>0.17766630640544948</v>
      </c>
      <c r="AL1318" s="24"/>
      <c r="AM1318" s="24"/>
      <c r="AN1318" s="24"/>
      <c r="AO1318" s="24"/>
      <c r="AP1318" s="28" t="str">
        <f t="shared" si="393"/>
        <v>20245</v>
      </c>
      <c r="AQ1318" s="28" t="str">
        <f t="shared" si="394"/>
        <v>20245USD</v>
      </c>
      <c r="AR1318" s="206" t="str">
        <f t="shared" si="395"/>
        <v>HELLER</v>
      </c>
      <c r="AS1318" s="22">
        <f t="shared" si="396"/>
        <v>2</v>
      </c>
      <c r="AT1318" s="24" t="str">
        <f t="shared" si="397"/>
        <v>0-3 months</v>
      </c>
      <c r="AU1318" s="22" t="s">
        <v>3746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98"/>
        <v>1090000</v>
      </c>
      <c r="AA1319" s="13">
        <v>1.2</v>
      </c>
      <c r="AB1319" s="21">
        <f t="shared" si="399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83"/>
        <v>57778307.282035396</v>
      </c>
      <c r="AJ1319" s="19">
        <f t="shared" si="384"/>
        <v>7259860.7225420559</v>
      </c>
      <c r="AK1319" s="20">
        <f t="shared" si="392"/>
        <v>0.12565028406083667</v>
      </c>
      <c r="AL1319" s="17"/>
      <c r="AM1319" s="17"/>
      <c r="AN1319" s="17"/>
      <c r="AO1319" s="17"/>
      <c r="AP1319" s="28" t="str">
        <f t="shared" si="393"/>
        <v>20213</v>
      </c>
      <c r="AQ1319" s="28" t="str">
        <f t="shared" si="394"/>
        <v>20213RMB</v>
      </c>
      <c r="AR1319" s="206" t="str">
        <f t="shared" si="395"/>
        <v>YAMAHA_Mounter</v>
      </c>
      <c r="AS1319" s="22">
        <f t="shared" si="396"/>
        <v>3</v>
      </c>
      <c r="AT1319" s="24" t="str">
        <f t="shared" si="397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98"/>
        <v>780000</v>
      </c>
      <c r="AA1320" s="13">
        <v>1.2</v>
      </c>
      <c r="AB1320" s="21">
        <f t="shared" si="399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83"/>
        <v>57778307.282035396</v>
      </c>
      <c r="AJ1320" s="19">
        <f t="shared" si="384"/>
        <v>7259860.7225420559</v>
      </c>
      <c r="AK1320" s="20">
        <f t="shared" si="392"/>
        <v>0.12565028406083667</v>
      </c>
      <c r="AL1320" s="17"/>
      <c r="AM1320" s="17"/>
      <c r="AN1320" s="17"/>
      <c r="AO1320" s="17"/>
      <c r="AP1320" s="28" t="str">
        <f t="shared" si="393"/>
        <v>20213</v>
      </c>
      <c r="AQ1320" s="28" t="str">
        <f t="shared" si="394"/>
        <v>20213RMB</v>
      </c>
      <c r="AR1320" s="206" t="str">
        <f t="shared" si="395"/>
        <v>YAMAHA_Mounter</v>
      </c>
      <c r="AS1320" s="22">
        <f t="shared" si="396"/>
        <v>3</v>
      </c>
      <c r="AT1320" s="24" t="str">
        <f t="shared" si="397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98"/>
        <v>780000</v>
      </c>
      <c r="AA1321" s="13">
        <v>1.2</v>
      </c>
      <c r="AB1321" s="21">
        <f t="shared" si="399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83"/>
        <v>57778307.282035396</v>
      </c>
      <c r="AJ1321" s="19">
        <f t="shared" si="384"/>
        <v>7259860.7225420559</v>
      </c>
      <c r="AK1321" s="20">
        <f t="shared" si="392"/>
        <v>0.12565028406083667</v>
      </c>
      <c r="AL1321" s="17"/>
      <c r="AM1321" s="17"/>
      <c r="AN1321" s="17"/>
      <c r="AO1321" s="17"/>
      <c r="AP1321" s="28" t="str">
        <f t="shared" si="393"/>
        <v>20213</v>
      </c>
      <c r="AQ1321" s="28" t="str">
        <f t="shared" si="394"/>
        <v>20213RMB</v>
      </c>
      <c r="AR1321" s="206" t="str">
        <f t="shared" si="395"/>
        <v>YAMAHA_Mounter</v>
      </c>
      <c r="AS1321" s="22">
        <f t="shared" si="396"/>
        <v>3</v>
      </c>
      <c r="AT1321" s="24" t="str">
        <f t="shared" si="397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98"/>
        <v>290000</v>
      </c>
      <c r="AA1322" s="22">
        <v>1</v>
      </c>
      <c r="AB1322" s="21">
        <f t="shared" si="399"/>
        <v>290000</v>
      </c>
      <c r="AC1322" s="25">
        <f t="shared" si="390"/>
        <v>142158</v>
      </c>
      <c r="AD1322" s="22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83"/>
        <v>11472879.764601771</v>
      </c>
      <c r="AJ1322" s="27">
        <f t="shared" si="384"/>
        <v>2038344.1716106194</v>
      </c>
      <c r="AK1322" s="28">
        <f t="shared" si="392"/>
        <v>0.17766630640544948</v>
      </c>
      <c r="AL1322" s="24"/>
      <c r="AM1322" s="24"/>
      <c r="AN1322" s="24"/>
      <c r="AO1322" s="24"/>
      <c r="AP1322" s="28" t="str">
        <f t="shared" si="393"/>
        <v>20245</v>
      </c>
      <c r="AQ1322" s="28" t="str">
        <f t="shared" si="394"/>
        <v>20245HKD</v>
      </c>
      <c r="AR1322" s="206" t="str">
        <f t="shared" si="395"/>
        <v>LOCAL SUPPLIER</v>
      </c>
      <c r="AS1322" s="22">
        <f t="shared" si="396"/>
        <v>2</v>
      </c>
      <c r="AT1322" s="24" t="str">
        <f t="shared" si="397"/>
        <v>0-3 months</v>
      </c>
      <c r="AU1322" s="22" t="s">
        <v>3746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0">IF(W1323="RMB","1.13", "1")</f>
        <v>1</v>
      </c>
      <c r="Z1323" s="18">
        <f t="shared" si="398"/>
        <v>11800000</v>
      </c>
      <c r="AA1323" s="13">
        <v>7.0999999999999994E-2</v>
      </c>
      <c r="AB1323" s="21">
        <f t="shared" si="399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83"/>
        <v>15533177.71460177</v>
      </c>
      <c r="AJ1323" s="19">
        <f t="shared" si="384"/>
        <v>1819298.5437526547</v>
      </c>
      <c r="AK1323" s="20">
        <f t="shared" si="392"/>
        <v>0.11712339723265033</v>
      </c>
      <c r="AL1323" s="17"/>
      <c r="AM1323" s="17"/>
      <c r="AN1323" s="17"/>
      <c r="AO1323" s="17"/>
      <c r="AP1323" s="28" t="str">
        <f t="shared" si="393"/>
        <v>202110</v>
      </c>
      <c r="AQ1323" s="28" t="str">
        <f t="shared" si="394"/>
        <v>202110JPY</v>
      </c>
      <c r="AR1323" s="206" t="str">
        <f t="shared" si="395"/>
        <v>YAMAHA_Mounter</v>
      </c>
      <c r="AS1323" s="22">
        <f t="shared" si="396"/>
        <v>7</v>
      </c>
      <c r="AT1323" s="24" t="str">
        <f t="shared" si="397"/>
        <v>&gt; 6 months</v>
      </c>
      <c r="AU1323" s="22" t="s">
        <v>3745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0"/>
        <v>1</v>
      </c>
      <c r="Z1324" s="18">
        <f t="shared" si="398"/>
        <v>13000000</v>
      </c>
      <c r="AA1324" s="13">
        <v>5.8700000000000002E-2</v>
      </c>
      <c r="AB1324" s="21">
        <f t="shared" si="399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83"/>
        <v>36480247.665929198</v>
      </c>
      <c r="AJ1324" s="19">
        <f t="shared" si="384"/>
        <v>5330996.6372757526</v>
      </c>
      <c r="AK1324" s="20">
        <f t="shared" si="392"/>
        <v>0.14613378412599562</v>
      </c>
      <c r="AL1324" s="17"/>
      <c r="AM1324" s="17"/>
      <c r="AN1324" s="17"/>
      <c r="AO1324" s="17"/>
      <c r="AP1324" s="28" t="str">
        <f t="shared" si="393"/>
        <v>20227</v>
      </c>
      <c r="AQ1324" s="28" t="str">
        <f t="shared" si="394"/>
        <v>20227JPY</v>
      </c>
      <c r="AR1324" s="206" t="str">
        <f t="shared" si="395"/>
        <v>YAMAHA_Mounter</v>
      </c>
      <c r="AS1324" s="22">
        <f t="shared" si="396"/>
        <v>4</v>
      </c>
      <c r="AT1324" s="24" t="str">
        <f t="shared" si="397"/>
        <v>4-6 months</v>
      </c>
      <c r="AU1324" s="22" t="s">
        <v>3746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0"/>
        <v>1</v>
      </c>
      <c r="Z1325" s="18">
        <f t="shared" si="398"/>
        <v>13000000</v>
      </c>
      <c r="AA1325" s="13">
        <v>5.8700000000000002E-2</v>
      </c>
      <c r="AB1325" s="21">
        <f t="shared" si="399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83"/>
        <v>36480247.665929198</v>
      </c>
      <c r="AJ1325" s="19">
        <f t="shared" si="384"/>
        <v>5330996.6372757526</v>
      </c>
      <c r="AK1325" s="20">
        <f t="shared" si="392"/>
        <v>0.14613378412599562</v>
      </c>
      <c r="AL1325" s="17"/>
      <c r="AM1325" s="17"/>
      <c r="AN1325" s="17"/>
      <c r="AO1325" s="17"/>
      <c r="AP1325" s="28" t="str">
        <f t="shared" si="393"/>
        <v>20227</v>
      </c>
      <c r="AQ1325" s="28" t="str">
        <f t="shared" si="394"/>
        <v>20227JPY</v>
      </c>
      <c r="AR1325" s="206" t="str">
        <f t="shared" si="395"/>
        <v>YAMAHA_Mounter</v>
      </c>
      <c r="AS1325" s="22">
        <f t="shared" si="396"/>
        <v>4</v>
      </c>
      <c r="AT1325" s="24" t="str">
        <f t="shared" si="397"/>
        <v>4-6 months</v>
      </c>
      <c r="AU1325" s="22" t="s">
        <v>3746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0"/>
        <v>1</v>
      </c>
      <c r="Z1326" s="18">
        <f t="shared" si="398"/>
        <v>13000000</v>
      </c>
      <c r="AA1326" s="13">
        <v>5.8700000000000002E-2</v>
      </c>
      <c r="AB1326" s="21">
        <f t="shared" si="399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83"/>
        <v>36480247.665929198</v>
      </c>
      <c r="AJ1326" s="19">
        <f t="shared" si="384"/>
        <v>5330996.6372757526</v>
      </c>
      <c r="AK1326" s="20">
        <f t="shared" si="392"/>
        <v>0.14613378412599562</v>
      </c>
      <c r="AL1326" s="17"/>
      <c r="AM1326" s="17"/>
      <c r="AN1326" s="17"/>
      <c r="AO1326" s="17"/>
      <c r="AP1326" s="28" t="str">
        <f t="shared" si="393"/>
        <v>20227</v>
      </c>
      <c r="AQ1326" s="28" t="str">
        <f t="shared" si="394"/>
        <v>20227JPY</v>
      </c>
      <c r="AR1326" s="206" t="str">
        <f t="shared" si="395"/>
        <v>YAMAHA_Mounter</v>
      </c>
      <c r="AS1326" s="22">
        <f t="shared" si="396"/>
        <v>4</v>
      </c>
      <c r="AT1326" s="24" t="str">
        <f t="shared" si="397"/>
        <v>4-6 months</v>
      </c>
      <c r="AU1326" s="22" t="s">
        <v>3746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0"/>
        <v>1</v>
      </c>
      <c r="Z1327" s="18">
        <f t="shared" si="398"/>
        <v>13000000</v>
      </c>
      <c r="AA1327" s="13">
        <v>5.8700000000000002E-2</v>
      </c>
      <c r="AB1327" s="21">
        <f t="shared" si="399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83"/>
        <v>36480247.665929198</v>
      </c>
      <c r="AJ1327" s="19">
        <f t="shared" si="384"/>
        <v>5330996.6372757526</v>
      </c>
      <c r="AK1327" s="20">
        <f t="shared" si="392"/>
        <v>0.14613378412599562</v>
      </c>
      <c r="AL1327" s="17"/>
      <c r="AM1327" s="17"/>
      <c r="AN1327" s="17"/>
      <c r="AO1327" s="17"/>
      <c r="AP1327" s="28" t="str">
        <f t="shared" si="393"/>
        <v>20227</v>
      </c>
      <c r="AQ1327" s="28" t="str">
        <f t="shared" si="394"/>
        <v>20227JPY</v>
      </c>
      <c r="AR1327" s="206" t="str">
        <f t="shared" si="395"/>
        <v>YAMAHA_Mounter</v>
      </c>
      <c r="AS1327" s="22">
        <f t="shared" si="396"/>
        <v>4</v>
      </c>
      <c r="AT1327" s="24" t="str">
        <f t="shared" si="397"/>
        <v>4-6 months</v>
      </c>
      <c r="AU1327" s="22" t="s">
        <v>3746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0"/>
        <v>1</v>
      </c>
      <c r="Z1328" s="18">
        <f t="shared" si="398"/>
        <v>13000000</v>
      </c>
      <c r="AA1328" s="13">
        <v>5.8700000000000002E-2</v>
      </c>
      <c r="AB1328" s="21">
        <f t="shared" si="399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83"/>
        <v>36480247.665929198</v>
      </c>
      <c r="AJ1328" s="19">
        <f t="shared" si="384"/>
        <v>5330996.6372757526</v>
      </c>
      <c r="AK1328" s="20">
        <f t="shared" si="392"/>
        <v>0.14613378412599562</v>
      </c>
      <c r="AL1328" s="17"/>
      <c r="AM1328" s="17"/>
      <c r="AN1328" s="17"/>
      <c r="AO1328" s="17"/>
      <c r="AP1328" s="28" t="str">
        <f t="shared" si="393"/>
        <v>20227</v>
      </c>
      <c r="AQ1328" s="28" t="str">
        <f t="shared" si="394"/>
        <v>20227JPY</v>
      </c>
      <c r="AR1328" s="206" t="str">
        <f t="shared" si="395"/>
        <v>YAMAHA_Mounter</v>
      </c>
      <c r="AS1328" s="22">
        <f t="shared" si="396"/>
        <v>4</v>
      </c>
      <c r="AT1328" s="24" t="str">
        <f t="shared" si="397"/>
        <v>4-6 months</v>
      </c>
      <c r="AU1328" s="22" t="s">
        <v>3746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0"/>
        <v>1</v>
      </c>
      <c r="Z1329" s="18">
        <f t="shared" si="398"/>
        <v>8000000</v>
      </c>
      <c r="AA1329" s="13">
        <v>5.8700000000000002E-2</v>
      </c>
      <c r="AB1329" s="21">
        <f t="shared" si="399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83"/>
        <v>36480247.665929198</v>
      </c>
      <c r="AJ1329" s="19">
        <f t="shared" si="384"/>
        <v>5330996.6372757526</v>
      </c>
      <c r="AK1329" s="20">
        <f t="shared" si="392"/>
        <v>0.14613378412599562</v>
      </c>
      <c r="AL1329" s="17"/>
      <c r="AM1329" s="17"/>
      <c r="AN1329" s="17"/>
      <c r="AO1329" s="17"/>
      <c r="AP1329" s="28" t="str">
        <f t="shared" si="393"/>
        <v>20227</v>
      </c>
      <c r="AQ1329" s="28" t="str">
        <f t="shared" si="394"/>
        <v>20227JPY</v>
      </c>
      <c r="AR1329" s="206" t="str">
        <f t="shared" si="395"/>
        <v>YAMAHA_Mounter</v>
      </c>
      <c r="AS1329" s="22">
        <f t="shared" si="396"/>
        <v>4</v>
      </c>
      <c r="AT1329" s="24" t="str">
        <f t="shared" si="397"/>
        <v>4-6 months</v>
      </c>
      <c r="AU1329" s="22" t="s">
        <v>3746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0"/>
        <v>1</v>
      </c>
      <c r="Z1330" s="18">
        <f t="shared" si="398"/>
        <v>8000000</v>
      </c>
      <c r="AA1330" s="13">
        <v>5.8700000000000002E-2</v>
      </c>
      <c r="AB1330" s="21">
        <f t="shared" si="399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83"/>
        <v>36480247.665929198</v>
      </c>
      <c r="AJ1330" s="19">
        <f t="shared" si="384"/>
        <v>5330996.6372757526</v>
      </c>
      <c r="AK1330" s="20">
        <f t="shared" si="392"/>
        <v>0.14613378412599562</v>
      </c>
      <c r="AL1330" s="17"/>
      <c r="AM1330" s="17"/>
      <c r="AN1330" s="17"/>
      <c r="AO1330" s="17"/>
      <c r="AP1330" s="28" t="str">
        <f t="shared" si="393"/>
        <v>20227</v>
      </c>
      <c r="AQ1330" s="28" t="str">
        <f t="shared" si="394"/>
        <v>20227JPY</v>
      </c>
      <c r="AR1330" s="206" t="str">
        <f t="shared" si="395"/>
        <v>YAMAHA_Mounter</v>
      </c>
      <c r="AS1330" s="22">
        <f t="shared" si="396"/>
        <v>4</v>
      </c>
      <c r="AT1330" s="24" t="str">
        <f t="shared" si="397"/>
        <v>4-6 months</v>
      </c>
      <c r="AU1330" s="22" t="s">
        <v>3746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0"/>
        <v>1</v>
      </c>
      <c r="Z1331" s="18">
        <f t="shared" si="398"/>
        <v>8000000</v>
      </c>
      <c r="AA1331" s="13">
        <v>5.8700000000000002E-2</v>
      </c>
      <c r="AB1331" s="21">
        <f t="shared" si="399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83"/>
        <v>36480247.665929198</v>
      </c>
      <c r="AJ1331" s="19">
        <f t="shared" si="384"/>
        <v>5330996.6372757526</v>
      </c>
      <c r="AK1331" s="20">
        <f t="shared" si="392"/>
        <v>0.14613378412599562</v>
      </c>
      <c r="AL1331" s="17"/>
      <c r="AM1331" s="17"/>
      <c r="AN1331" s="17"/>
      <c r="AO1331" s="17"/>
      <c r="AP1331" s="28" t="str">
        <f t="shared" si="393"/>
        <v>20227</v>
      </c>
      <c r="AQ1331" s="28" t="str">
        <f t="shared" si="394"/>
        <v>20227JPY</v>
      </c>
      <c r="AR1331" s="206" t="str">
        <f t="shared" si="395"/>
        <v>YAMAHA_Mounter</v>
      </c>
      <c r="AS1331" s="22">
        <f t="shared" si="396"/>
        <v>4</v>
      </c>
      <c r="AT1331" s="24" t="str">
        <f t="shared" si="397"/>
        <v>4-6 months</v>
      </c>
      <c r="AU1331" s="22" t="s">
        <v>3746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0"/>
        <v>1</v>
      </c>
      <c r="Z1332" s="18">
        <f t="shared" si="398"/>
        <v>8000000</v>
      </c>
      <c r="AA1332" s="13">
        <v>5.8700000000000002E-2</v>
      </c>
      <c r="AB1332" s="21">
        <f t="shared" si="399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83"/>
        <v>36480247.665929198</v>
      </c>
      <c r="AJ1332" s="19">
        <f t="shared" si="384"/>
        <v>5330996.6372757526</v>
      </c>
      <c r="AK1332" s="20">
        <f t="shared" si="392"/>
        <v>0.14613378412599562</v>
      </c>
      <c r="AL1332" s="17"/>
      <c r="AM1332" s="17"/>
      <c r="AN1332" s="17"/>
      <c r="AO1332" s="17"/>
      <c r="AP1332" s="28" t="str">
        <f t="shared" si="393"/>
        <v>20227</v>
      </c>
      <c r="AQ1332" s="28" t="str">
        <f t="shared" si="394"/>
        <v>20227JPY</v>
      </c>
      <c r="AR1332" s="206" t="str">
        <f t="shared" si="395"/>
        <v>YAMAHA_Mounter</v>
      </c>
      <c r="AS1332" s="22">
        <f t="shared" si="396"/>
        <v>4</v>
      </c>
      <c r="AT1332" s="24" t="str">
        <f t="shared" si="397"/>
        <v>4-6 months</v>
      </c>
      <c r="AU1332" s="22" t="s">
        <v>3746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98"/>
        <v>27923924</v>
      </c>
      <c r="AA1333" s="13">
        <v>7.2099999999999997E-2</v>
      </c>
      <c r="AB1333" s="21">
        <f t="shared" si="399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83"/>
        <v>499582152.5142017</v>
      </c>
      <c r="AJ1333" s="19">
        <f t="shared" si="384"/>
        <v>59520528.679470733</v>
      </c>
      <c r="AK1333" s="20">
        <f t="shared" si="392"/>
        <v>0.11914062257814291</v>
      </c>
      <c r="AL1333" s="17"/>
      <c r="AM1333" s="17"/>
      <c r="AN1333" s="17">
        <v>0</v>
      </c>
      <c r="AO1333" s="17"/>
      <c r="AP1333" s="28" t="str">
        <f t="shared" si="393"/>
        <v>CancelCancel</v>
      </c>
      <c r="AQ1333" s="28" t="str">
        <f t="shared" si="394"/>
        <v>CancelCancelJPY</v>
      </c>
      <c r="AR1333" s="206" t="str">
        <f t="shared" si="395"/>
        <v>YAMAHA_Mounter</v>
      </c>
      <c r="AS1333" s="22" t="str">
        <f t="shared" si="396"/>
        <v/>
      </c>
      <c r="AT1333" s="24" t="str">
        <f t="shared" si="397"/>
        <v/>
      </c>
      <c r="AU1333" s="22" t="s">
        <v>3745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98"/>
        <v>27923924</v>
      </c>
      <c r="AA1334" s="13">
        <v>7.2099999999999997E-2</v>
      </c>
      <c r="AB1334" s="21">
        <f t="shared" si="399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83"/>
        <v>499582152.5142017</v>
      </c>
      <c r="AJ1334" s="19">
        <f t="shared" si="384"/>
        <v>59520528.679470733</v>
      </c>
      <c r="AK1334" s="20">
        <f t="shared" si="392"/>
        <v>0.11914062257814291</v>
      </c>
      <c r="AL1334" s="17"/>
      <c r="AM1334" s="17"/>
      <c r="AN1334" s="17"/>
      <c r="AO1334" s="17"/>
      <c r="AP1334" s="28" t="str">
        <f t="shared" si="393"/>
        <v>CancelCancel</v>
      </c>
      <c r="AQ1334" s="28" t="str">
        <f t="shared" si="394"/>
        <v>CancelCancelJPY</v>
      </c>
      <c r="AR1334" s="206" t="str">
        <f t="shared" si="395"/>
        <v>YAMAHA_Mounter</v>
      </c>
      <c r="AS1334" s="22" t="str">
        <f t="shared" si="396"/>
        <v/>
      </c>
      <c r="AT1334" s="24" t="str">
        <f t="shared" si="397"/>
        <v/>
      </c>
      <c r="AU1334" s="22" t="s">
        <v>3745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1">IF(W1335="RMB","1.13", "1")</f>
        <v>1.13</v>
      </c>
      <c r="Z1335" s="18">
        <f t="shared" si="398"/>
        <v>1513500</v>
      </c>
      <c r="AA1335" s="13">
        <v>1.2</v>
      </c>
      <c r="AB1335" s="21">
        <f t="shared" si="399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83"/>
        <v>31097187.02948761</v>
      </c>
      <c r="AJ1335" s="19">
        <f t="shared" si="384"/>
        <v>3892353.6644401965</v>
      </c>
      <c r="AK1335" s="20">
        <f t="shared" si="392"/>
        <v>0.12516738767237401</v>
      </c>
      <c r="AL1335" s="17"/>
      <c r="AM1335" s="17"/>
      <c r="AN1335" s="17"/>
      <c r="AO1335" s="17"/>
      <c r="AP1335" s="28" t="str">
        <f t="shared" si="393"/>
        <v>20212</v>
      </c>
      <c r="AQ1335" s="28" t="str">
        <f t="shared" si="394"/>
        <v>20212RMB</v>
      </c>
      <c r="AR1335" s="206" t="str">
        <f t="shared" si="395"/>
        <v>YAMAHA_Mounter</v>
      </c>
      <c r="AS1335" s="22">
        <f t="shared" si="396"/>
        <v>2</v>
      </c>
      <c r="AT1335" s="24" t="str">
        <f t="shared" si="397"/>
        <v>0-3 months</v>
      </c>
      <c r="AU1335" s="22" t="s">
        <v>3744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1"/>
        <v>1.13</v>
      </c>
      <c r="Z1336" s="18">
        <f t="shared" si="398"/>
        <v>1513500</v>
      </c>
      <c r="AA1336" s="13">
        <v>1.2</v>
      </c>
      <c r="AB1336" s="21">
        <f t="shared" si="399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83"/>
        <v>31097187.02948761</v>
      </c>
      <c r="AJ1336" s="19">
        <f t="shared" si="384"/>
        <v>3892353.6644401965</v>
      </c>
      <c r="AK1336" s="20">
        <f t="shared" si="392"/>
        <v>0.12516738767237401</v>
      </c>
      <c r="AL1336" s="17"/>
      <c r="AM1336" s="17"/>
      <c r="AN1336" s="17"/>
      <c r="AO1336" s="17"/>
      <c r="AP1336" s="28" t="str">
        <f t="shared" si="393"/>
        <v>20212</v>
      </c>
      <c r="AQ1336" s="28" t="str">
        <f t="shared" si="394"/>
        <v>20212RMB</v>
      </c>
      <c r="AR1336" s="206" t="str">
        <f t="shared" si="395"/>
        <v>YAMAHA_Mounter</v>
      </c>
      <c r="AS1336" s="22">
        <f t="shared" si="396"/>
        <v>2</v>
      </c>
      <c r="AT1336" s="24" t="str">
        <f t="shared" si="397"/>
        <v>0-3 months</v>
      </c>
      <c r="AU1336" s="22" t="s">
        <v>3744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1"/>
        <v>1.13</v>
      </c>
      <c r="Z1337" s="18">
        <f t="shared" si="398"/>
        <v>1244000</v>
      </c>
      <c r="AA1337" s="13">
        <v>1.2</v>
      </c>
      <c r="AB1337" s="21">
        <f t="shared" si="399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83"/>
        <v>47458373.787610628</v>
      </c>
      <c r="AJ1337" s="19">
        <f t="shared" si="384"/>
        <v>7436880.1411522133</v>
      </c>
      <c r="AK1337" s="20">
        <f t="shared" si="392"/>
        <v>0.15670322321692506</v>
      </c>
      <c r="AL1337" s="17"/>
      <c r="AM1337" s="17"/>
      <c r="AN1337" s="17"/>
      <c r="AO1337" s="17"/>
      <c r="AP1337" s="28" t="str">
        <f t="shared" si="393"/>
        <v>20218</v>
      </c>
      <c r="AQ1337" s="28" t="str">
        <f t="shared" si="394"/>
        <v>20218RMB</v>
      </c>
      <c r="AR1337" s="206" t="str">
        <f t="shared" si="395"/>
        <v>YAMAHA_Mounter</v>
      </c>
      <c r="AS1337" s="22">
        <f t="shared" si="396"/>
        <v>2</v>
      </c>
      <c r="AT1337" s="24" t="str">
        <f t="shared" si="397"/>
        <v>0-3 months</v>
      </c>
      <c r="AU1337" s="22" t="s">
        <v>3751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1"/>
        <v>1.13</v>
      </c>
      <c r="Z1338" s="18">
        <f t="shared" si="398"/>
        <v>1244000</v>
      </c>
      <c r="AA1338" s="13">
        <v>1.2</v>
      </c>
      <c r="AB1338" s="21">
        <f t="shared" si="399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83"/>
        <v>47458373.787610628</v>
      </c>
      <c r="AJ1338" s="19">
        <f t="shared" si="384"/>
        <v>7436880.1411522133</v>
      </c>
      <c r="AK1338" s="20">
        <f t="shared" si="392"/>
        <v>0.15670322321692506</v>
      </c>
      <c r="AL1338" s="17"/>
      <c r="AM1338" s="17"/>
      <c r="AN1338" s="17"/>
      <c r="AO1338" s="17"/>
      <c r="AP1338" s="28" t="str">
        <f t="shared" si="393"/>
        <v>20218</v>
      </c>
      <c r="AQ1338" s="28" t="str">
        <f t="shared" si="394"/>
        <v>20218RMB</v>
      </c>
      <c r="AR1338" s="206" t="str">
        <f t="shared" si="395"/>
        <v>YAMAHA_Mounter</v>
      </c>
      <c r="AS1338" s="22">
        <f t="shared" si="396"/>
        <v>2</v>
      </c>
      <c r="AT1338" s="24" t="str">
        <f t="shared" si="397"/>
        <v>0-3 months</v>
      </c>
      <c r="AU1338" s="22" t="s">
        <v>3751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1"/>
        <v>1.13</v>
      </c>
      <c r="Z1339" s="18">
        <f t="shared" si="398"/>
        <v>1244000</v>
      </c>
      <c r="AA1339" s="13">
        <v>1.2</v>
      </c>
      <c r="AB1339" s="21">
        <f t="shared" si="399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83"/>
        <v>47458373.787610628</v>
      </c>
      <c r="AJ1339" s="19">
        <f t="shared" si="384"/>
        <v>7436880.1411522133</v>
      </c>
      <c r="AK1339" s="20">
        <f t="shared" si="392"/>
        <v>0.15670322321692506</v>
      </c>
      <c r="AL1339" s="17"/>
      <c r="AM1339" s="17"/>
      <c r="AN1339" s="17"/>
      <c r="AO1339" s="17"/>
      <c r="AP1339" s="28" t="str">
        <f t="shared" si="393"/>
        <v>20218</v>
      </c>
      <c r="AQ1339" s="28" t="str">
        <f t="shared" si="394"/>
        <v>20218RMB</v>
      </c>
      <c r="AR1339" s="206" t="str">
        <f t="shared" si="395"/>
        <v>YAMAHA_Mounter</v>
      </c>
      <c r="AS1339" s="22">
        <f t="shared" si="396"/>
        <v>2</v>
      </c>
      <c r="AT1339" s="24" t="str">
        <f t="shared" si="397"/>
        <v>0-3 months</v>
      </c>
      <c r="AU1339" s="22" t="s">
        <v>3751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1"/>
        <v>1.13</v>
      </c>
      <c r="Z1340" s="18">
        <f t="shared" si="398"/>
        <v>967200</v>
      </c>
      <c r="AA1340" s="13">
        <v>1.22</v>
      </c>
      <c r="AB1340" s="21">
        <f t="shared" si="399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83"/>
        <v>28726768.133805312</v>
      </c>
      <c r="AJ1340" s="19">
        <f t="shared" si="384"/>
        <v>3853638.1988864429</v>
      </c>
      <c r="AK1340" s="20">
        <f t="shared" si="392"/>
        <v>0.1341479898099476</v>
      </c>
      <c r="AL1340" s="17"/>
      <c r="AM1340" s="17"/>
      <c r="AN1340" s="17"/>
      <c r="AO1340" s="17"/>
      <c r="AP1340" s="28" t="str">
        <f t="shared" si="393"/>
        <v>20223</v>
      </c>
      <c r="AQ1340" s="28" t="str">
        <f t="shared" si="394"/>
        <v>20223RMB</v>
      </c>
      <c r="AR1340" s="206" t="str">
        <f t="shared" si="395"/>
        <v>YAMAHA_Mounter</v>
      </c>
      <c r="AS1340" s="22">
        <f t="shared" si="396"/>
        <v>1</v>
      </c>
      <c r="AT1340" s="24" t="str">
        <f t="shared" si="397"/>
        <v>0-3 months</v>
      </c>
      <c r="AU1340" s="22" t="s">
        <v>3751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1"/>
        <v>1</v>
      </c>
      <c r="Z1341" s="18">
        <f t="shared" si="398"/>
        <v>13200000</v>
      </c>
      <c r="AA1341" s="13">
        <v>6.25E-2</v>
      </c>
      <c r="AB1341" s="21">
        <f t="shared" si="399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83"/>
        <v>499582152.5142017</v>
      </c>
      <c r="AJ1341" s="19">
        <f t="shared" si="384"/>
        <v>59520528.679470733</v>
      </c>
      <c r="AK1341" s="20">
        <f t="shared" si="392"/>
        <v>0.11914062257814291</v>
      </c>
      <c r="AL1341" s="17"/>
      <c r="AM1341" s="17"/>
      <c r="AN1341" s="17"/>
      <c r="AO1341" s="17"/>
      <c r="AP1341" s="28" t="str">
        <f t="shared" si="393"/>
        <v>CancelCancel</v>
      </c>
      <c r="AQ1341" s="28" t="str">
        <f t="shared" si="394"/>
        <v>CancelCancelJPY</v>
      </c>
      <c r="AR1341" s="206" t="str">
        <f t="shared" si="395"/>
        <v>YAMAHA_Mounter</v>
      </c>
      <c r="AS1341" s="22" t="str">
        <f t="shared" si="396"/>
        <v/>
      </c>
      <c r="AT1341" s="24" t="str">
        <f t="shared" si="397"/>
        <v/>
      </c>
      <c r="AU1341" s="22" t="s">
        <v>3745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98"/>
        <v>204800</v>
      </c>
      <c r="AA1342" s="13">
        <v>1.125</v>
      </c>
      <c r="AB1342" s="21">
        <f t="shared" si="399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83"/>
        <v>10785027.603448275</v>
      </c>
      <c r="AJ1342" s="19">
        <f t="shared" si="384"/>
        <v>1540894.1297982759</v>
      </c>
      <c r="AK1342" s="20">
        <f t="shared" si="392"/>
        <v>0.1428734525728621</v>
      </c>
      <c r="AL1342" s="17"/>
      <c r="AM1342" s="17"/>
      <c r="AN1342" s="17"/>
      <c r="AO1342" s="17"/>
      <c r="AP1342" s="28" t="str">
        <f t="shared" si="393"/>
        <v>201811</v>
      </c>
      <c r="AQ1342" s="28" t="str">
        <f t="shared" si="394"/>
        <v>201811RMB</v>
      </c>
      <c r="AR1342" s="206" t="str">
        <f t="shared" si="395"/>
        <v>YAMAHA_Mounter</v>
      </c>
      <c r="AS1342" s="22">
        <f t="shared" si="396"/>
        <v>1</v>
      </c>
      <c r="AT1342" s="24" t="str">
        <f t="shared" si="397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98"/>
        <v>586000</v>
      </c>
      <c r="AA1343" s="13">
        <v>1.1499999999999999</v>
      </c>
      <c r="AB1343" s="21">
        <f t="shared" si="399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83"/>
        <v>26492741.106427077</v>
      </c>
      <c r="AJ1343" s="19">
        <f t="shared" si="384"/>
        <v>3348032.1325698122</v>
      </c>
      <c r="AK1343" s="20">
        <f t="shared" si="392"/>
        <v>0.12637545201985867</v>
      </c>
      <c r="AL1343" s="17"/>
      <c r="AM1343" s="17"/>
      <c r="AN1343" s="17" t="s">
        <v>524</v>
      </c>
      <c r="AO1343" s="17"/>
      <c r="AP1343" s="28" t="str">
        <f t="shared" si="393"/>
        <v>20189</v>
      </c>
      <c r="AQ1343" s="28" t="str">
        <f t="shared" si="394"/>
        <v>20189RMB</v>
      </c>
      <c r="AR1343" s="206" t="str">
        <f t="shared" si="395"/>
        <v>YAMAHA_Mounter</v>
      </c>
      <c r="AS1343" s="22">
        <f t="shared" si="396"/>
        <v>0</v>
      </c>
      <c r="AT1343" s="24" t="str">
        <f t="shared" si="397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98"/>
        <v>934574</v>
      </c>
      <c r="AA1344" s="13">
        <v>1.2150000000000001</v>
      </c>
      <c r="AB1344" s="21">
        <f t="shared" si="399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83"/>
        <v>54700260.692079648</v>
      </c>
      <c r="AJ1344" s="19">
        <f t="shared" si="384"/>
        <v>7482899.5749188727</v>
      </c>
      <c r="AK1344" s="20">
        <f t="shared" si="392"/>
        <v>0.13679824337660537</v>
      </c>
      <c r="AL1344" s="17"/>
      <c r="AM1344" s="17"/>
      <c r="AN1344" s="17"/>
      <c r="AO1344" s="17"/>
      <c r="AP1344" s="28" t="str">
        <f t="shared" si="393"/>
        <v>20216</v>
      </c>
      <c r="AQ1344" s="28" t="str">
        <f t="shared" si="394"/>
        <v>20216RMB</v>
      </c>
      <c r="AR1344" s="206" t="str">
        <f t="shared" si="395"/>
        <v>YAMAHA_Mounter</v>
      </c>
      <c r="AS1344" s="22">
        <f t="shared" si="396"/>
        <v>2</v>
      </c>
      <c r="AT1344" s="24" t="str">
        <f t="shared" si="397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98"/>
        <v>599653</v>
      </c>
      <c r="AA1345" s="13">
        <v>1.135</v>
      </c>
      <c r="AB1345" s="21">
        <f t="shared" si="399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83"/>
        <v>31296887.037898075</v>
      </c>
      <c r="AJ1345" s="19">
        <f t="shared" si="384"/>
        <v>3588873.9502021763</v>
      </c>
      <c r="AK1345" s="20">
        <f t="shared" si="392"/>
        <v>0.11467191436184473</v>
      </c>
      <c r="AL1345" s="17"/>
      <c r="AM1345" s="17"/>
      <c r="AN1345" s="17"/>
      <c r="AO1345" s="17"/>
      <c r="AP1345" s="28" t="str">
        <f t="shared" si="393"/>
        <v>20196</v>
      </c>
      <c r="AQ1345" s="28" t="str">
        <f t="shared" si="394"/>
        <v>20196RMB</v>
      </c>
      <c r="AR1345" s="206" t="str">
        <f t="shared" si="395"/>
        <v>YAMAHA_Mounter</v>
      </c>
      <c r="AS1345" s="22">
        <f t="shared" si="396"/>
        <v>0</v>
      </c>
      <c r="AT1345" s="24" t="str">
        <f t="shared" si="397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98"/>
        <v>755000</v>
      </c>
      <c r="AA1346" s="13">
        <v>1.105</v>
      </c>
      <c r="AB1346" s="21">
        <f t="shared" si="399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02">IF(P1346="C66 SERVICE","",SUMIFS(AB:AB,F:F,F1346,G:G,G1346,E:E,E1346))</f>
        <v>37969334.083628319</v>
      </c>
      <c r="AJ1346" s="19">
        <f t="shared" ref="AJ1346:AJ1409" si="403">IF(P1346="C66 SERVICE","",SUMIFS(AC:AC,F:F,F1346,G:G,G1346,E:E,E1346))</f>
        <v>5097226.4551657084</v>
      </c>
      <c r="AK1346" s="20">
        <f t="shared" si="392"/>
        <v>0.13424587441904964</v>
      </c>
      <c r="AL1346" s="17"/>
      <c r="AM1346" s="17"/>
      <c r="AN1346" s="17"/>
      <c r="AO1346" s="17"/>
      <c r="AP1346" s="28" t="str">
        <f t="shared" si="393"/>
        <v>20208</v>
      </c>
      <c r="AQ1346" s="28" t="str">
        <f t="shared" si="394"/>
        <v>20208RMB</v>
      </c>
      <c r="AR1346" s="206" t="str">
        <f t="shared" si="395"/>
        <v>YAMAHA_Mounter</v>
      </c>
      <c r="AS1346" s="22">
        <f t="shared" si="396"/>
        <v>1</v>
      </c>
      <c r="AT1346" s="24" t="str">
        <f t="shared" si="397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98"/>
        <v>1070000</v>
      </c>
      <c r="AA1347" s="13">
        <v>1.135</v>
      </c>
      <c r="AB1347" s="21">
        <f t="shared" si="399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02"/>
        <v>31296887.037898075</v>
      </c>
      <c r="AJ1347" s="19">
        <f t="shared" si="403"/>
        <v>3588873.9502021763</v>
      </c>
      <c r="AK1347" s="20">
        <f t="shared" si="392"/>
        <v>0.11467191436184473</v>
      </c>
      <c r="AL1347" s="17"/>
      <c r="AM1347" s="17"/>
      <c r="AN1347" s="17"/>
      <c r="AO1347" s="17"/>
      <c r="AP1347" s="28" t="str">
        <f t="shared" si="393"/>
        <v>20196</v>
      </c>
      <c r="AQ1347" s="28" t="str">
        <f t="shared" si="394"/>
        <v>20196RMB</v>
      </c>
      <c r="AR1347" s="206" t="str">
        <f t="shared" si="395"/>
        <v>YAMAHA_Mounter</v>
      </c>
      <c r="AS1347" s="22">
        <f t="shared" si="396"/>
        <v>8</v>
      </c>
      <c r="AT1347" s="24" t="str">
        <f t="shared" si="397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98"/>
        <v>6600000</v>
      </c>
      <c r="AA1348" s="13">
        <v>7.6100000000000001E-2</v>
      </c>
      <c r="AB1348" s="21">
        <f t="shared" si="399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02"/>
        <v>44078731.611185849</v>
      </c>
      <c r="AJ1348" s="19">
        <f t="shared" si="403"/>
        <v>5508173.2163771465</v>
      </c>
      <c r="AK1348" s="20">
        <f t="shared" si="392"/>
        <v>0.12496215328889679</v>
      </c>
      <c r="AL1348" s="17"/>
      <c r="AM1348" s="17"/>
      <c r="AN1348" s="17"/>
      <c r="AO1348" s="17"/>
      <c r="AP1348" s="28" t="str">
        <f t="shared" si="393"/>
        <v>202011</v>
      </c>
      <c r="AQ1348" s="28" t="str">
        <f t="shared" si="394"/>
        <v>202011JPY</v>
      </c>
      <c r="AR1348" s="206" t="str">
        <f t="shared" si="395"/>
        <v>YAMAHA_Mounter</v>
      </c>
      <c r="AS1348" s="22">
        <f t="shared" si="396"/>
        <v>2</v>
      </c>
      <c r="AT1348" s="24" t="str">
        <f t="shared" si="397"/>
        <v>0-3 months</v>
      </c>
      <c r="AU1348" s="22" t="s">
        <v>3745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98"/>
        <v>8900000</v>
      </c>
      <c r="AA1349" s="13">
        <v>7.6799999999999993E-2</v>
      </c>
      <c r="AB1349" s="21">
        <f t="shared" si="399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02"/>
        <v>45803245.025628321</v>
      </c>
      <c r="AJ1349" s="19">
        <f t="shared" si="403"/>
        <v>5664636.2584379362</v>
      </c>
      <c r="AK1349" s="20">
        <f t="shared" si="392"/>
        <v>0.12367325186825515</v>
      </c>
      <c r="AL1349" s="17"/>
      <c r="AM1349" s="17"/>
      <c r="AN1349" s="17"/>
      <c r="AO1349" s="17"/>
      <c r="AP1349" s="28" t="str">
        <f t="shared" si="393"/>
        <v>20211</v>
      </c>
      <c r="AQ1349" s="28" t="str">
        <f t="shared" si="394"/>
        <v>20211JPY</v>
      </c>
      <c r="AR1349" s="206" t="str">
        <f t="shared" si="395"/>
        <v>YAMAHA_Mounter</v>
      </c>
      <c r="AS1349" s="22">
        <f t="shared" si="396"/>
        <v>1</v>
      </c>
      <c r="AT1349" s="24" t="str">
        <f t="shared" si="397"/>
        <v>0-3 months</v>
      </c>
      <c r="AU1349" s="22" t="s">
        <v>3745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98"/>
        <v>7771400</v>
      </c>
      <c r="AA1350" s="13">
        <v>7.4899999999999994E-2</v>
      </c>
      <c r="AB1350" s="21">
        <f t="shared" si="399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02"/>
        <v>47907808.356810622</v>
      </c>
      <c r="AJ1350" s="19">
        <f t="shared" si="403"/>
        <v>6027384.8806384448</v>
      </c>
      <c r="AK1350" s="20">
        <f t="shared" ref="AK1350:AK1413" si="410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1">IF(F1350="","",F1350&amp;G1350)</f>
        <v>20209</v>
      </c>
      <c r="AQ1350" s="28" t="str">
        <f t="shared" ref="AQ1350:AQ1413" si="412">IF(W1350="","",F1350&amp;G1350&amp;W1350)</f>
        <v>20209JPY</v>
      </c>
      <c r="AR1350" s="206" t="str">
        <f t="shared" ref="AR1350:AR1413" si="413">IFERROR(IF(AND(M1350="YAMAHA", R1350="C28"), "YAMAHA_Non_Mounter", IF(AND(M1350="YAMAHA", R1350="C49"), "YAMAHA_Mounter", M1350)),"")</f>
        <v>YAMAHA_Mounter</v>
      </c>
      <c r="AS1350" s="22">
        <f t="shared" ref="AS1350:AS1413" si="414">IFERROR(IF(OR(G1350="TBA", G1350=""), "", DATEDIF(DATE(B1350, C1350, 1), DATE(F1350, G1350, 1), "M")),"")</f>
        <v>2</v>
      </c>
      <c r="AT1350" s="24" t="str">
        <f t="shared" ref="AT1350:AT1413" si="415">IF(ISNUMBER(AS1350), IF(AS1350&gt;=0, IF(AS1350&lt;=3, "0-3 months", IF(AS1350&lt;=6, "4-6 months", "&gt; 6 months"))), "")</f>
        <v>0-3 months</v>
      </c>
      <c r="AU1350" s="22" t="s">
        <v>3745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98"/>
        <v>600000</v>
      </c>
      <c r="AA1351" s="13">
        <v>1.22</v>
      </c>
      <c r="AB1351" s="21">
        <f t="shared" si="399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02"/>
        <v>46600814.041769907</v>
      </c>
      <c r="AJ1351" s="19">
        <f t="shared" si="403"/>
        <v>5956366.3435927071</v>
      </c>
      <c r="AK1351" s="20">
        <f t="shared" si="410"/>
        <v>0.1278167874546958</v>
      </c>
      <c r="AL1351" s="17"/>
      <c r="AM1351" s="17"/>
      <c r="AN1351" s="17"/>
      <c r="AO1351" s="17"/>
      <c r="AP1351" s="28" t="str">
        <f t="shared" si="411"/>
        <v>20224</v>
      </c>
      <c r="AQ1351" s="28" t="str">
        <f t="shared" si="412"/>
        <v>20224RMB</v>
      </c>
      <c r="AR1351" s="206" t="str">
        <f t="shared" si="413"/>
        <v>YAMAHA_Mounter</v>
      </c>
      <c r="AS1351" s="22">
        <f t="shared" si="414"/>
        <v>3</v>
      </c>
      <c r="AT1351" s="24" t="str">
        <f t="shared" si="415"/>
        <v>0-3 months</v>
      </c>
      <c r="AU1351" s="22" t="s">
        <v>3751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98"/>
        <v>700000</v>
      </c>
      <c r="AA1352" s="13">
        <v>1.22</v>
      </c>
      <c r="AB1352" s="21">
        <f t="shared" si="399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02"/>
        <v>46600814.041769907</v>
      </c>
      <c r="AJ1352" s="19">
        <f t="shared" si="403"/>
        <v>5956366.3435927071</v>
      </c>
      <c r="AK1352" s="20">
        <f t="shared" si="410"/>
        <v>0.1278167874546958</v>
      </c>
      <c r="AL1352" s="17"/>
      <c r="AM1352" s="17"/>
      <c r="AN1352" s="17"/>
      <c r="AO1352" s="17"/>
      <c r="AP1352" s="28" t="str">
        <f t="shared" si="411"/>
        <v>20224</v>
      </c>
      <c r="AQ1352" s="28" t="str">
        <f t="shared" si="412"/>
        <v>20224RMB</v>
      </c>
      <c r="AR1352" s="206" t="str">
        <f t="shared" si="413"/>
        <v>YAMAHA_Mounter</v>
      </c>
      <c r="AS1352" s="22">
        <f t="shared" si="414"/>
        <v>5</v>
      </c>
      <c r="AT1352" s="24" t="str">
        <f t="shared" si="415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98"/>
        <v>900000</v>
      </c>
      <c r="AA1353" s="13">
        <v>1.22</v>
      </c>
      <c r="AB1353" s="21">
        <f t="shared" si="399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02"/>
        <v>46600814.041769907</v>
      </c>
      <c r="AJ1353" s="19">
        <f t="shared" si="403"/>
        <v>5956366.3435927071</v>
      </c>
      <c r="AK1353" s="20">
        <f t="shared" si="410"/>
        <v>0.1278167874546958</v>
      </c>
      <c r="AL1353" s="17"/>
      <c r="AM1353" s="17"/>
      <c r="AN1353" s="17"/>
      <c r="AO1353" s="17"/>
      <c r="AP1353" s="28" t="str">
        <f t="shared" si="411"/>
        <v>20224</v>
      </c>
      <c r="AQ1353" s="28" t="str">
        <f t="shared" si="412"/>
        <v>20224RMB</v>
      </c>
      <c r="AR1353" s="206" t="str">
        <f t="shared" si="413"/>
        <v>YAMAHA_Mounter</v>
      </c>
      <c r="AS1353" s="22">
        <f t="shared" si="414"/>
        <v>5</v>
      </c>
      <c r="AT1353" s="24" t="str">
        <f t="shared" si="415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6">IF(X1354="","",X1354*MAX(O1354,N1354))</f>
        <v>1400000</v>
      </c>
      <c r="AA1354" s="13">
        <v>1.089</v>
      </c>
      <c r="AB1354" s="21">
        <f t="shared" si="399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02"/>
        <v>29183109.05575221</v>
      </c>
      <c r="AJ1354" s="19">
        <f t="shared" si="403"/>
        <v>3741266.5648721238</v>
      </c>
      <c r="AK1354" s="20">
        <f t="shared" si="410"/>
        <v>0.12819972531798121</v>
      </c>
      <c r="AL1354" s="17"/>
      <c r="AM1354" s="17"/>
      <c r="AN1354" s="17"/>
      <c r="AO1354" s="17"/>
      <c r="AP1354" s="28" t="str">
        <f t="shared" si="411"/>
        <v>20206</v>
      </c>
      <c r="AQ1354" s="28" t="str">
        <f t="shared" si="412"/>
        <v>20206RMB</v>
      </c>
      <c r="AR1354" s="206" t="str">
        <f t="shared" si="413"/>
        <v>YAMAHA_Mounter</v>
      </c>
      <c r="AS1354" s="22">
        <f t="shared" si="414"/>
        <v>5</v>
      </c>
      <c r="AT1354" s="24" t="str">
        <f t="shared" si="415"/>
        <v>4-6 months</v>
      </c>
      <c r="AU1354" s="22" t="s">
        <v>3744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6"/>
        <v>9225000</v>
      </c>
      <c r="AA1355" s="13">
        <v>7.4899999999999994E-2</v>
      </c>
      <c r="AB1355" s="21">
        <f t="shared" si="399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02"/>
        <v>499582152.5142017</v>
      </c>
      <c r="AJ1355" s="19">
        <f t="shared" si="403"/>
        <v>59520528.679470733</v>
      </c>
      <c r="AK1355" s="20">
        <f t="shared" si="410"/>
        <v>0.11914062257814291</v>
      </c>
      <c r="AL1355" s="17"/>
      <c r="AM1355" s="17"/>
      <c r="AN1355" s="17"/>
      <c r="AO1355" s="17"/>
      <c r="AP1355" s="28" t="str">
        <f t="shared" si="411"/>
        <v>CancelCancel</v>
      </c>
      <c r="AQ1355" s="28" t="str">
        <f t="shared" si="412"/>
        <v>CancelCancelJPY</v>
      </c>
      <c r="AR1355" s="206" t="str">
        <f t="shared" si="413"/>
        <v>YAMAHA_Mounter</v>
      </c>
      <c r="AS1355" s="22" t="str">
        <f t="shared" si="414"/>
        <v/>
      </c>
      <c r="AT1355" s="24" t="str">
        <f t="shared" si="415"/>
        <v/>
      </c>
      <c r="AU1355" s="22" t="s">
        <v>3746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6"/>
        <v>9225000</v>
      </c>
      <c r="AA1356" s="13">
        <v>7.4899999999999994E-2</v>
      </c>
      <c r="AB1356" s="21">
        <f t="shared" si="399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02"/>
        <v>499582152.5142017</v>
      </c>
      <c r="AJ1356" s="19">
        <f t="shared" si="403"/>
        <v>59520528.679470733</v>
      </c>
      <c r="AK1356" s="20">
        <f t="shared" si="410"/>
        <v>0.11914062257814291</v>
      </c>
      <c r="AL1356" s="17"/>
      <c r="AM1356" s="17"/>
      <c r="AN1356" s="17"/>
      <c r="AO1356" s="17"/>
      <c r="AP1356" s="28" t="str">
        <f t="shared" si="411"/>
        <v>CancelCancel</v>
      </c>
      <c r="AQ1356" s="28" t="str">
        <f t="shared" si="412"/>
        <v>CancelCancelJPY</v>
      </c>
      <c r="AR1356" s="206" t="str">
        <f t="shared" si="413"/>
        <v>YAMAHA_Mounter</v>
      </c>
      <c r="AS1356" s="22" t="str">
        <f t="shared" si="414"/>
        <v/>
      </c>
      <c r="AT1356" s="24" t="str">
        <f t="shared" si="415"/>
        <v/>
      </c>
      <c r="AU1356" s="22" t="s">
        <v>3746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6"/>
        <v>29000001</v>
      </c>
      <c r="AA1357" s="13">
        <v>7.0300000000000001E-2</v>
      </c>
      <c r="AB1357" s="21">
        <f t="shared" si="399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02"/>
        <v>499582152.5142017</v>
      </c>
      <c r="AJ1357" s="19">
        <f t="shared" si="403"/>
        <v>59520528.679470733</v>
      </c>
      <c r="AK1357" s="20">
        <f t="shared" si="410"/>
        <v>0.11914062257814291</v>
      </c>
      <c r="AL1357" s="17"/>
      <c r="AM1357" s="17"/>
      <c r="AN1357" s="17"/>
      <c r="AO1357" s="17"/>
      <c r="AP1357" s="28" t="str">
        <f t="shared" si="411"/>
        <v>CancelCancel</v>
      </c>
      <c r="AQ1357" s="28" t="str">
        <f t="shared" si="412"/>
        <v>CancelCancelJPY</v>
      </c>
      <c r="AR1357" s="206" t="str">
        <f t="shared" si="413"/>
        <v>YAMAHA_Mounter</v>
      </c>
      <c r="AS1357" s="22" t="str">
        <f t="shared" si="414"/>
        <v/>
      </c>
      <c r="AT1357" s="24" t="str">
        <f t="shared" si="415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6"/>
        <v>29340000</v>
      </c>
      <c r="AA1358" s="13">
        <v>7.0400000000000004E-2</v>
      </c>
      <c r="AB1358" s="21">
        <f t="shared" si="399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02"/>
        <v>29840797.698275864</v>
      </c>
      <c r="AJ1358" s="19">
        <f t="shared" si="403"/>
        <v>3940167.6555448272</v>
      </c>
      <c r="AK1358" s="20">
        <f t="shared" si="410"/>
        <v>0.13203962224416277</v>
      </c>
      <c r="AL1358" s="17"/>
      <c r="AM1358" s="17"/>
      <c r="AN1358" s="17"/>
      <c r="AO1358" s="17"/>
      <c r="AP1358" s="28" t="str">
        <f t="shared" si="411"/>
        <v>201812</v>
      </c>
      <c r="AQ1358" s="28" t="str">
        <f t="shared" si="412"/>
        <v>201812JPY</v>
      </c>
      <c r="AR1358" s="206" t="str">
        <f t="shared" si="413"/>
        <v>YAMAHA_Mounter</v>
      </c>
      <c r="AS1358" s="22">
        <f t="shared" si="414"/>
        <v>6</v>
      </c>
      <c r="AT1358" s="24" t="str">
        <f t="shared" si="415"/>
        <v>4-6 months</v>
      </c>
      <c r="AU1358" s="22" t="s">
        <v>3745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6"/>
        <v>30400000</v>
      </c>
      <c r="AA1359" s="13">
        <v>7.0199999999999999E-2</v>
      </c>
      <c r="AB1359" s="21">
        <f t="shared" si="399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02"/>
        <v>10786543.370020689</v>
      </c>
      <c r="AJ1359" s="19">
        <f t="shared" si="403"/>
        <v>1330367.5841569281</v>
      </c>
      <c r="AK1359" s="20">
        <f t="shared" si="410"/>
        <v>0.123335858255987</v>
      </c>
      <c r="AL1359" s="17"/>
      <c r="AM1359" s="17"/>
      <c r="AN1359" s="17"/>
      <c r="AO1359" s="17"/>
      <c r="AP1359" s="28" t="str">
        <f t="shared" si="411"/>
        <v>201810</v>
      </c>
      <c r="AQ1359" s="28" t="str">
        <f t="shared" si="412"/>
        <v>201810JPY</v>
      </c>
      <c r="AR1359" s="206" t="str">
        <f t="shared" si="413"/>
        <v>YAMAHA_Mounter</v>
      </c>
      <c r="AS1359" s="22">
        <f t="shared" si="414"/>
        <v>4</v>
      </c>
      <c r="AT1359" s="24" t="str">
        <f t="shared" si="415"/>
        <v>4-6 months</v>
      </c>
      <c r="AU1359" s="22" t="s">
        <v>3745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6"/>
        <v>15081320</v>
      </c>
      <c r="AA1360" s="13">
        <v>7.6799999999999993E-2</v>
      </c>
      <c r="AB1360" s="21">
        <f t="shared" si="399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02"/>
        <v>45803245.025628321</v>
      </c>
      <c r="AJ1360" s="19">
        <f t="shared" si="403"/>
        <v>5664636.2584379362</v>
      </c>
      <c r="AK1360" s="20">
        <f t="shared" si="410"/>
        <v>0.12367325186825515</v>
      </c>
      <c r="AL1360" s="17"/>
      <c r="AM1360" s="17"/>
      <c r="AN1360" s="17"/>
      <c r="AO1360" s="17"/>
      <c r="AP1360" s="28" t="str">
        <f t="shared" si="411"/>
        <v>20211</v>
      </c>
      <c r="AQ1360" s="28" t="str">
        <f t="shared" si="412"/>
        <v>20211JPY</v>
      </c>
      <c r="AR1360" s="206" t="str">
        <f t="shared" si="413"/>
        <v>YAMAHA_Mounter</v>
      </c>
      <c r="AS1360" s="22">
        <f t="shared" si="414"/>
        <v>2</v>
      </c>
      <c r="AT1360" s="24" t="str">
        <f t="shared" si="415"/>
        <v>0-3 months</v>
      </c>
      <c r="AU1360" s="22" t="s">
        <v>3745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6"/>
        <v>15081320</v>
      </c>
      <c r="AA1361" s="13">
        <v>7.6799999999999993E-2</v>
      </c>
      <c r="AB1361" s="21">
        <f t="shared" si="399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02"/>
        <v>45803245.025628321</v>
      </c>
      <c r="AJ1361" s="19">
        <f t="shared" si="403"/>
        <v>5664636.2584379362</v>
      </c>
      <c r="AK1361" s="20">
        <f t="shared" si="410"/>
        <v>0.12367325186825515</v>
      </c>
      <c r="AL1361" s="17"/>
      <c r="AM1361" s="17"/>
      <c r="AN1361" s="17"/>
      <c r="AO1361" s="17"/>
      <c r="AP1361" s="28" t="str">
        <f t="shared" si="411"/>
        <v>20211</v>
      </c>
      <c r="AQ1361" s="28" t="str">
        <f t="shared" si="412"/>
        <v>20211JPY</v>
      </c>
      <c r="AR1361" s="206" t="str">
        <f t="shared" si="413"/>
        <v>YAMAHA_Mounter</v>
      </c>
      <c r="AS1361" s="22">
        <f t="shared" si="414"/>
        <v>2</v>
      </c>
      <c r="AT1361" s="24" t="str">
        <f t="shared" si="415"/>
        <v>0-3 months</v>
      </c>
      <c r="AU1361" s="22" t="s">
        <v>3745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6"/>
        <v>240000</v>
      </c>
      <c r="AA1362" s="22">
        <v>1</v>
      </c>
      <c r="AB1362" s="21">
        <f t="shared" si="399"/>
        <v>240000</v>
      </c>
      <c r="AC1362" s="25">
        <f t="shared" si="408"/>
        <v>80592</v>
      </c>
      <c r="AD1362" s="22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02"/>
        <v>11472879.764601771</v>
      </c>
      <c r="AJ1362" s="27">
        <f t="shared" si="403"/>
        <v>2038344.1716106194</v>
      </c>
      <c r="AK1362" s="28">
        <f t="shared" si="410"/>
        <v>0.17766630640544948</v>
      </c>
      <c r="AL1362" s="24"/>
      <c r="AM1362" s="24"/>
      <c r="AN1362" s="24"/>
      <c r="AO1362" s="24"/>
      <c r="AP1362" s="28" t="str">
        <f t="shared" si="411"/>
        <v>20245</v>
      </c>
      <c r="AQ1362" s="28" t="str">
        <f t="shared" si="412"/>
        <v>20245HKD</v>
      </c>
      <c r="AR1362" s="206" t="str">
        <f t="shared" si="413"/>
        <v>YAMAHA_Non_Mounter</v>
      </c>
      <c r="AS1362" s="22">
        <f t="shared" si="414"/>
        <v>2</v>
      </c>
      <c r="AT1362" s="24" t="str">
        <f t="shared" si="415"/>
        <v>0-3 months</v>
      </c>
      <c r="AU1362" s="22" t="s">
        <v>3746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6"/>
        <v/>
      </c>
      <c r="AA1363" s="22"/>
      <c r="AB1363" s="197">
        <v>15000</v>
      </c>
      <c r="AC1363" s="198">
        <f t="shared" si="408"/>
        <v>4500</v>
      </c>
      <c r="AD1363" s="22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02"/>
        <v>11472879.764601771</v>
      </c>
      <c r="AJ1363" s="200">
        <f t="shared" si="403"/>
        <v>2038344.1716106194</v>
      </c>
      <c r="AK1363" s="201">
        <f t="shared" si="410"/>
        <v>0.17766630640544948</v>
      </c>
      <c r="AL1363" s="24"/>
      <c r="AM1363" s="24"/>
      <c r="AN1363" s="24"/>
      <c r="AO1363" s="24"/>
      <c r="AP1363" s="105" t="str">
        <f t="shared" si="411"/>
        <v>20245</v>
      </c>
      <c r="AQ1363" s="28" t="str">
        <f t="shared" si="412"/>
        <v/>
      </c>
      <c r="AR1363" s="206" t="str">
        <f t="shared" si="413"/>
        <v>C66 SERVICE</v>
      </c>
      <c r="AS1363" s="22" t="str">
        <f t="shared" si="414"/>
        <v/>
      </c>
      <c r="AT1363" s="24" t="str">
        <f t="shared" si="415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6"/>
        <v>106568000</v>
      </c>
      <c r="AA1364" s="13">
        <v>7.0699999999999999E-2</v>
      </c>
      <c r="AB1364" s="21">
        <f t="shared" ref="AB1364:AB1389" si="417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02"/>
        <v>499582152.5142017</v>
      </c>
      <c r="AJ1364" s="19">
        <f t="shared" si="403"/>
        <v>59520528.679470733</v>
      </c>
      <c r="AK1364" s="20">
        <f t="shared" si="410"/>
        <v>0.11914062257814291</v>
      </c>
      <c r="AL1364" s="17"/>
      <c r="AM1364" s="17"/>
      <c r="AN1364" s="17"/>
      <c r="AO1364" s="17"/>
      <c r="AP1364" s="28" t="str">
        <f t="shared" si="411"/>
        <v>CancelCancel</v>
      </c>
      <c r="AQ1364" s="28" t="str">
        <f t="shared" si="412"/>
        <v>CancelCancelJPY</v>
      </c>
      <c r="AR1364" s="206" t="str">
        <f t="shared" si="413"/>
        <v>YAMAHA_Mounter</v>
      </c>
      <c r="AS1364" s="22" t="str">
        <f t="shared" si="414"/>
        <v/>
      </c>
      <c r="AT1364" s="24" t="str">
        <f t="shared" si="415"/>
        <v/>
      </c>
      <c r="AU1364" s="22" t="s">
        <v>3745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6"/>
        <v>430000</v>
      </c>
      <c r="AA1365" s="13">
        <v>1.07</v>
      </c>
      <c r="AB1365" s="21">
        <f t="shared" si="417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02"/>
        <v>11730565.00042478</v>
      </c>
      <c r="AJ1365" s="19">
        <f t="shared" si="403"/>
        <v>1439625.5685810833</v>
      </c>
      <c r="AK1365" s="20">
        <f t="shared" si="410"/>
        <v>0.12272431622253084</v>
      </c>
      <c r="AL1365" s="17"/>
      <c r="AM1365" s="17"/>
      <c r="AN1365" s="17"/>
      <c r="AO1365" s="17"/>
      <c r="AP1365" s="28" t="str">
        <f t="shared" si="411"/>
        <v>202311</v>
      </c>
      <c r="AQ1365" s="28" t="str">
        <f t="shared" si="412"/>
        <v>202311RMB</v>
      </c>
      <c r="AR1365" s="206" t="str">
        <f t="shared" si="413"/>
        <v>YAMAHA_Mounter</v>
      </c>
      <c r="AS1365" s="22">
        <f t="shared" si="414"/>
        <v>0</v>
      </c>
      <c r="AT1365" s="24" t="str">
        <f t="shared" si="415"/>
        <v>0-3 months</v>
      </c>
      <c r="AU1365" s="22" t="s">
        <v>3751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6"/>
        <v>515000</v>
      </c>
      <c r="AA1366" s="13">
        <v>1.2</v>
      </c>
      <c r="AB1366" s="21">
        <f t="shared" si="417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02"/>
        <v>499582152.5142017</v>
      </c>
      <c r="AJ1366" s="19">
        <f t="shared" si="403"/>
        <v>59520528.679470733</v>
      </c>
      <c r="AK1366" s="20">
        <f t="shared" si="410"/>
        <v>0.11914062257814291</v>
      </c>
      <c r="AL1366" s="17"/>
      <c r="AM1366" s="17"/>
      <c r="AN1366" s="17"/>
      <c r="AO1366" s="17"/>
      <c r="AP1366" s="28" t="str">
        <f t="shared" si="411"/>
        <v>CancelCANCEL</v>
      </c>
      <c r="AQ1366" s="28" t="str">
        <f t="shared" si="412"/>
        <v>CancelCANCELRMB</v>
      </c>
      <c r="AR1366" s="206" t="str">
        <f t="shared" si="413"/>
        <v>YAMAHA_Mounter</v>
      </c>
      <c r="AS1366" s="22" t="str">
        <f t="shared" si="414"/>
        <v/>
      </c>
      <c r="AT1366" s="24" t="str">
        <f t="shared" si="415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6"/>
        <v>13600000</v>
      </c>
      <c r="AA1367" s="13">
        <v>6.25E-2</v>
      </c>
      <c r="AB1367" s="21">
        <f t="shared" si="417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02"/>
        <v>499582152.5142017</v>
      </c>
      <c r="AJ1367" s="19">
        <f t="shared" si="403"/>
        <v>59520528.679470733</v>
      </c>
      <c r="AK1367" s="20">
        <f t="shared" si="410"/>
        <v>0.11914062257814291</v>
      </c>
      <c r="AL1367" s="17"/>
      <c r="AM1367" s="17"/>
      <c r="AN1367" s="17"/>
      <c r="AO1367" s="17"/>
      <c r="AP1367" s="28" t="str">
        <f t="shared" si="411"/>
        <v>CancelCancel</v>
      </c>
      <c r="AQ1367" s="28" t="str">
        <f t="shared" si="412"/>
        <v>CancelCancelJPY</v>
      </c>
      <c r="AR1367" s="206" t="str">
        <f t="shared" si="413"/>
        <v>YAMAHA_Mounter</v>
      </c>
      <c r="AS1367" s="22" t="str">
        <f t="shared" si="414"/>
        <v/>
      </c>
      <c r="AT1367" s="24" t="str">
        <f t="shared" si="415"/>
        <v/>
      </c>
      <c r="AU1367" s="22" t="s">
        <v>3745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6"/>
        <v>843000</v>
      </c>
      <c r="AA1368" s="13">
        <v>1.1499999999999999</v>
      </c>
      <c r="AB1368" s="21">
        <f t="shared" si="417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02"/>
        <v>26754147.763010349</v>
      </c>
      <c r="AJ1368" s="19">
        <f t="shared" si="403"/>
        <v>3429137.9965357962</v>
      </c>
      <c r="AK1368" s="20">
        <f t="shared" si="410"/>
        <v>0.12817220069617921</v>
      </c>
      <c r="AL1368" s="17"/>
      <c r="AM1368" s="17"/>
      <c r="AN1368" s="17"/>
      <c r="AO1368" s="17"/>
      <c r="AP1368" s="28" t="str">
        <f t="shared" si="411"/>
        <v>20188</v>
      </c>
      <c r="AQ1368" s="28" t="str">
        <f t="shared" si="412"/>
        <v>20188RMB</v>
      </c>
      <c r="AR1368" s="206" t="str">
        <f t="shared" si="413"/>
        <v>YAMAHA_Mounter</v>
      </c>
      <c r="AS1368" s="22">
        <f t="shared" si="414"/>
        <v>3</v>
      </c>
      <c r="AT1368" s="24" t="str">
        <f t="shared" si="415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6"/>
        <v>900000</v>
      </c>
      <c r="AA1369" s="13">
        <v>1.175</v>
      </c>
      <c r="AB1369" s="21">
        <f t="shared" si="417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02"/>
        <v>48763143.537654862</v>
      </c>
      <c r="AJ1369" s="19">
        <f t="shared" si="403"/>
        <v>5924029.9702154724</v>
      </c>
      <c r="AK1369" s="20">
        <f t="shared" si="410"/>
        <v>0.1214858095774925</v>
      </c>
      <c r="AL1369" s="17"/>
      <c r="AM1369" s="17"/>
      <c r="AN1369" s="17"/>
      <c r="AO1369" s="17"/>
      <c r="AP1369" s="28" t="str">
        <f t="shared" si="411"/>
        <v>202012</v>
      </c>
      <c r="AQ1369" s="28" t="str">
        <f t="shared" si="412"/>
        <v>202012RMB</v>
      </c>
      <c r="AR1369" s="206" t="str">
        <f t="shared" si="413"/>
        <v>YAMAHA_Mounter</v>
      </c>
      <c r="AS1369" s="22">
        <f t="shared" si="414"/>
        <v>2</v>
      </c>
      <c r="AT1369" s="24" t="str">
        <f t="shared" si="415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6"/>
        <v>620000</v>
      </c>
      <c r="AA1370" s="13">
        <v>1.1850000000000001</v>
      </c>
      <c r="AB1370" s="21">
        <f t="shared" si="417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02"/>
        <v>45803245.025628321</v>
      </c>
      <c r="AJ1370" s="19">
        <f t="shared" si="403"/>
        <v>5664636.2584379362</v>
      </c>
      <c r="AK1370" s="20">
        <f t="shared" si="410"/>
        <v>0.12367325186825515</v>
      </c>
      <c r="AL1370" s="17"/>
      <c r="AM1370" s="17"/>
      <c r="AN1370" s="17"/>
      <c r="AO1370" s="17"/>
      <c r="AP1370" s="28" t="str">
        <f t="shared" si="411"/>
        <v>20211</v>
      </c>
      <c r="AQ1370" s="28" t="str">
        <f t="shared" si="412"/>
        <v>20211RMB</v>
      </c>
      <c r="AR1370" s="206" t="str">
        <f t="shared" si="413"/>
        <v>YAMAHA_Mounter</v>
      </c>
      <c r="AS1370" s="22">
        <f t="shared" si="414"/>
        <v>3</v>
      </c>
      <c r="AT1370" s="24" t="str">
        <f t="shared" si="415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6"/>
        <v>875000</v>
      </c>
      <c r="AA1371" s="13">
        <v>1.175</v>
      </c>
      <c r="AB1371" s="21">
        <f t="shared" si="417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02"/>
        <v>48763143.537654862</v>
      </c>
      <c r="AJ1371" s="19">
        <f t="shared" si="403"/>
        <v>5924029.9702154724</v>
      </c>
      <c r="AK1371" s="20">
        <f t="shared" si="410"/>
        <v>0.1214858095774925</v>
      </c>
      <c r="AL1371" s="17"/>
      <c r="AM1371" s="17"/>
      <c r="AN1371" s="17"/>
      <c r="AO1371" s="17"/>
      <c r="AP1371" s="28" t="str">
        <f t="shared" si="411"/>
        <v>202012</v>
      </c>
      <c r="AQ1371" s="28" t="str">
        <f t="shared" si="412"/>
        <v>202012RMB</v>
      </c>
      <c r="AR1371" s="206" t="str">
        <f t="shared" si="413"/>
        <v>YAMAHA_Mounter</v>
      </c>
      <c r="AS1371" s="22">
        <f t="shared" si="414"/>
        <v>8</v>
      </c>
      <c r="AT1371" s="24" t="str">
        <f t="shared" si="415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6"/>
        <v>875000</v>
      </c>
      <c r="AA1372" s="13">
        <v>1.175</v>
      </c>
      <c r="AB1372" s="21">
        <f t="shared" si="417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02"/>
        <v>48763143.537654862</v>
      </c>
      <c r="AJ1372" s="19">
        <f t="shared" si="403"/>
        <v>5924029.9702154724</v>
      </c>
      <c r="AK1372" s="20">
        <f t="shared" si="410"/>
        <v>0.1214858095774925</v>
      </c>
      <c r="AL1372" s="17"/>
      <c r="AM1372" s="17"/>
      <c r="AN1372" s="17"/>
      <c r="AO1372" s="17"/>
      <c r="AP1372" s="28" t="str">
        <f t="shared" si="411"/>
        <v>202012</v>
      </c>
      <c r="AQ1372" s="28" t="str">
        <f t="shared" si="412"/>
        <v>202012RMB</v>
      </c>
      <c r="AR1372" s="206" t="str">
        <f t="shared" si="413"/>
        <v>YAMAHA_Mounter</v>
      </c>
      <c r="AS1372" s="22">
        <f t="shared" si="414"/>
        <v>8</v>
      </c>
      <c r="AT1372" s="24" t="str">
        <f t="shared" si="415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6"/>
        <v>927000</v>
      </c>
      <c r="AA1373" s="13">
        <v>1.155</v>
      </c>
      <c r="AB1373" s="21">
        <f t="shared" si="417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02"/>
        <v>44078731.611185849</v>
      </c>
      <c r="AJ1373" s="19">
        <f t="shared" si="403"/>
        <v>5508173.2163771465</v>
      </c>
      <c r="AK1373" s="20">
        <f t="shared" si="410"/>
        <v>0.12496215328889679</v>
      </c>
      <c r="AL1373" s="17"/>
      <c r="AM1373" s="17"/>
      <c r="AN1373" s="17"/>
      <c r="AO1373" s="17"/>
      <c r="AP1373" s="28" t="str">
        <f t="shared" si="411"/>
        <v>202011</v>
      </c>
      <c r="AQ1373" s="28" t="str">
        <f t="shared" si="412"/>
        <v>202011RMB</v>
      </c>
      <c r="AR1373" s="206" t="str">
        <f t="shared" si="413"/>
        <v>YAMAHA_Mounter</v>
      </c>
      <c r="AS1373" s="22">
        <f t="shared" si="414"/>
        <v>2</v>
      </c>
      <c r="AT1373" s="24" t="str">
        <f t="shared" si="415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18"/>
        <v>1.13</v>
      </c>
      <c r="Z1374" s="18">
        <f t="shared" si="416"/>
        <v>927000</v>
      </c>
      <c r="AA1374" s="13">
        <v>1.155</v>
      </c>
      <c r="AB1374" s="21">
        <f t="shared" si="417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02"/>
        <v>44078731.611185849</v>
      </c>
      <c r="AJ1374" s="19">
        <f t="shared" si="403"/>
        <v>5508173.2163771465</v>
      </c>
      <c r="AK1374" s="20">
        <f t="shared" si="410"/>
        <v>0.12496215328889679</v>
      </c>
      <c r="AL1374" s="17"/>
      <c r="AM1374" s="17"/>
      <c r="AN1374" s="17"/>
      <c r="AO1374" s="17"/>
      <c r="AP1374" s="28" t="str">
        <f t="shared" si="411"/>
        <v>202011</v>
      </c>
      <c r="AQ1374" s="28" t="str">
        <f t="shared" si="412"/>
        <v>202011RMB</v>
      </c>
      <c r="AR1374" s="206" t="str">
        <f t="shared" si="413"/>
        <v>YAMAHA_Mounter</v>
      </c>
      <c r="AS1374" s="22">
        <f t="shared" si="414"/>
        <v>2</v>
      </c>
      <c r="AT1374" s="24" t="str">
        <f t="shared" si="415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18"/>
        <v>1.13</v>
      </c>
      <c r="Z1375" s="18">
        <f t="shared" si="416"/>
        <v>927000</v>
      </c>
      <c r="AA1375" s="13">
        <v>1.155</v>
      </c>
      <c r="AB1375" s="21">
        <f t="shared" si="417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02"/>
        <v>44078731.611185849</v>
      </c>
      <c r="AJ1375" s="19">
        <f t="shared" si="403"/>
        <v>5508173.2163771465</v>
      </c>
      <c r="AK1375" s="20">
        <f t="shared" si="410"/>
        <v>0.12496215328889679</v>
      </c>
      <c r="AL1375" s="17"/>
      <c r="AM1375" s="17"/>
      <c r="AN1375" s="17"/>
      <c r="AO1375" s="17"/>
      <c r="AP1375" s="28" t="str">
        <f t="shared" si="411"/>
        <v>202011</v>
      </c>
      <c r="AQ1375" s="28" t="str">
        <f t="shared" si="412"/>
        <v>202011RMB</v>
      </c>
      <c r="AR1375" s="206" t="str">
        <f t="shared" si="413"/>
        <v>YAMAHA_Mounter</v>
      </c>
      <c r="AS1375" s="22">
        <f t="shared" si="414"/>
        <v>2</v>
      </c>
      <c r="AT1375" s="24" t="str">
        <f t="shared" si="415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18"/>
        <v>1.13</v>
      </c>
      <c r="Z1376" s="18">
        <f t="shared" si="416"/>
        <v>927000</v>
      </c>
      <c r="AA1376" s="13">
        <v>1.155</v>
      </c>
      <c r="AB1376" s="21">
        <f t="shared" si="417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02"/>
        <v>44078731.611185849</v>
      </c>
      <c r="AJ1376" s="19">
        <f t="shared" si="403"/>
        <v>5508173.2163771465</v>
      </c>
      <c r="AK1376" s="20">
        <f t="shared" si="410"/>
        <v>0.12496215328889679</v>
      </c>
      <c r="AL1376" s="17"/>
      <c r="AM1376" s="17"/>
      <c r="AN1376" s="17"/>
      <c r="AO1376" s="17"/>
      <c r="AP1376" s="28" t="str">
        <f t="shared" si="411"/>
        <v>202011</v>
      </c>
      <c r="AQ1376" s="28" t="str">
        <f t="shared" si="412"/>
        <v>202011RMB</v>
      </c>
      <c r="AR1376" s="206" t="str">
        <f t="shared" si="413"/>
        <v>YAMAHA_Mounter</v>
      </c>
      <c r="AS1376" s="22">
        <f t="shared" si="414"/>
        <v>2</v>
      </c>
      <c r="AT1376" s="24" t="str">
        <f t="shared" si="415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18"/>
        <v>1.13</v>
      </c>
      <c r="Z1377" s="18">
        <f t="shared" si="416"/>
        <v>927000</v>
      </c>
      <c r="AA1377" s="13">
        <v>1.155</v>
      </c>
      <c r="AB1377" s="21">
        <f t="shared" si="417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02"/>
        <v>44078731.611185849</v>
      </c>
      <c r="AJ1377" s="19">
        <f t="shared" si="403"/>
        <v>5508173.2163771465</v>
      </c>
      <c r="AK1377" s="20">
        <f t="shared" si="410"/>
        <v>0.12496215328889679</v>
      </c>
      <c r="AL1377" s="17"/>
      <c r="AM1377" s="17"/>
      <c r="AN1377" s="17"/>
      <c r="AO1377" s="17"/>
      <c r="AP1377" s="28" t="str">
        <f t="shared" si="411"/>
        <v>202011</v>
      </c>
      <c r="AQ1377" s="28" t="str">
        <f t="shared" si="412"/>
        <v>202011RMB</v>
      </c>
      <c r="AR1377" s="206" t="str">
        <f t="shared" si="413"/>
        <v>YAMAHA_Mounter</v>
      </c>
      <c r="AS1377" s="22">
        <f t="shared" si="414"/>
        <v>2</v>
      </c>
      <c r="AT1377" s="24" t="str">
        <f t="shared" si="415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18"/>
        <v>1.13</v>
      </c>
      <c r="Z1378" s="18">
        <f t="shared" si="416"/>
        <v>526000</v>
      </c>
      <c r="AA1378" s="13">
        <v>1.155</v>
      </c>
      <c r="AB1378" s="21">
        <f t="shared" si="417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02"/>
        <v>44078731.611185849</v>
      </c>
      <c r="AJ1378" s="19">
        <f t="shared" si="403"/>
        <v>5508173.2163771465</v>
      </c>
      <c r="AK1378" s="20">
        <f t="shared" si="410"/>
        <v>0.12496215328889679</v>
      </c>
      <c r="AL1378" s="17"/>
      <c r="AM1378" s="17"/>
      <c r="AN1378" s="17"/>
      <c r="AO1378" s="17"/>
      <c r="AP1378" s="28" t="str">
        <f t="shared" si="411"/>
        <v>202011</v>
      </c>
      <c r="AQ1378" s="28" t="str">
        <f t="shared" si="412"/>
        <v>202011RMB</v>
      </c>
      <c r="AR1378" s="206" t="str">
        <f t="shared" si="413"/>
        <v>YAMAHA_Mounter</v>
      </c>
      <c r="AS1378" s="22">
        <f t="shared" si="414"/>
        <v>0</v>
      </c>
      <c r="AT1378" s="24" t="str">
        <f t="shared" si="415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18"/>
        <v>1.13</v>
      </c>
      <c r="Z1379" s="18">
        <f t="shared" si="416"/>
        <v>624800</v>
      </c>
      <c r="AA1379" s="13">
        <v>1.2150000000000001</v>
      </c>
      <c r="AB1379" s="21">
        <f t="shared" si="417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02"/>
        <v>54700260.692079648</v>
      </c>
      <c r="AJ1379" s="19">
        <f t="shared" si="403"/>
        <v>7482899.5749188727</v>
      </c>
      <c r="AK1379" s="20">
        <f t="shared" si="410"/>
        <v>0.13679824337660537</v>
      </c>
      <c r="AL1379" s="17"/>
      <c r="AM1379" s="17"/>
      <c r="AN1379" s="17"/>
      <c r="AO1379" s="17"/>
      <c r="AP1379" s="28" t="str">
        <f t="shared" si="411"/>
        <v>20216</v>
      </c>
      <c r="AQ1379" s="28" t="str">
        <f t="shared" si="412"/>
        <v>20216RMB</v>
      </c>
      <c r="AR1379" s="206" t="str">
        <f t="shared" si="413"/>
        <v>YAMAHA_Mounter</v>
      </c>
      <c r="AS1379" s="22">
        <f t="shared" si="414"/>
        <v>2</v>
      </c>
      <c r="AT1379" s="24" t="str">
        <f t="shared" si="415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18"/>
        <v>1.13</v>
      </c>
      <c r="Z1380" s="18">
        <f t="shared" si="416"/>
        <v>624800</v>
      </c>
      <c r="AA1380" s="13">
        <v>1.2150000000000001</v>
      </c>
      <c r="AB1380" s="21">
        <f t="shared" si="417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02"/>
        <v>54700260.692079648</v>
      </c>
      <c r="AJ1380" s="19">
        <f t="shared" si="403"/>
        <v>7482899.5749188727</v>
      </c>
      <c r="AK1380" s="20">
        <f t="shared" si="410"/>
        <v>0.13679824337660537</v>
      </c>
      <c r="AL1380" s="17"/>
      <c r="AM1380" s="17"/>
      <c r="AN1380" s="17"/>
      <c r="AO1380" s="17"/>
      <c r="AP1380" s="28" t="str">
        <f t="shared" si="411"/>
        <v>20216</v>
      </c>
      <c r="AQ1380" s="28" t="str">
        <f t="shared" si="412"/>
        <v>20216RMB</v>
      </c>
      <c r="AR1380" s="206" t="str">
        <f t="shared" si="413"/>
        <v>YAMAHA_Mounter</v>
      </c>
      <c r="AS1380" s="22">
        <f t="shared" si="414"/>
        <v>2</v>
      </c>
      <c r="AT1380" s="24" t="str">
        <f t="shared" si="415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18"/>
        <v>1.13</v>
      </c>
      <c r="Z1381" s="18">
        <f t="shared" si="416"/>
        <v>624800</v>
      </c>
      <c r="AA1381" s="13">
        <v>1.2150000000000001</v>
      </c>
      <c r="AB1381" s="21">
        <f t="shared" si="417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02"/>
        <v>54700260.692079648</v>
      </c>
      <c r="AJ1381" s="19">
        <f t="shared" si="403"/>
        <v>7482899.5749188727</v>
      </c>
      <c r="AK1381" s="20">
        <f t="shared" si="410"/>
        <v>0.13679824337660537</v>
      </c>
      <c r="AL1381" s="17"/>
      <c r="AM1381" s="17"/>
      <c r="AN1381" s="17"/>
      <c r="AO1381" s="17"/>
      <c r="AP1381" s="28" t="str">
        <f t="shared" si="411"/>
        <v>20216</v>
      </c>
      <c r="AQ1381" s="28" t="str">
        <f t="shared" si="412"/>
        <v>20216RMB</v>
      </c>
      <c r="AR1381" s="206" t="str">
        <f t="shared" si="413"/>
        <v>YAMAHA_Mounter</v>
      </c>
      <c r="AS1381" s="22">
        <f t="shared" si="414"/>
        <v>2</v>
      </c>
      <c r="AT1381" s="24" t="str">
        <f t="shared" si="415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18"/>
        <v>1.13</v>
      </c>
      <c r="Z1382" s="18">
        <f t="shared" si="416"/>
        <v>624800</v>
      </c>
      <c r="AA1382" s="13">
        <v>1.2150000000000001</v>
      </c>
      <c r="AB1382" s="21">
        <f t="shared" si="417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02"/>
        <v>54700260.692079648</v>
      </c>
      <c r="AJ1382" s="19">
        <f t="shared" si="403"/>
        <v>7482899.5749188727</v>
      </c>
      <c r="AK1382" s="20">
        <f t="shared" si="410"/>
        <v>0.13679824337660537</v>
      </c>
      <c r="AL1382" s="17"/>
      <c r="AM1382" s="17"/>
      <c r="AN1382" s="17"/>
      <c r="AO1382" s="17"/>
      <c r="AP1382" s="28" t="str">
        <f t="shared" si="411"/>
        <v>20216</v>
      </c>
      <c r="AQ1382" s="28" t="str">
        <f t="shared" si="412"/>
        <v>20216RMB</v>
      </c>
      <c r="AR1382" s="206" t="str">
        <f t="shared" si="413"/>
        <v>YAMAHA_Mounter</v>
      </c>
      <c r="AS1382" s="22">
        <f t="shared" si="414"/>
        <v>2</v>
      </c>
      <c r="AT1382" s="24" t="str">
        <f t="shared" si="415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18"/>
        <v>1.13</v>
      </c>
      <c r="Z1383" s="18">
        <f t="shared" si="416"/>
        <v>624800</v>
      </c>
      <c r="AA1383" s="13">
        <v>1.2150000000000001</v>
      </c>
      <c r="AB1383" s="21">
        <f t="shared" si="417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02"/>
        <v>54700260.692079648</v>
      </c>
      <c r="AJ1383" s="19">
        <f t="shared" si="403"/>
        <v>7482899.5749188727</v>
      </c>
      <c r="AK1383" s="20">
        <f t="shared" si="410"/>
        <v>0.13679824337660537</v>
      </c>
      <c r="AL1383" s="17"/>
      <c r="AM1383" s="17"/>
      <c r="AN1383" s="17"/>
      <c r="AO1383" s="17"/>
      <c r="AP1383" s="28" t="str">
        <f t="shared" si="411"/>
        <v>20216</v>
      </c>
      <c r="AQ1383" s="28" t="str">
        <f t="shared" si="412"/>
        <v>20216RMB</v>
      </c>
      <c r="AR1383" s="206" t="str">
        <f t="shared" si="413"/>
        <v>YAMAHA_Mounter</v>
      </c>
      <c r="AS1383" s="22">
        <f t="shared" si="414"/>
        <v>2</v>
      </c>
      <c r="AT1383" s="24" t="str">
        <f t="shared" si="415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18"/>
        <v>1.13</v>
      </c>
      <c r="Z1384" s="18">
        <f t="shared" si="416"/>
        <v>8000</v>
      </c>
      <c r="AA1384" s="13">
        <v>1.22</v>
      </c>
      <c r="AB1384" s="21">
        <f t="shared" si="417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02"/>
        <v>28726768.133805312</v>
      </c>
      <c r="AJ1384" s="19">
        <f t="shared" si="403"/>
        <v>3853638.1988864429</v>
      </c>
      <c r="AK1384" s="20">
        <f t="shared" si="410"/>
        <v>0.1341479898099476</v>
      </c>
      <c r="AL1384" s="17"/>
      <c r="AM1384" s="17"/>
      <c r="AN1384" s="17"/>
      <c r="AO1384" s="17"/>
      <c r="AP1384" s="28" t="str">
        <f t="shared" si="411"/>
        <v>20223</v>
      </c>
      <c r="AQ1384" s="28" t="str">
        <f t="shared" si="412"/>
        <v>20223RMB</v>
      </c>
      <c r="AR1384" s="206" t="str">
        <f t="shared" si="413"/>
        <v>YAMAHA_Mounter</v>
      </c>
      <c r="AS1384" s="22">
        <f t="shared" si="414"/>
        <v>0</v>
      </c>
      <c r="AT1384" s="24" t="str">
        <f t="shared" si="415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18"/>
        <v>1.13</v>
      </c>
      <c r="Z1385" s="18">
        <f t="shared" si="416"/>
        <v>561000</v>
      </c>
      <c r="AA1385" s="13">
        <v>1.1950000000000001</v>
      </c>
      <c r="AB1385" s="21">
        <f t="shared" si="417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02"/>
        <v>44014086.982070789</v>
      </c>
      <c r="AJ1385" s="19">
        <f t="shared" si="403"/>
        <v>6419974.0221889298</v>
      </c>
      <c r="AK1385" s="20">
        <f t="shared" si="410"/>
        <v>0.14586180158193709</v>
      </c>
      <c r="AL1385" s="17"/>
      <c r="AM1385" s="17"/>
      <c r="AN1385" s="17"/>
      <c r="AO1385" s="17"/>
      <c r="AP1385" s="28" t="str">
        <f t="shared" si="411"/>
        <v>20225</v>
      </c>
      <c r="AQ1385" s="28" t="str">
        <f t="shared" si="412"/>
        <v>20225RMB</v>
      </c>
      <c r="AR1385" s="206" t="str">
        <f t="shared" si="413"/>
        <v>YAMAHA_Mounter</v>
      </c>
      <c r="AS1385" s="22">
        <f t="shared" si="414"/>
        <v>3</v>
      </c>
      <c r="AT1385" s="24" t="str">
        <f t="shared" si="415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18"/>
        <v>1.13</v>
      </c>
      <c r="Z1386" s="18">
        <f t="shared" si="416"/>
        <v>5600</v>
      </c>
      <c r="AA1386" s="13">
        <v>1.105</v>
      </c>
      <c r="AB1386" s="21">
        <f t="shared" si="417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02"/>
        <v>35682787.057522126</v>
      </c>
      <c r="AJ1386" s="19">
        <f t="shared" si="403"/>
        <v>5833368.3789623892</v>
      </c>
      <c r="AK1386" s="20">
        <f t="shared" si="410"/>
        <v>0.16347849649632912</v>
      </c>
      <c r="AL1386" s="17"/>
      <c r="AM1386" s="17"/>
      <c r="AN1386" s="17"/>
      <c r="AO1386" s="17"/>
      <c r="AP1386" s="28" t="str">
        <f t="shared" si="411"/>
        <v>20226</v>
      </c>
      <c r="AQ1386" s="28" t="str">
        <f t="shared" si="412"/>
        <v>20226RMB</v>
      </c>
      <c r="AR1386" s="206" t="str">
        <f t="shared" si="413"/>
        <v>YAMAHA_Mounter</v>
      </c>
      <c r="AS1386" s="22">
        <f t="shared" si="414"/>
        <v>0</v>
      </c>
      <c r="AT1386" s="24" t="str">
        <f t="shared" si="415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18"/>
        <v>1.13</v>
      </c>
      <c r="Z1387" s="18">
        <f t="shared" si="416"/>
        <v>420000</v>
      </c>
      <c r="AA1387" s="13">
        <v>1.081</v>
      </c>
      <c r="AB1387" s="21">
        <f t="shared" si="417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02"/>
        <v>15951056.41591504</v>
      </c>
      <c r="AJ1387" s="19">
        <f t="shared" si="403"/>
        <v>1966354.6022462982</v>
      </c>
      <c r="AK1387" s="20">
        <f t="shared" si="410"/>
        <v>0.12327425538313459</v>
      </c>
      <c r="AL1387" s="17"/>
      <c r="AM1387" s="17"/>
      <c r="AN1387" s="17"/>
      <c r="AO1387" s="17"/>
      <c r="AP1387" s="28" t="str">
        <f t="shared" si="411"/>
        <v>20237</v>
      </c>
      <c r="AQ1387" s="28" t="str">
        <f t="shared" si="412"/>
        <v>20237RMB</v>
      </c>
      <c r="AR1387" s="206" t="str">
        <f t="shared" si="413"/>
        <v>YAMAHA_Mounter</v>
      </c>
      <c r="AS1387" s="22">
        <f t="shared" si="414"/>
        <v>2</v>
      </c>
      <c r="AT1387" s="24" t="str">
        <f t="shared" si="415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18"/>
        <v>1.13</v>
      </c>
      <c r="Z1388" s="18">
        <f t="shared" si="416"/>
        <v>420000</v>
      </c>
      <c r="AA1388" s="13">
        <v>1.081</v>
      </c>
      <c r="AB1388" s="21">
        <f t="shared" si="417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02"/>
        <v>15951056.41591504</v>
      </c>
      <c r="AJ1388" s="19">
        <f t="shared" si="403"/>
        <v>1966354.6022462982</v>
      </c>
      <c r="AK1388" s="20">
        <f t="shared" si="410"/>
        <v>0.12327425538313459</v>
      </c>
      <c r="AL1388" s="17"/>
      <c r="AM1388" s="17"/>
      <c r="AN1388" s="17"/>
      <c r="AO1388" s="17"/>
      <c r="AP1388" s="28" t="str">
        <f t="shared" si="411"/>
        <v>20237</v>
      </c>
      <c r="AQ1388" s="28" t="str">
        <f t="shared" si="412"/>
        <v>20237RMB</v>
      </c>
      <c r="AR1388" s="206" t="str">
        <f t="shared" si="413"/>
        <v>YAMAHA_Mounter</v>
      </c>
      <c r="AS1388" s="22">
        <f t="shared" si="414"/>
        <v>2</v>
      </c>
      <c r="AT1388" s="24" t="str">
        <f t="shared" si="415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18"/>
        <v>1.13</v>
      </c>
      <c r="Z1389" s="18">
        <f t="shared" si="416"/>
        <v>670000</v>
      </c>
      <c r="AA1389" s="13">
        <v>1.077</v>
      </c>
      <c r="AB1389" s="21">
        <f t="shared" si="417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02"/>
        <v>26078226.463097349</v>
      </c>
      <c r="AJ1389" s="19">
        <f t="shared" si="403"/>
        <v>3137870.4427774516</v>
      </c>
      <c r="AK1389" s="20">
        <f t="shared" si="410"/>
        <v>0.12032530077218917</v>
      </c>
      <c r="AL1389" s="17"/>
      <c r="AM1389" s="17"/>
      <c r="AN1389" s="17"/>
      <c r="AO1389" s="17"/>
      <c r="AP1389" s="28" t="str">
        <f t="shared" si="411"/>
        <v>20239</v>
      </c>
      <c r="AQ1389" s="28" t="str">
        <f t="shared" si="412"/>
        <v>20239RMB</v>
      </c>
      <c r="AR1389" s="206" t="str">
        <f t="shared" si="413"/>
        <v>YAMAHA_Mounter</v>
      </c>
      <c r="AS1389" s="22">
        <f t="shared" si="414"/>
        <v>1</v>
      </c>
      <c r="AT1389" s="24" t="str">
        <f t="shared" si="415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6"/>
        <v/>
      </c>
      <c r="AA1390" s="22"/>
      <c r="AB1390" s="197">
        <v>46000</v>
      </c>
      <c r="AC1390" s="198">
        <f t="shared" si="408"/>
        <v>13800</v>
      </c>
      <c r="AD1390" s="22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02"/>
        <v>11472879.764601771</v>
      </c>
      <c r="AJ1390" s="200">
        <f t="shared" si="403"/>
        <v>2038344.1716106194</v>
      </c>
      <c r="AK1390" s="201">
        <f t="shared" si="410"/>
        <v>0.17766630640544948</v>
      </c>
      <c r="AL1390" s="24"/>
      <c r="AM1390" s="24"/>
      <c r="AN1390" s="24"/>
      <c r="AO1390" s="24"/>
      <c r="AP1390" s="105" t="str">
        <f t="shared" si="411"/>
        <v>20245</v>
      </c>
      <c r="AQ1390" s="28" t="str">
        <f t="shared" si="412"/>
        <v/>
      </c>
      <c r="AR1390" s="206" t="str">
        <f t="shared" si="413"/>
        <v>C66 SERVICE</v>
      </c>
      <c r="AS1390" s="22" t="str">
        <f t="shared" si="414"/>
        <v/>
      </c>
      <c r="AT1390" s="24" t="str">
        <f t="shared" si="415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6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02"/>
        <v>5219988.5752212387</v>
      </c>
      <c r="AJ1391" s="19">
        <f t="shared" si="403"/>
        <v>631627.0013460177</v>
      </c>
      <c r="AK1391" s="96">
        <f t="shared" si="410"/>
        <v>0.12100160608478869</v>
      </c>
      <c r="AL1391" s="17"/>
      <c r="AM1391" s="17"/>
      <c r="AN1391" s="17"/>
      <c r="AO1391" s="17"/>
      <c r="AP1391" s="28" t="str">
        <f t="shared" si="411"/>
        <v>202310</v>
      </c>
      <c r="AQ1391" s="28" t="str">
        <f t="shared" si="412"/>
        <v>202310RMB</v>
      </c>
      <c r="AR1391" s="206" t="str">
        <f t="shared" si="413"/>
        <v>YAMAHA_Mounter</v>
      </c>
      <c r="AS1391" s="22">
        <f t="shared" si="414"/>
        <v>3</v>
      </c>
      <c r="AT1391" s="24" t="str">
        <f t="shared" si="415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6"/>
        <v/>
      </c>
      <c r="AA1392" s="22"/>
      <c r="AB1392" s="197">
        <v>100000</v>
      </c>
      <c r="AC1392" s="198">
        <f t="shared" si="408"/>
        <v>30000</v>
      </c>
      <c r="AD1392" s="22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02"/>
        <v>11472879.764601771</v>
      </c>
      <c r="AJ1392" s="200">
        <f t="shared" si="403"/>
        <v>2038344.1716106194</v>
      </c>
      <c r="AK1392" s="201">
        <f t="shared" si="410"/>
        <v>0.17766630640544948</v>
      </c>
      <c r="AL1392" s="24"/>
      <c r="AM1392" s="24"/>
      <c r="AN1392" s="24"/>
      <c r="AO1392" s="24"/>
      <c r="AP1392" s="105" t="str">
        <f t="shared" si="411"/>
        <v>20245</v>
      </c>
      <c r="AQ1392" s="28" t="str">
        <f t="shared" si="412"/>
        <v/>
      </c>
      <c r="AR1392" s="206" t="str">
        <f t="shared" si="413"/>
        <v>C66 SERVICE</v>
      </c>
      <c r="AS1392" s="22" t="str">
        <f t="shared" si="414"/>
        <v/>
      </c>
      <c r="AT1392" s="24" t="str">
        <f t="shared" si="415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6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02"/>
        <v>28726768.133805312</v>
      </c>
      <c r="AJ1393" s="19">
        <f t="shared" si="403"/>
        <v>3853638.1988864429</v>
      </c>
      <c r="AK1393" s="20">
        <f t="shared" si="410"/>
        <v>0.1341479898099476</v>
      </c>
      <c r="AL1393" s="17"/>
      <c r="AM1393" s="17"/>
      <c r="AN1393" s="17"/>
      <c r="AO1393" s="17"/>
      <c r="AP1393" s="28" t="str">
        <f t="shared" si="411"/>
        <v>20223</v>
      </c>
      <c r="AQ1393" s="28" t="str">
        <f t="shared" si="412"/>
        <v>20223RMB</v>
      </c>
      <c r="AR1393" s="206" t="str">
        <f t="shared" si="413"/>
        <v>YAMAHA_Mounter</v>
      </c>
      <c r="AS1393" s="22">
        <f t="shared" si="414"/>
        <v>8</v>
      </c>
      <c r="AT1393" s="24" t="str">
        <f t="shared" si="415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6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02"/>
        <v>28726768.133805312</v>
      </c>
      <c r="AJ1394" s="19">
        <f t="shared" si="403"/>
        <v>3853638.1988864429</v>
      </c>
      <c r="AK1394" s="20">
        <f t="shared" si="410"/>
        <v>0.1341479898099476</v>
      </c>
      <c r="AL1394" s="17"/>
      <c r="AM1394" s="17"/>
      <c r="AN1394" s="17"/>
      <c r="AO1394" s="17"/>
      <c r="AP1394" s="28" t="str">
        <f t="shared" si="411"/>
        <v>20223</v>
      </c>
      <c r="AQ1394" s="28" t="str">
        <f t="shared" si="412"/>
        <v>20223RMB</v>
      </c>
      <c r="AR1394" s="206" t="str">
        <f t="shared" si="413"/>
        <v>YAMAHA_Mounter</v>
      </c>
      <c r="AS1394" s="22">
        <f t="shared" si="414"/>
        <v>8</v>
      </c>
      <c r="AT1394" s="24" t="str">
        <f t="shared" si="415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6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02"/>
        <v>499582152.5142017</v>
      </c>
      <c r="AJ1395" s="19">
        <f t="shared" si="403"/>
        <v>59520528.679470733</v>
      </c>
      <c r="AK1395" s="20">
        <f t="shared" si="410"/>
        <v>0.11914062257814291</v>
      </c>
      <c r="AL1395" s="17"/>
      <c r="AM1395" s="17"/>
      <c r="AN1395" s="17"/>
      <c r="AO1395" s="17"/>
      <c r="AP1395" s="28" t="str">
        <f t="shared" si="411"/>
        <v>CancelCancel</v>
      </c>
      <c r="AQ1395" s="28" t="str">
        <f t="shared" si="412"/>
        <v>CancelCancelRMB</v>
      </c>
      <c r="AR1395" s="206" t="str">
        <f t="shared" si="413"/>
        <v>YAMAHA_Mounter</v>
      </c>
      <c r="AS1395" s="22" t="str">
        <f t="shared" si="414"/>
        <v/>
      </c>
      <c r="AT1395" s="24" t="str">
        <f t="shared" si="415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6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02"/>
        <v>499582152.5142017</v>
      </c>
      <c r="AJ1396" s="19">
        <f t="shared" si="403"/>
        <v>59520528.679470733</v>
      </c>
      <c r="AK1396" s="20">
        <f t="shared" si="410"/>
        <v>0.11914062257814291</v>
      </c>
      <c r="AL1396" s="17"/>
      <c r="AM1396" s="17"/>
      <c r="AN1396" s="17"/>
      <c r="AO1396" s="17"/>
      <c r="AP1396" s="28" t="str">
        <f t="shared" si="411"/>
        <v>CancelCancel</v>
      </c>
      <c r="AQ1396" s="28" t="str">
        <f t="shared" si="412"/>
        <v>CancelCancelRMB</v>
      </c>
      <c r="AR1396" s="206" t="str">
        <f t="shared" si="413"/>
        <v>YAMAHA_Mounter</v>
      </c>
      <c r="AS1396" s="22" t="str">
        <f t="shared" si="414"/>
        <v/>
      </c>
      <c r="AT1396" s="24" t="str">
        <f t="shared" si="415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6"/>
        <v/>
      </c>
      <c r="AA1397" s="22"/>
      <c r="AB1397" s="197">
        <v>266000</v>
      </c>
      <c r="AC1397" s="198">
        <f t="shared" si="408"/>
        <v>79800</v>
      </c>
      <c r="AD1397" s="22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02"/>
        <v>11472879.764601771</v>
      </c>
      <c r="AJ1397" s="200">
        <f t="shared" si="403"/>
        <v>2038344.1716106194</v>
      </c>
      <c r="AK1397" s="201">
        <f t="shared" si="410"/>
        <v>0.17766630640544948</v>
      </c>
      <c r="AL1397" s="24"/>
      <c r="AM1397" s="24"/>
      <c r="AN1397" s="24"/>
      <c r="AO1397" s="24"/>
      <c r="AP1397" s="105" t="str">
        <f t="shared" si="411"/>
        <v>20245</v>
      </c>
      <c r="AQ1397" s="28" t="str">
        <f t="shared" si="412"/>
        <v/>
      </c>
      <c r="AR1397" s="206" t="str">
        <f t="shared" si="413"/>
        <v>C66 SERVICE</v>
      </c>
      <c r="AS1397" s="22" t="str">
        <f t="shared" si="414"/>
        <v/>
      </c>
      <c r="AT1397" s="24" t="str">
        <f t="shared" si="415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6"/>
        <v>90550</v>
      </c>
      <c r="AA1398" s="22">
        <v>1.08</v>
      </c>
      <c r="AB1398" s="21">
        <f t="shared" ref="AB1398:AB1461" si="419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02"/>
        <v>27308925.887079656</v>
      </c>
      <c r="AJ1398" s="27">
        <f t="shared" si="403"/>
        <v>3319273.860338124</v>
      </c>
      <c r="AK1398" s="28">
        <f t="shared" si="410"/>
        <v>0.12154538314919709</v>
      </c>
      <c r="AL1398" s="24"/>
      <c r="AM1398" s="24"/>
      <c r="AN1398" s="24"/>
      <c r="AO1398" s="24"/>
      <c r="AP1398" s="28" t="str">
        <f t="shared" si="411"/>
        <v>20246</v>
      </c>
      <c r="AQ1398" s="28" t="str">
        <f t="shared" si="412"/>
        <v>20246RMB</v>
      </c>
      <c r="AR1398" s="206" t="str">
        <f t="shared" si="413"/>
        <v>LOCAL SUPPLIER</v>
      </c>
      <c r="AS1398" s="22">
        <f t="shared" si="414"/>
        <v>2</v>
      </c>
      <c r="AT1398" s="24" t="str">
        <f t="shared" si="415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6"/>
        <v>993800</v>
      </c>
      <c r="AA1399" s="13">
        <v>1.22</v>
      </c>
      <c r="AB1399" s="21">
        <f t="shared" si="419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02"/>
        <v>26407088.359292038</v>
      </c>
      <c r="AJ1399" s="19">
        <f t="shared" si="403"/>
        <v>3424510.6998470789</v>
      </c>
      <c r="AK1399" s="20">
        <f t="shared" si="410"/>
        <v>0.12968149510667554</v>
      </c>
      <c r="AL1399" s="17"/>
      <c r="AM1399" s="17"/>
      <c r="AN1399" s="17"/>
      <c r="AO1399" s="17"/>
      <c r="AP1399" s="28" t="str">
        <f t="shared" si="411"/>
        <v>20221</v>
      </c>
      <c r="AQ1399" s="28" t="str">
        <f t="shared" si="412"/>
        <v>20221RMB</v>
      </c>
      <c r="AR1399" s="206" t="str">
        <f t="shared" si="413"/>
        <v>YAMAHA_Mounter</v>
      </c>
      <c r="AS1399" s="22">
        <f t="shared" si="414"/>
        <v>2</v>
      </c>
      <c r="AT1399" s="24" t="str">
        <f t="shared" si="415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6"/>
        <v>706050</v>
      </c>
      <c r="AA1400" s="13">
        <v>1.22</v>
      </c>
      <c r="AB1400" s="21">
        <f t="shared" si="419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02"/>
        <v>28726768.133805312</v>
      </c>
      <c r="AJ1400" s="19">
        <f t="shared" si="403"/>
        <v>3853638.1988864429</v>
      </c>
      <c r="AK1400" s="20">
        <f t="shared" si="410"/>
        <v>0.1341479898099476</v>
      </c>
      <c r="AL1400" s="17"/>
      <c r="AM1400" s="17"/>
      <c r="AN1400" s="17"/>
      <c r="AO1400" s="17"/>
      <c r="AP1400" s="28" t="str">
        <f t="shared" si="411"/>
        <v>20223</v>
      </c>
      <c r="AQ1400" s="28" t="str">
        <f t="shared" si="412"/>
        <v>20223RMB</v>
      </c>
      <c r="AR1400" s="206" t="str">
        <f t="shared" si="413"/>
        <v>YAMAHA_Mounter</v>
      </c>
      <c r="AS1400" s="22">
        <f t="shared" si="414"/>
        <v>3</v>
      </c>
      <c r="AT1400" s="24" t="str">
        <f t="shared" si="415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6"/>
        <v>993800</v>
      </c>
      <c r="AA1401" s="13">
        <v>1.22</v>
      </c>
      <c r="AB1401" s="21">
        <f t="shared" si="419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02"/>
        <v>28726768.133805312</v>
      </c>
      <c r="AJ1401" s="19">
        <f t="shared" si="403"/>
        <v>3853638.1988864429</v>
      </c>
      <c r="AK1401" s="20">
        <f t="shared" si="410"/>
        <v>0.1341479898099476</v>
      </c>
      <c r="AL1401" s="17"/>
      <c r="AM1401" s="17"/>
      <c r="AN1401" s="17"/>
      <c r="AO1401" s="17"/>
      <c r="AP1401" s="28" t="str">
        <f t="shared" si="411"/>
        <v>20223</v>
      </c>
      <c r="AQ1401" s="28" t="str">
        <f t="shared" si="412"/>
        <v>20223RMB</v>
      </c>
      <c r="AR1401" s="206" t="str">
        <f t="shared" si="413"/>
        <v>YAMAHA_Mounter</v>
      </c>
      <c r="AS1401" s="22">
        <f t="shared" si="414"/>
        <v>4</v>
      </c>
      <c r="AT1401" s="24" t="str">
        <f t="shared" si="415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6"/>
        <v>706050</v>
      </c>
      <c r="AA1402" s="13">
        <v>1.175</v>
      </c>
      <c r="AB1402" s="21">
        <f t="shared" si="419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02"/>
        <v>35682787.057522126</v>
      </c>
      <c r="AJ1402" s="19">
        <f t="shared" si="403"/>
        <v>5833368.3789623892</v>
      </c>
      <c r="AK1402" s="20">
        <f t="shared" si="410"/>
        <v>0.16347849649632912</v>
      </c>
      <c r="AL1402" s="17"/>
      <c r="AM1402" s="17"/>
      <c r="AN1402" s="17"/>
      <c r="AO1402" s="17"/>
      <c r="AP1402" s="28" t="str">
        <f t="shared" si="411"/>
        <v>20226</v>
      </c>
      <c r="AQ1402" s="28" t="str">
        <f t="shared" si="412"/>
        <v>20226RMB</v>
      </c>
      <c r="AR1402" s="206" t="str">
        <f t="shared" si="413"/>
        <v>YAMAHA_Mounter</v>
      </c>
      <c r="AS1402" s="22">
        <f t="shared" si="414"/>
        <v>6</v>
      </c>
      <c r="AT1402" s="24" t="str">
        <f t="shared" si="415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6"/>
        <v>790000</v>
      </c>
      <c r="AA1403" s="13">
        <v>1.0900000000000001</v>
      </c>
      <c r="AB1403" s="21">
        <f t="shared" si="419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02"/>
        <v>499582152.5142017</v>
      </c>
      <c r="AJ1403" s="19">
        <f t="shared" si="403"/>
        <v>59520528.679470733</v>
      </c>
      <c r="AK1403" s="20">
        <f t="shared" si="410"/>
        <v>0.11914062257814291</v>
      </c>
      <c r="AL1403" s="17"/>
      <c r="AM1403" s="17"/>
      <c r="AN1403" s="17"/>
      <c r="AO1403" s="17" t="s">
        <v>3366</v>
      </c>
      <c r="AP1403" s="28" t="str">
        <f t="shared" si="411"/>
        <v>CancelCancel</v>
      </c>
      <c r="AQ1403" s="28" t="str">
        <f t="shared" si="412"/>
        <v>CancelCancelRMB</v>
      </c>
      <c r="AR1403" s="206" t="str">
        <f t="shared" si="413"/>
        <v>YAMAHA_Mounter</v>
      </c>
      <c r="AS1403" s="22" t="str">
        <f t="shared" si="414"/>
        <v/>
      </c>
      <c r="AT1403" s="24" t="str">
        <f t="shared" si="415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6"/>
        <v>19698</v>
      </c>
      <c r="AA1404" s="22">
        <v>1.08</v>
      </c>
      <c r="AB1404" s="21">
        <f t="shared" si="419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02"/>
        <v>27308925.887079656</v>
      </c>
      <c r="AJ1404" s="27">
        <f t="shared" si="403"/>
        <v>3319273.860338124</v>
      </c>
      <c r="AK1404" s="28">
        <f t="shared" si="410"/>
        <v>0.12154538314919709</v>
      </c>
      <c r="AL1404" s="24"/>
      <c r="AM1404" s="24"/>
      <c r="AN1404" s="24"/>
      <c r="AO1404" s="24"/>
      <c r="AP1404" s="28" t="str">
        <f t="shared" si="411"/>
        <v>20246</v>
      </c>
      <c r="AQ1404" s="28" t="str">
        <f t="shared" si="412"/>
        <v>20246RMB</v>
      </c>
      <c r="AR1404" s="206" t="str">
        <f t="shared" si="413"/>
        <v>LOCAL SUPPLIER</v>
      </c>
      <c r="AS1404" s="22">
        <f t="shared" si="414"/>
        <v>2</v>
      </c>
      <c r="AT1404" s="24" t="str">
        <f t="shared" si="415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6"/>
        <v>19600</v>
      </c>
      <c r="AA1405" s="22">
        <v>1.08</v>
      </c>
      <c r="AB1405" s="21">
        <f t="shared" si="419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02"/>
        <v>27308925.887079656</v>
      </c>
      <c r="AJ1405" s="27">
        <f t="shared" si="403"/>
        <v>3319273.860338124</v>
      </c>
      <c r="AK1405" s="28">
        <f t="shared" si="410"/>
        <v>0.12154538314919709</v>
      </c>
      <c r="AL1405" s="24"/>
      <c r="AM1405" s="24"/>
      <c r="AN1405" s="24"/>
      <c r="AO1405" s="24"/>
      <c r="AP1405" s="28" t="str">
        <f t="shared" si="411"/>
        <v>20246</v>
      </c>
      <c r="AQ1405" s="28" t="str">
        <f t="shared" si="412"/>
        <v>20246RMB</v>
      </c>
      <c r="AR1405" s="206" t="str">
        <f t="shared" si="413"/>
        <v>LOCAL SUPPLIER</v>
      </c>
      <c r="AS1405" s="22">
        <f t="shared" si="414"/>
        <v>2</v>
      </c>
      <c r="AT1405" s="24" t="str">
        <f t="shared" si="415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6"/>
        <v>8000000</v>
      </c>
      <c r="AA1406" s="22">
        <v>5.0999999999999997E-2</v>
      </c>
      <c r="AB1406" s="21">
        <f t="shared" si="419"/>
        <v>408000</v>
      </c>
      <c r="AC1406" s="25">
        <f t="shared" si="408"/>
        <v>46838.400000000001</v>
      </c>
      <c r="AD1406" s="22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02"/>
        <v>27308925.887079656</v>
      </c>
      <c r="AJ1406" s="27">
        <f t="shared" si="403"/>
        <v>3319273.860338124</v>
      </c>
      <c r="AK1406" s="28">
        <f t="shared" si="410"/>
        <v>0.12154538314919709</v>
      </c>
      <c r="AL1406" s="24"/>
      <c r="AM1406" s="24"/>
      <c r="AN1406" s="24"/>
      <c r="AO1406" s="24"/>
      <c r="AP1406" s="28" t="str">
        <f t="shared" si="411"/>
        <v>20246</v>
      </c>
      <c r="AQ1406" s="28" t="str">
        <f t="shared" si="412"/>
        <v>20246JPY</v>
      </c>
      <c r="AR1406" s="206" t="str">
        <f t="shared" si="413"/>
        <v>YAMAHA_Mounter</v>
      </c>
      <c r="AS1406" s="22">
        <f t="shared" si="414"/>
        <v>2</v>
      </c>
      <c r="AT1406" s="24" t="str">
        <f t="shared" si="415"/>
        <v>0-3 months</v>
      </c>
      <c r="AU1406" s="22" t="s">
        <v>3745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0">IF(W1407="RMB","1.13", "1")</f>
        <v>1.13</v>
      </c>
      <c r="Z1407" s="18">
        <f t="shared" si="416"/>
        <v>930000</v>
      </c>
      <c r="AA1407" s="13">
        <v>1.18</v>
      </c>
      <c r="AB1407" s="21">
        <f t="shared" si="419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02"/>
        <v>43684091.636631854</v>
      </c>
      <c r="AJ1407" s="19">
        <f t="shared" si="403"/>
        <v>6483951.8242071122</v>
      </c>
      <c r="AK1407" s="20">
        <f t="shared" si="410"/>
        <v>0.14842821680123736</v>
      </c>
      <c r="AL1407" s="17"/>
      <c r="AM1407" s="17"/>
      <c r="AN1407" s="17"/>
      <c r="AO1407" s="17"/>
      <c r="AP1407" s="28" t="str">
        <f t="shared" si="411"/>
        <v>20214</v>
      </c>
      <c r="AQ1407" s="28" t="str">
        <f t="shared" si="412"/>
        <v>20214RMB</v>
      </c>
      <c r="AR1407" s="206" t="str">
        <f t="shared" si="413"/>
        <v>YAMAHA_Mounter</v>
      </c>
      <c r="AS1407" s="22">
        <f t="shared" si="414"/>
        <v>0</v>
      </c>
      <c r="AT1407" s="24" t="str">
        <f t="shared" si="415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0"/>
        <v>1.13</v>
      </c>
      <c r="Z1408" s="18">
        <f t="shared" si="416"/>
        <v>930000</v>
      </c>
      <c r="AA1408" s="13">
        <v>1.18</v>
      </c>
      <c r="AB1408" s="21">
        <f t="shared" si="419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02"/>
        <v>43684091.636631854</v>
      </c>
      <c r="AJ1408" s="19">
        <f t="shared" si="403"/>
        <v>6483951.8242071122</v>
      </c>
      <c r="AK1408" s="20">
        <f t="shared" si="410"/>
        <v>0.14842821680123736</v>
      </c>
      <c r="AL1408" s="17"/>
      <c r="AM1408" s="17"/>
      <c r="AN1408" s="17"/>
      <c r="AO1408" s="17"/>
      <c r="AP1408" s="28" t="str">
        <f t="shared" si="411"/>
        <v>20214</v>
      </c>
      <c r="AQ1408" s="28" t="str">
        <f t="shared" si="412"/>
        <v>20214RMB</v>
      </c>
      <c r="AR1408" s="206" t="str">
        <f t="shared" si="413"/>
        <v>YAMAHA_Mounter</v>
      </c>
      <c r="AS1408" s="22">
        <f t="shared" si="414"/>
        <v>0</v>
      </c>
      <c r="AT1408" s="24" t="str">
        <f t="shared" si="415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0"/>
        <v>1.13</v>
      </c>
      <c r="Z1409" s="18">
        <f t="shared" si="416"/>
        <v>500000</v>
      </c>
      <c r="AA1409" s="13">
        <v>1.175</v>
      </c>
      <c r="AB1409" s="21">
        <f t="shared" si="419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02"/>
        <v>35682787.057522126</v>
      </c>
      <c r="AJ1409" s="19">
        <f t="shared" si="403"/>
        <v>5833368.3789623892</v>
      </c>
      <c r="AK1409" s="20">
        <f t="shared" si="410"/>
        <v>0.16347849649632912</v>
      </c>
      <c r="AL1409" s="17"/>
      <c r="AM1409" s="17"/>
      <c r="AN1409" s="17"/>
      <c r="AO1409" s="17"/>
      <c r="AP1409" s="28" t="str">
        <f t="shared" si="411"/>
        <v>20226</v>
      </c>
      <c r="AQ1409" s="28" t="str">
        <f t="shared" si="412"/>
        <v>20226RMB</v>
      </c>
      <c r="AR1409" s="206" t="str">
        <f t="shared" si="413"/>
        <v>YAMAHA_Mounter</v>
      </c>
      <c r="AS1409" s="22">
        <f t="shared" si="414"/>
        <v>14</v>
      </c>
      <c r="AT1409" s="24" t="str">
        <f t="shared" si="415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0"/>
        <v>1.13</v>
      </c>
      <c r="Z1410" s="18">
        <f t="shared" si="416"/>
        <v>500000</v>
      </c>
      <c r="AA1410" s="13">
        <v>1.175</v>
      </c>
      <c r="AB1410" s="21">
        <f t="shared" si="419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21">IF(P1410="C66 SERVICE","",SUMIFS(AB:AB,F:F,F1410,G:G,G1410,E:E,E1410))</f>
        <v>35682787.057522126</v>
      </c>
      <c r="AJ1410" s="19">
        <f t="shared" ref="AJ1410:AJ1473" si="422">IF(P1410="C66 SERVICE","",SUMIFS(AC:AC,F:F,F1410,G:G,G1410,E:E,E1410))</f>
        <v>5833368.3789623892</v>
      </c>
      <c r="AK1410" s="20">
        <f t="shared" si="410"/>
        <v>0.16347849649632912</v>
      </c>
      <c r="AL1410" s="17"/>
      <c r="AM1410" s="17"/>
      <c r="AN1410" s="17"/>
      <c r="AO1410" s="17"/>
      <c r="AP1410" s="28" t="str">
        <f t="shared" si="411"/>
        <v>20226</v>
      </c>
      <c r="AQ1410" s="28" t="str">
        <f t="shared" si="412"/>
        <v>20226RMB</v>
      </c>
      <c r="AR1410" s="206" t="str">
        <f t="shared" si="413"/>
        <v>YAMAHA_Mounter</v>
      </c>
      <c r="AS1410" s="22">
        <f t="shared" si="414"/>
        <v>14</v>
      </c>
      <c r="AT1410" s="24" t="str">
        <f t="shared" si="415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0"/>
        <v>1.13</v>
      </c>
      <c r="Z1411" s="18">
        <f t="shared" si="416"/>
        <v>585200</v>
      </c>
      <c r="AA1411" s="13">
        <v>1.2</v>
      </c>
      <c r="AB1411" s="21">
        <f t="shared" si="419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21"/>
        <v>499582152.5142017</v>
      </c>
      <c r="AJ1411" s="19">
        <f t="shared" si="422"/>
        <v>59520528.679470733</v>
      </c>
      <c r="AK1411" s="20">
        <f t="shared" si="410"/>
        <v>0.11914062257814291</v>
      </c>
      <c r="AL1411" s="17"/>
      <c r="AM1411" s="17"/>
      <c r="AN1411" s="17"/>
      <c r="AO1411" s="17"/>
      <c r="AP1411" s="28" t="str">
        <f t="shared" si="411"/>
        <v>CancelCANCEL</v>
      </c>
      <c r="AQ1411" s="28" t="str">
        <f t="shared" si="412"/>
        <v>CancelCANCELRMB</v>
      </c>
      <c r="AR1411" s="206" t="str">
        <f t="shared" si="413"/>
        <v>YAMAHA_Mounter</v>
      </c>
      <c r="AS1411" s="22" t="str">
        <f t="shared" si="414"/>
        <v/>
      </c>
      <c r="AT1411" s="24" t="str">
        <f t="shared" si="415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0"/>
        <v>1.13</v>
      </c>
      <c r="Z1412" s="18">
        <f t="shared" si="416"/>
        <v>585200</v>
      </c>
      <c r="AA1412" s="13">
        <v>1.2</v>
      </c>
      <c r="AB1412" s="21">
        <f t="shared" si="419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21"/>
        <v>499582152.5142017</v>
      </c>
      <c r="AJ1412" s="19">
        <f t="shared" si="422"/>
        <v>59520528.679470733</v>
      </c>
      <c r="AK1412" s="20">
        <f t="shared" si="410"/>
        <v>0.11914062257814291</v>
      </c>
      <c r="AL1412" s="17"/>
      <c r="AM1412" s="17"/>
      <c r="AN1412" s="17"/>
      <c r="AO1412" s="17"/>
      <c r="AP1412" s="28" t="str">
        <f t="shared" si="411"/>
        <v>CancelCANCEL</v>
      </c>
      <c r="AQ1412" s="28" t="str">
        <f t="shared" si="412"/>
        <v>CancelCANCELRMB</v>
      </c>
      <c r="AR1412" s="206" t="str">
        <f t="shared" si="413"/>
        <v>YAMAHA_Mounter</v>
      </c>
      <c r="AS1412" s="22" t="str">
        <f t="shared" si="414"/>
        <v/>
      </c>
      <c r="AT1412" s="24" t="str">
        <f t="shared" si="415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0"/>
        <v>1.13</v>
      </c>
      <c r="Z1413" s="18">
        <f t="shared" si="416"/>
        <v>53744</v>
      </c>
      <c r="AA1413" s="13">
        <v>1.17</v>
      </c>
      <c r="AB1413" s="21">
        <f t="shared" si="419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21"/>
        <v>36480247.665929198</v>
      </c>
      <c r="AJ1413" s="19">
        <f t="shared" si="422"/>
        <v>5330996.6372757526</v>
      </c>
      <c r="AK1413" s="20">
        <f t="shared" si="410"/>
        <v>0.14613378412599562</v>
      </c>
      <c r="AL1413" s="17"/>
      <c r="AM1413" s="17"/>
      <c r="AN1413" s="17"/>
      <c r="AO1413" s="17" t="s">
        <v>3008</v>
      </c>
      <c r="AP1413" s="28" t="str">
        <f t="shared" si="411"/>
        <v>20227</v>
      </c>
      <c r="AQ1413" s="28" t="str">
        <f t="shared" si="412"/>
        <v>20227RMB</v>
      </c>
      <c r="AR1413" s="206" t="str">
        <f t="shared" si="413"/>
        <v>SOLDERSTAR</v>
      </c>
      <c r="AS1413" s="22">
        <f t="shared" si="414"/>
        <v>1</v>
      </c>
      <c r="AT1413" s="24" t="str">
        <f t="shared" si="415"/>
        <v>0-3 months</v>
      </c>
      <c r="AU1413" s="22" t="s">
        <v>3751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6"/>
        <v>1090000</v>
      </c>
      <c r="AA1414" s="13">
        <v>1.1100000000000001</v>
      </c>
      <c r="AB1414" s="21">
        <f t="shared" si="419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21"/>
        <v>27318180.088495575</v>
      </c>
      <c r="AJ1414" s="19">
        <f t="shared" si="422"/>
        <v>3014099.212353982</v>
      </c>
      <c r="AK1414" s="20">
        <f t="shared" ref="AK1414:AK1477" si="429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0">IF(F1414="","",F1414&amp;G1414)</f>
        <v>201912</v>
      </c>
      <c r="AQ1414" s="28" t="str">
        <f t="shared" ref="AQ1414:AQ1477" si="431">IF(W1414="","",F1414&amp;G1414&amp;W1414)</f>
        <v>201912RMB</v>
      </c>
      <c r="AR1414" s="206" t="str">
        <f t="shared" ref="AR1414:AR1477" si="432">IFERROR(IF(AND(M1414="YAMAHA", R1414="C28"), "YAMAHA_Non_Mounter", IF(AND(M1414="YAMAHA", R1414="C49"), "YAMAHA_Mounter", M1414)),"")</f>
        <v>YAMAHA_Mounter</v>
      </c>
      <c r="AS1414" s="22">
        <f t="shared" ref="AS1414:AS1477" si="433">IFERROR(IF(OR(G1414="TBA", G1414=""), "", DATEDIF(DATE(B1414, C1414, 1), DATE(F1414, G1414, 1), "M")),"")</f>
        <v>0</v>
      </c>
      <c r="AT1414" s="24" t="str">
        <f t="shared" ref="AT1414:AT1477" si="434">IF(ISNUMBER(AS1414), IF(AS1414&gt;=0, IF(AS1414&lt;=3, "0-3 months", IF(AS1414&lt;=6, "4-6 months", "&gt; 6 months"))), "")</f>
        <v>0-3 months</v>
      </c>
      <c r="AU1414" s="22" t="s">
        <v>3751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6"/>
        <v>600000</v>
      </c>
      <c r="AA1415" s="13">
        <v>1.1100000000000001</v>
      </c>
      <c r="AB1415" s="21">
        <f t="shared" si="419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1"/>
        <v>27318180.088495575</v>
      </c>
      <c r="AJ1415" s="19">
        <f t="shared" si="422"/>
        <v>3014099.212353982</v>
      </c>
      <c r="AK1415" s="20">
        <f t="shared" si="429"/>
        <v>0.11033308963444827</v>
      </c>
      <c r="AL1415" s="17"/>
      <c r="AM1415" s="17"/>
      <c r="AN1415" s="17"/>
      <c r="AO1415" s="17"/>
      <c r="AP1415" s="28" t="str">
        <f t="shared" si="430"/>
        <v>201912</v>
      </c>
      <c r="AQ1415" s="28" t="str">
        <f t="shared" si="431"/>
        <v>201912RMB</v>
      </c>
      <c r="AR1415" s="206" t="str">
        <f t="shared" si="432"/>
        <v>YAMAHA_Mounter</v>
      </c>
      <c r="AS1415" s="22">
        <f t="shared" si="433"/>
        <v>0</v>
      </c>
      <c r="AT1415" s="24" t="str">
        <f t="shared" si="434"/>
        <v>0-3 months</v>
      </c>
      <c r="AU1415" s="22" t="s">
        <v>3744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6"/>
        <v>13360000</v>
      </c>
      <c r="AA1416" s="13">
        <v>7.4300000000000005E-2</v>
      </c>
      <c r="AB1416" s="21">
        <f t="shared" si="419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1"/>
        <v>499582152.5142017</v>
      </c>
      <c r="AJ1416" s="19">
        <f t="shared" si="422"/>
        <v>59520528.679470733</v>
      </c>
      <c r="AK1416" s="20">
        <f t="shared" si="429"/>
        <v>0.11914062257814291</v>
      </c>
      <c r="AL1416" s="17"/>
      <c r="AM1416" s="17"/>
      <c r="AN1416" s="17"/>
      <c r="AO1416" s="17"/>
      <c r="AP1416" s="28" t="str">
        <f t="shared" si="430"/>
        <v>CancelCancel</v>
      </c>
      <c r="AQ1416" s="28" t="str">
        <f t="shared" si="431"/>
        <v>CancelCancelJPY</v>
      </c>
      <c r="AR1416" s="206" t="str">
        <f t="shared" si="432"/>
        <v>YAMAHA_Mounter</v>
      </c>
      <c r="AS1416" s="22" t="str">
        <f t="shared" si="433"/>
        <v/>
      </c>
      <c r="AT1416" s="24" t="str">
        <f t="shared" si="434"/>
        <v/>
      </c>
      <c r="AU1416" s="22" t="s">
        <v>3745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6"/>
        <v>8500000</v>
      </c>
      <c r="AA1417" s="13">
        <v>7.4300000000000005E-2</v>
      </c>
      <c r="AB1417" s="21">
        <f t="shared" si="419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1"/>
        <v>499582152.5142017</v>
      </c>
      <c r="AJ1417" s="19">
        <f t="shared" si="422"/>
        <v>59520528.679470733</v>
      </c>
      <c r="AK1417" s="20">
        <f t="shared" si="429"/>
        <v>0.11914062257814291</v>
      </c>
      <c r="AL1417" s="17"/>
      <c r="AM1417" s="17"/>
      <c r="AN1417" s="17"/>
      <c r="AO1417" s="17"/>
      <c r="AP1417" s="28" t="str">
        <f t="shared" si="430"/>
        <v>CancelCancel</v>
      </c>
      <c r="AQ1417" s="28" t="str">
        <f t="shared" si="431"/>
        <v>CancelCancelJPY</v>
      </c>
      <c r="AR1417" s="206" t="str">
        <f t="shared" si="432"/>
        <v>YAMAHA_Mounter</v>
      </c>
      <c r="AS1417" s="22" t="str">
        <f t="shared" si="433"/>
        <v/>
      </c>
      <c r="AT1417" s="24" t="str">
        <f t="shared" si="434"/>
        <v/>
      </c>
      <c r="AU1417" s="22" t="s">
        <v>3745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5">IF(X1418="","",X1418*MAX(O1418,N1418))</f>
        <v>10000000</v>
      </c>
      <c r="AA1418" s="13">
        <v>5.8799999999999998E-2</v>
      </c>
      <c r="AB1418" s="21">
        <f t="shared" si="419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1"/>
        <v>499582152.5142017</v>
      </c>
      <c r="AJ1418" s="19">
        <f t="shared" si="422"/>
        <v>59520528.679470733</v>
      </c>
      <c r="AK1418" s="20">
        <f t="shared" si="429"/>
        <v>0.11914062257814291</v>
      </c>
      <c r="AL1418" s="17"/>
      <c r="AM1418" s="17"/>
      <c r="AN1418" s="17"/>
      <c r="AO1418" s="17"/>
      <c r="AP1418" s="28" t="str">
        <f t="shared" si="430"/>
        <v>CancelCancel</v>
      </c>
      <c r="AQ1418" s="28" t="str">
        <f t="shared" si="431"/>
        <v>CancelCancelJPY</v>
      </c>
      <c r="AR1418" s="206" t="str">
        <f t="shared" si="432"/>
        <v>YAMAHA_Mounter</v>
      </c>
      <c r="AS1418" s="22" t="str">
        <f t="shared" si="433"/>
        <v/>
      </c>
      <c r="AT1418" s="24" t="str">
        <f t="shared" si="434"/>
        <v/>
      </c>
      <c r="AU1418" s="22" t="s">
        <v>3745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5"/>
        <v>13000000</v>
      </c>
      <c r="AA1419" s="13">
        <v>5.8799999999999998E-2</v>
      </c>
      <c r="AB1419" s="21">
        <f t="shared" si="419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1"/>
        <v>499582152.5142017</v>
      </c>
      <c r="AJ1419" s="19">
        <f t="shared" si="422"/>
        <v>59520528.679470733</v>
      </c>
      <c r="AK1419" s="20">
        <f t="shared" si="429"/>
        <v>0.11914062257814291</v>
      </c>
      <c r="AL1419" s="17"/>
      <c r="AM1419" s="17"/>
      <c r="AN1419" s="17"/>
      <c r="AO1419" s="17"/>
      <c r="AP1419" s="28" t="str">
        <f t="shared" si="430"/>
        <v>CancelCancel</v>
      </c>
      <c r="AQ1419" s="28" t="str">
        <f t="shared" si="431"/>
        <v>CancelCancelJPY</v>
      </c>
      <c r="AR1419" s="206" t="str">
        <f t="shared" si="432"/>
        <v>YAMAHA_Mounter</v>
      </c>
      <c r="AS1419" s="22" t="str">
        <f t="shared" si="433"/>
        <v/>
      </c>
      <c r="AT1419" s="24" t="str">
        <f t="shared" si="434"/>
        <v/>
      </c>
      <c r="AU1419" s="22" t="s">
        <v>3745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5"/>
        <v>611000</v>
      </c>
      <c r="AA1420" s="13">
        <v>1.2150000000000001</v>
      </c>
      <c r="AB1420" s="21">
        <f t="shared" si="419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1"/>
        <v>54700260.692079648</v>
      </c>
      <c r="AJ1420" s="19">
        <f t="shared" si="422"/>
        <v>7482899.5749188727</v>
      </c>
      <c r="AK1420" s="20">
        <f t="shared" si="429"/>
        <v>0.13679824337660537</v>
      </c>
      <c r="AL1420" s="17"/>
      <c r="AM1420" s="17"/>
      <c r="AN1420" s="17"/>
      <c r="AO1420" s="17"/>
      <c r="AP1420" s="28" t="str">
        <f t="shared" si="430"/>
        <v>20216</v>
      </c>
      <c r="AQ1420" s="28" t="str">
        <f t="shared" si="431"/>
        <v>20216RMB</v>
      </c>
      <c r="AR1420" s="206" t="str">
        <f t="shared" si="432"/>
        <v>YAMAHA_Mounter</v>
      </c>
      <c r="AS1420" s="22">
        <f t="shared" si="433"/>
        <v>3</v>
      </c>
      <c r="AT1420" s="24" t="str">
        <f t="shared" si="434"/>
        <v>0-3 months</v>
      </c>
      <c r="AU1420" s="22" t="s">
        <v>3751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5"/>
        <v>101250</v>
      </c>
      <c r="AA1421" s="13">
        <v>1.07</v>
      </c>
      <c r="AB1421" s="21">
        <f t="shared" si="419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1"/>
        <v>5219988.5752212387</v>
      </c>
      <c r="AJ1421" s="19">
        <f t="shared" si="422"/>
        <v>631627.0013460177</v>
      </c>
      <c r="AK1421" s="20">
        <f t="shared" si="429"/>
        <v>0.12100160608478869</v>
      </c>
      <c r="AL1421" s="17"/>
      <c r="AM1421" s="17"/>
      <c r="AN1421" s="17"/>
      <c r="AO1421" s="17"/>
      <c r="AP1421" s="28" t="str">
        <f t="shared" si="430"/>
        <v>202310</v>
      </c>
      <c r="AQ1421" s="28" t="str">
        <f t="shared" si="431"/>
        <v>202310RMB</v>
      </c>
      <c r="AR1421" s="206" t="str">
        <f t="shared" si="432"/>
        <v>YAMAHA_Mounter</v>
      </c>
      <c r="AS1421" s="22">
        <f t="shared" si="433"/>
        <v>2</v>
      </c>
      <c r="AT1421" s="24" t="str">
        <f t="shared" si="434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5"/>
        <v>62000</v>
      </c>
      <c r="AA1422" s="13">
        <v>1.1599999999999999</v>
      </c>
      <c r="AB1422" s="21">
        <f t="shared" si="419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1"/>
        <v>21045012.884955753</v>
      </c>
      <c r="AJ1422" s="19">
        <f t="shared" si="422"/>
        <v>2650260.9603327443</v>
      </c>
      <c r="AK1422" s="20">
        <f t="shared" si="429"/>
        <v>0.12593296924172048</v>
      </c>
      <c r="AL1422" s="17"/>
      <c r="AM1422" s="17"/>
      <c r="AN1422" s="17"/>
      <c r="AO1422" s="17"/>
      <c r="AP1422" s="28" t="str">
        <f t="shared" si="430"/>
        <v>20232</v>
      </c>
      <c r="AQ1422" s="28" t="str">
        <f t="shared" si="431"/>
        <v>20232RMB</v>
      </c>
      <c r="AR1422" s="206" t="str">
        <f t="shared" si="432"/>
        <v>SOLDERSTAR</v>
      </c>
      <c r="AS1422" s="22">
        <f t="shared" si="433"/>
        <v>1</v>
      </c>
      <c r="AT1422" s="24" t="str">
        <f t="shared" si="434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5"/>
        <v>776666</v>
      </c>
      <c r="AA1423" s="13">
        <v>1.2150000000000001</v>
      </c>
      <c r="AB1423" s="21">
        <f t="shared" si="419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1"/>
        <v>25380121.402654871</v>
      </c>
      <c r="AJ1423" s="19">
        <f t="shared" si="422"/>
        <v>3850343.1237796471</v>
      </c>
      <c r="AK1423" s="20">
        <f t="shared" si="429"/>
        <v>0.1517070412191521</v>
      </c>
      <c r="AL1423" s="17"/>
      <c r="AM1423" s="17"/>
      <c r="AN1423" s="17"/>
      <c r="AO1423" s="17"/>
      <c r="AP1423" s="28" t="str">
        <f t="shared" si="430"/>
        <v>202112</v>
      </c>
      <c r="AQ1423" s="28" t="str">
        <f t="shared" si="431"/>
        <v>202112RMB</v>
      </c>
      <c r="AR1423" s="206" t="str">
        <f t="shared" si="432"/>
        <v>YAMAHA_Mounter</v>
      </c>
      <c r="AS1423" s="22">
        <f t="shared" si="433"/>
        <v>3</v>
      </c>
      <c r="AT1423" s="24" t="str">
        <f t="shared" si="434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6"/>
        <v>1.13</v>
      </c>
      <c r="Z1424" s="18">
        <f t="shared" si="435"/>
        <v>1000000</v>
      </c>
      <c r="AA1424" s="13">
        <v>1.2150000000000001</v>
      </c>
      <c r="AB1424" s="21">
        <f t="shared" si="419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1"/>
        <v>25380121.402654871</v>
      </c>
      <c r="AJ1424" s="19">
        <f t="shared" si="422"/>
        <v>3850343.1237796471</v>
      </c>
      <c r="AK1424" s="20">
        <f t="shared" si="429"/>
        <v>0.1517070412191521</v>
      </c>
      <c r="AL1424" s="17"/>
      <c r="AM1424" s="17"/>
      <c r="AN1424" s="17"/>
      <c r="AO1424" s="17"/>
      <c r="AP1424" s="28" t="str">
        <f t="shared" si="430"/>
        <v>202112</v>
      </c>
      <c r="AQ1424" s="28" t="str">
        <f t="shared" si="431"/>
        <v>202112RMB</v>
      </c>
      <c r="AR1424" s="206" t="str">
        <f t="shared" si="432"/>
        <v>YAMAHA_Mounter</v>
      </c>
      <c r="AS1424" s="22">
        <f t="shared" si="433"/>
        <v>3</v>
      </c>
      <c r="AT1424" s="24" t="str">
        <f t="shared" si="434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6"/>
        <v>1.13</v>
      </c>
      <c r="Z1425" s="18">
        <f t="shared" si="435"/>
        <v>1000000</v>
      </c>
      <c r="AA1425" s="13">
        <v>1.2150000000000001</v>
      </c>
      <c r="AB1425" s="21">
        <f t="shared" si="419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1"/>
        <v>25380121.402654871</v>
      </c>
      <c r="AJ1425" s="19">
        <f t="shared" si="422"/>
        <v>3850343.1237796471</v>
      </c>
      <c r="AK1425" s="20">
        <f t="shared" si="429"/>
        <v>0.1517070412191521</v>
      </c>
      <c r="AL1425" s="17"/>
      <c r="AM1425" s="17"/>
      <c r="AN1425" s="17"/>
      <c r="AO1425" s="17"/>
      <c r="AP1425" s="28" t="str">
        <f t="shared" si="430"/>
        <v>202112</v>
      </c>
      <c r="AQ1425" s="28" t="str">
        <f t="shared" si="431"/>
        <v>202112RMB</v>
      </c>
      <c r="AR1425" s="206" t="str">
        <f t="shared" si="432"/>
        <v>YAMAHA_Mounter</v>
      </c>
      <c r="AS1425" s="22">
        <f t="shared" si="433"/>
        <v>3</v>
      </c>
      <c r="AT1425" s="24" t="str">
        <f t="shared" si="434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6"/>
        <v>1.13</v>
      </c>
      <c r="Z1426" s="18">
        <f t="shared" si="435"/>
        <v>776666</v>
      </c>
      <c r="AA1426" s="13">
        <v>1.22</v>
      </c>
      <c r="AB1426" s="21">
        <f t="shared" si="419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1"/>
        <v>26407088.359292038</v>
      </c>
      <c r="AJ1426" s="19">
        <f t="shared" si="422"/>
        <v>3424510.6998470789</v>
      </c>
      <c r="AK1426" s="20">
        <f t="shared" si="429"/>
        <v>0.12968149510667554</v>
      </c>
      <c r="AL1426" s="17"/>
      <c r="AM1426" s="17"/>
      <c r="AN1426" s="17"/>
      <c r="AO1426" s="17"/>
      <c r="AP1426" s="28" t="str">
        <f t="shared" si="430"/>
        <v>20221</v>
      </c>
      <c r="AQ1426" s="28" t="str">
        <f t="shared" si="431"/>
        <v>20221RMB</v>
      </c>
      <c r="AR1426" s="206" t="str">
        <f t="shared" si="432"/>
        <v>YAMAHA_Mounter</v>
      </c>
      <c r="AS1426" s="22">
        <f t="shared" si="433"/>
        <v>4</v>
      </c>
      <c r="AT1426" s="24" t="str">
        <f t="shared" si="434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6"/>
        <v>1.13</v>
      </c>
      <c r="Z1427" s="18">
        <f t="shared" si="435"/>
        <v>776666</v>
      </c>
      <c r="AA1427" s="13">
        <v>1.22</v>
      </c>
      <c r="AB1427" s="21">
        <f t="shared" si="419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1"/>
        <v>26407088.359292038</v>
      </c>
      <c r="AJ1427" s="19">
        <f t="shared" si="422"/>
        <v>3424510.6998470789</v>
      </c>
      <c r="AK1427" s="20">
        <f t="shared" si="429"/>
        <v>0.12968149510667554</v>
      </c>
      <c r="AL1427" s="17"/>
      <c r="AM1427" s="17"/>
      <c r="AN1427" s="17"/>
      <c r="AO1427" s="17"/>
      <c r="AP1427" s="28" t="str">
        <f t="shared" si="430"/>
        <v>20221</v>
      </c>
      <c r="AQ1427" s="28" t="str">
        <f t="shared" si="431"/>
        <v>20221RMB</v>
      </c>
      <c r="AR1427" s="206" t="str">
        <f t="shared" si="432"/>
        <v>YAMAHA_Mounter</v>
      </c>
      <c r="AS1427" s="22">
        <f t="shared" si="433"/>
        <v>4</v>
      </c>
      <c r="AT1427" s="24" t="str">
        <f t="shared" si="434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6"/>
        <v>1.13</v>
      </c>
      <c r="Z1428" s="18">
        <f t="shared" si="435"/>
        <v>1000000</v>
      </c>
      <c r="AA1428" s="13">
        <v>1.22</v>
      </c>
      <c r="AB1428" s="21">
        <f t="shared" si="419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1"/>
        <v>26407088.359292038</v>
      </c>
      <c r="AJ1428" s="19">
        <f t="shared" si="422"/>
        <v>3424510.6998470789</v>
      </c>
      <c r="AK1428" s="20">
        <f t="shared" si="429"/>
        <v>0.12968149510667554</v>
      </c>
      <c r="AL1428" s="17"/>
      <c r="AM1428" s="17"/>
      <c r="AN1428" s="17"/>
      <c r="AO1428" s="17"/>
      <c r="AP1428" s="28" t="str">
        <f t="shared" si="430"/>
        <v>20221</v>
      </c>
      <c r="AQ1428" s="28" t="str">
        <f t="shared" si="431"/>
        <v>20221RMB</v>
      </c>
      <c r="AR1428" s="206" t="str">
        <f t="shared" si="432"/>
        <v>YAMAHA_Mounter</v>
      </c>
      <c r="AS1428" s="22">
        <f t="shared" si="433"/>
        <v>4</v>
      </c>
      <c r="AT1428" s="24" t="str">
        <f t="shared" si="434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6"/>
        <v>1.13</v>
      </c>
      <c r="Z1429" s="18">
        <f t="shared" si="435"/>
        <v>800000</v>
      </c>
      <c r="AA1429" s="13">
        <v>1.095</v>
      </c>
      <c r="AB1429" s="21">
        <f t="shared" si="419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1"/>
        <v>30033846.584070798</v>
      </c>
      <c r="AJ1429" s="19">
        <f t="shared" si="422"/>
        <v>3534936.4750884958</v>
      </c>
      <c r="AK1429" s="20">
        <f t="shared" si="429"/>
        <v>0.11769842618039268</v>
      </c>
      <c r="AL1429" s="17"/>
      <c r="AM1429" s="17"/>
      <c r="AN1429" s="17"/>
      <c r="AO1429" s="17"/>
      <c r="AP1429" s="28" t="str">
        <f t="shared" si="430"/>
        <v>TBATBA</v>
      </c>
      <c r="AQ1429" s="28" t="str">
        <f t="shared" si="431"/>
        <v>TBATBARMB</v>
      </c>
      <c r="AR1429" s="206" t="str">
        <f t="shared" si="432"/>
        <v>YAMAHA_Mounter</v>
      </c>
      <c r="AS1429" s="22" t="str">
        <f t="shared" si="433"/>
        <v/>
      </c>
      <c r="AT1429" s="24" t="str">
        <f t="shared" si="434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6"/>
        <v>1.13</v>
      </c>
      <c r="Z1430" s="18">
        <f t="shared" si="435"/>
        <v>720000</v>
      </c>
      <c r="AA1430" s="13">
        <v>1.095</v>
      </c>
      <c r="AB1430" s="21">
        <f t="shared" si="419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1"/>
        <v>30033846.584070798</v>
      </c>
      <c r="AJ1430" s="19">
        <f t="shared" si="422"/>
        <v>3534936.4750884958</v>
      </c>
      <c r="AK1430" s="20">
        <f t="shared" si="429"/>
        <v>0.11769842618039268</v>
      </c>
      <c r="AL1430" s="17"/>
      <c r="AM1430" s="17"/>
      <c r="AN1430" s="17"/>
      <c r="AO1430" s="17"/>
      <c r="AP1430" s="28" t="str">
        <f t="shared" si="430"/>
        <v>TBATBA</v>
      </c>
      <c r="AQ1430" s="28" t="str">
        <f t="shared" si="431"/>
        <v>TBATBARMB</v>
      </c>
      <c r="AR1430" s="206" t="str">
        <f t="shared" si="432"/>
        <v>YAMAHA_Mounter</v>
      </c>
      <c r="AS1430" s="22" t="str">
        <f t="shared" si="433"/>
        <v/>
      </c>
      <c r="AT1430" s="24" t="str">
        <f t="shared" si="434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6"/>
        <v>1.13</v>
      </c>
      <c r="Z1431" s="18">
        <f t="shared" si="435"/>
        <v>712800</v>
      </c>
      <c r="AA1431" s="13">
        <v>1.155</v>
      </c>
      <c r="AB1431" s="21">
        <f t="shared" si="419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1"/>
        <v>44078731.611185849</v>
      </c>
      <c r="AJ1431" s="19">
        <f t="shared" si="422"/>
        <v>5508173.2163771465</v>
      </c>
      <c r="AK1431" s="20">
        <f t="shared" si="429"/>
        <v>0.12496215328889679</v>
      </c>
      <c r="AL1431" s="17"/>
      <c r="AM1431" s="17"/>
      <c r="AN1431" s="17"/>
      <c r="AO1431" s="17"/>
      <c r="AP1431" s="28" t="str">
        <f t="shared" si="430"/>
        <v>202011</v>
      </c>
      <c r="AQ1431" s="28" t="str">
        <f t="shared" si="431"/>
        <v>202011RMB</v>
      </c>
      <c r="AR1431" s="206" t="str">
        <f t="shared" si="432"/>
        <v>YAMAHA_Mounter</v>
      </c>
      <c r="AS1431" s="22">
        <f t="shared" si="433"/>
        <v>0</v>
      </c>
      <c r="AT1431" s="24" t="str">
        <f t="shared" si="434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6"/>
        <v>1.13</v>
      </c>
      <c r="Z1432" s="18">
        <f t="shared" si="435"/>
        <v>690000</v>
      </c>
      <c r="AA1432" s="13">
        <v>1.175</v>
      </c>
      <c r="AB1432" s="21">
        <f t="shared" si="419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1"/>
        <v>499582152.5142017</v>
      </c>
      <c r="AJ1432" s="19">
        <f t="shared" si="422"/>
        <v>59520528.679470733</v>
      </c>
      <c r="AK1432" s="20">
        <f t="shared" si="429"/>
        <v>0.11914062257814291</v>
      </c>
      <c r="AL1432" s="17"/>
      <c r="AM1432" s="17"/>
      <c r="AN1432" s="17"/>
      <c r="AO1432" s="17"/>
      <c r="AP1432" s="28" t="str">
        <f t="shared" si="430"/>
        <v>Cancelcancel</v>
      </c>
      <c r="AQ1432" s="28" t="str">
        <f t="shared" si="431"/>
        <v>CancelcancelRMB</v>
      </c>
      <c r="AR1432" s="206" t="str">
        <f t="shared" si="432"/>
        <v>YAMAHA_Mounter</v>
      </c>
      <c r="AS1432" s="22" t="str">
        <f t="shared" si="433"/>
        <v/>
      </c>
      <c r="AT1432" s="24" t="str">
        <f t="shared" si="434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6"/>
        <v>1.13</v>
      </c>
      <c r="Z1433" s="18">
        <f t="shared" si="435"/>
        <v>610000</v>
      </c>
      <c r="AA1433" s="13">
        <v>1.081</v>
      </c>
      <c r="AB1433" s="21">
        <f t="shared" si="419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1"/>
        <v>15951056.41591504</v>
      </c>
      <c r="AJ1433" s="19">
        <f t="shared" si="422"/>
        <v>1966354.6022462982</v>
      </c>
      <c r="AK1433" s="20">
        <f t="shared" si="429"/>
        <v>0.12327425538313459</v>
      </c>
      <c r="AL1433" s="17"/>
      <c r="AM1433" s="17"/>
      <c r="AN1433" s="17"/>
      <c r="AO1433" s="17"/>
      <c r="AP1433" s="28" t="str">
        <f t="shared" si="430"/>
        <v>20237</v>
      </c>
      <c r="AQ1433" s="28" t="str">
        <f t="shared" si="431"/>
        <v>20237RMB</v>
      </c>
      <c r="AR1433" s="206" t="str">
        <f t="shared" si="432"/>
        <v>YAMAHA_Mounter</v>
      </c>
      <c r="AS1433" s="22">
        <f t="shared" si="433"/>
        <v>2</v>
      </c>
      <c r="AT1433" s="24" t="str">
        <f t="shared" si="434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5"/>
        <v>1000000</v>
      </c>
      <c r="AA1434" s="13">
        <v>1.095</v>
      </c>
      <c r="AB1434" s="21">
        <f t="shared" si="419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1"/>
        <v>30033846.584070798</v>
      </c>
      <c r="AJ1434" s="19">
        <f t="shared" si="422"/>
        <v>3534936.4750884958</v>
      </c>
      <c r="AK1434" s="20">
        <f t="shared" si="429"/>
        <v>0.11769842618039268</v>
      </c>
      <c r="AL1434" s="17"/>
      <c r="AM1434" s="17"/>
      <c r="AN1434" s="17"/>
      <c r="AO1434" s="17"/>
      <c r="AP1434" s="28" t="str">
        <f t="shared" si="430"/>
        <v>TBATBA</v>
      </c>
      <c r="AQ1434" s="28" t="str">
        <f t="shared" si="431"/>
        <v>TBATBARMB</v>
      </c>
      <c r="AR1434" s="206" t="str">
        <f t="shared" si="432"/>
        <v>HELLER</v>
      </c>
      <c r="AS1434" s="22" t="str">
        <f t="shared" si="433"/>
        <v/>
      </c>
      <c r="AT1434" s="24" t="str">
        <f t="shared" si="434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5"/>
        <v>530000</v>
      </c>
      <c r="AA1435" s="13">
        <v>1.1599999999999999</v>
      </c>
      <c r="AB1435" s="21">
        <f t="shared" si="419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1"/>
        <v>21045012.884955753</v>
      </c>
      <c r="AJ1435" s="19">
        <f t="shared" si="422"/>
        <v>2650260.9603327443</v>
      </c>
      <c r="AK1435" s="20">
        <f t="shared" si="429"/>
        <v>0.12593296924172048</v>
      </c>
      <c r="AL1435" s="17"/>
      <c r="AM1435" s="17"/>
      <c r="AN1435" s="17"/>
      <c r="AO1435" s="17"/>
      <c r="AP1435" s="28" t="str">
        <f t="shared" si="430"/>
        <v>20232</v>
      </c>
      <c r="AQ1435" s="28" t="str">
        <f t="shared" si="431"/>
        <v>20232RMB</v>
      </c>
      <c r="AR1435" s="206" t="str">
        <f t="shared" si="432"/>
        <v>PEMTRON</v>
      </c>
      <c r="AS1435" s="22">
        <f t="shared" si="433"/>
        <v>3</v>
      </c>
      <c r="AT1435" s="24" t="str">
        <f t="shared" si="434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5"/>
        <v>710000</v>
      </c>
      <c r="AA1436" s="13">
        <v>1.1599999999999999</v>
      </c>
      <c r="AB1436" s="21">
        <f t="shared" si="419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1"/>
        <v>21045012.884955753</v>
      </c>
      <c r="AJ1436" s="19">
        <f t="shared" si="422"/>
        <v>2650260.9603327443</v>
      </c>
      <c r="AK1436" s="20">
        <f t="shared" si="429"/>
        <v>0.12593296924172048</v>
      </c>
      <c r="AL1436" s="17"/>
      <c r="AM1436" s="17"/>
      <c r="AN1436" s="17"/>
      <c r="AO1436" s="17"/>
      <c r="AP1436" s="28" t="str">
        <f t="shared" si="430"/>
        <v>20232</v>
      </c>
      <c r="AQ1436" s="28" t="str">
        <f t="shared" si="431"/>
        <v>20232RMB</v>
      </c>
      <c r="AR1436" s="206" t="str">
        <f t="shared" si="432"/>
        <v>PEMTRON</v>
      </c>
      <c r="AS1436" s="22">
        <f t="shared" si="433"/>
        <v>3</v>
      </c>
      <c r="AT1436" s="24" t="str">
        <f t="shared" si="434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5"/>
        <v>770000</v>
      </c>
      <c r="AA1437" s="13">
        <v>1.22</v>
      </c>
      <c r="AB1437" s="21">
        <f t="shared" si="419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1"/>
        <v>28726768.133805312</v>
      </c>
      <c r="AJ1437" s="19">
        <f t="shared" si="422"/>
        <v>3853638.1988864429</v>
      </c>
      <c r="AK1437" s="20">
        <f t="shared" si="429"/>
        <v>0.1341479898099476</v>
      </c>
      <c r="AL1437" s="17"/>
      <c r="AM1437" s="17"/>
      <c r="AN1437" s="17"/>
      <c r="AO1437" s="17"/>
      <c r="AP1437" s="28" t="str">
        <f t="shared" si="430"/>
        <v>20223</v>
      </c>
      <c r="AQ1437" s="28" t="str">
        <f t="shared" si="431"/>
        <v>20223RMB</v>
      </c>
      <c r="AR1437" s="206" t="str">
        <f t="shared" si="432"/>
        <v>PEMTRON</v>
      </c>
      <c r="AS1437" s="22">
        <f t="shared" si="433"/>
        <v>2</v>
      </c>
      <c r="AT1437" s="24" t="str">
        <f t="shared" si="434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5"/>
        <v>1290000</v>
      </c>
      <c r="AA1438" s="13">
        <v>1.2</v>
      </c>
      <c r="AB1438" s="21">
        <f t="shared" si="419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1"/>
        <v>47458373.787610628</v>
      </c>
      <c r="AJ1438" s="19">
        <f t="shared" si="422"/>
        <v>7436880.1411522133</v>
      </c>
      <c r="AK1438" s="20">
        <f t="shared" si="429"/>
        <v>0.15670322321692506</v>
      </c>
      <c r="AL1438" s="17" t="s">
        <v>1613</v>
      </c>
      <c r="AM1438" s="17"/>
      <c r="AN1438" s="17"/>
      <c r="AO1438" s="17"/>
      <c r="AP1438" s="28" t="str">
        <f t="shared" si="430"/>
        <v>20218</v>
      </c>
      <c r="AQ1438" s="28" t="str">
        <f t="shared" si="431"/>
        <v>20218RMB</v>
      </c>
      <c r="AR1438" s="206" t="str">
        <f t="shared" si="432"/>
        <v>YAMAHA_Mounter</v>
      </c>
      <c r="AS1438" s="22">
        <f t="shared" si="433"/>
        <v>12</v>
      </c>
      <c r="AT1438" s="24" t="str">
        <f t="shared" si="434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5"/>
        <v>530000</v>
      </c>
      <c r="AA1439" s="13">
        <v>1.175</v>
      </c>
      <c r="AB1439" s="21">
        <f t="shared" si="419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1"/>
        <v>48763143.537654862</v>
      </c>
      <c r="AJ1439" s="19">
        <f t="shared" si="422"/>
        <v>5924029.9702154724</v>
      </c>
      <c r="AK1439" s="20">
        <f t="shared" si="429"/>
        <v>0.1214858095774925</v>
      </c>
      <c r="AL1439" s="17"/>
      <c r="AM1439" s="17"/>
      <c r="AN1439" s="17"/>
      <c r="AO1439" s="17"/>
      <c r="AP1439" s="28" t="str">
        <f t="shared" si="430"/>
        <v>202012</v>
      </c>
      <c r="AQ1439" s="28" t="str">
        <f t="shared" si="431"/>
        <v>202012RMB</v>
      </c>
      <c r="AR1439" s="206" t="str">
        <f t="shared" si="432"/>
        <v>YAMAHA_Mounter</v>
      </c>
      <c r="AS1439" s="22">
        <f t="shared" si="433"/>
        <v>1</v>
      </c>
      <c r="AT1439" s="24" t="str">
        <f t="shared" si="434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5"/>
        <v>585000</v>
      </c>
      <c r="AA1440" s="13">
        <v>1.125</v>
      </c>
      <c r="AB1440" s="21">
        <f t="shared" si="419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1"/>
        <v>10785027.603448275</v>
      </c>
      <c r="AJ1440" s="19">
        <f t="shared" si="422"/>
        <v>1540894.1297982759</v>
      </c>
      <c r="AK1440" s="20">
        <f t="shared" si="429"/>
        <v>0.1428734525728621</v>
      </c>
      <c r="AL1440" s="17"/>
      <c r="AM1440" s="17"/>
      <c r="AN1440" s="17"/>
      <c r="AO1440" s="17"/>
      <c r="AP1440" s="28" t="str">
        <f t="shared" si="430"/>
        <v>201811</v>
      </c>
      <c r="AQ1440" s="28" t="str">
        <f t="shared" si="431"/>
        <v>201811RMB</v>
      </c>
      <c r="AR1440" s="206" t="str">
        <f t="shared" si="432"/>
        <v>YAMAHA_Mounter</v>
      </c>
      <c r="AS1440" s="22">
        <f t="shared" si="433"/>
        <v>5</v>
      </c>
      <c r="AT1440" s="24" t="str">
        <f t="shared" si="434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5"/>
        <v>360000</v>
      </c>
      <c r="AA1441" s="13">
        <v>1.125</v>
      </c>
      <c r="AB1441" s="21">
        <f t="shared" si="419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1"/>
        <v>23237072.69172414</v>
      </c>
      <c r="AJ1441" s="19">
        <f t="shared" si="422"/>
        <v>2402195.7372206897</v>
      </c>
      <c r="AK1441" s="20">
        <f t="shared" si="429"/>
        <v>0.10337772614862238</v>
      </c>
      <c r="AL1441" s="17"/>
      <c r="AM1441" s="17"/>
      <c r="AN1441" s="17"/>
      <c r="AO1441" s="17"/>
      <c r="AP1441" s="28" t="str">
        <f t="shared" si="430"/>
        <v>20191</v>
      </c>
      <c r="AQ1441" s="28" t="str">
        <f t="shared" si="431"/>
        <v>20191RMB</v>
      </c>
      <c r="AR1441" s="206" t="str">
        <f t="shared" si="432"/>
        <v>YAMAHA_Mounter</v>
      </c>
      <c r="AS1441" s="22">
        <f t="shared" si="433"/>
        <v>0</v>
      </c>
      <c r="AT1441" s="24" t="str">
        <f t="shared" si="434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5"/>
        <v>500000</v>
      </c>
      <c r="AA1442" s="13">
        <v>1.175</v>
      </c>
      <c r="AB1442" s="21">
        <f t="shared" si="419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1"/>
        <v>499582152.5142017</v>
      </c>
      <c r="AJ1442" s="19">
        <f t="shared" si="422"/>
        <v>59520528.679470733</v>
      </c>
      <c r="AK1442" s="20">
        <f t="shared" si="429"/>
        <v>0.11914062257814291</v>
      </c>
      <c r="AL1442" s="17"/>
      <c r="AM1442" s="17"/>
      <c r="AN1442" s="17"/>
      <c r="AO1442" s="17"/>
      <c r="AP1442" s="28" t="str">
        <f t="shared" si="430"/>
        <v>CancelCancel</v>
      </c>
      <c r="AQ1442" s="28" t="str">
        <f t="shared" si="431"/>
        <v>CancelCancelRMB</v>
      </c>
      <c r="AR1442" s="206" t="str">
        <f t="shared" si="432"/>
        <v>YAMAHA_Mounter</v>
      </c>
      <c r="AS1442" s="22" t="str">
        <f t="shared" si="433"/>
        <v/>
      </c>
      <c r="AT1442" s="24" t="str">
        <f t="shared" si="434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5"/>
        <v>15000000</v>
      </c>
      <c r="AA1443" s="22">
        <v>5.0999999999999997E-2</v>
      </c>
      <c r="AB1443" s="21">
        <f t="shared" si="419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1"/>
        <v>27308925.887079656</v>
      </c>
      <c r="AJ1443" s="27">
        <f t="shared" si="422"/>
        <v>3319273.860338124</v>
      </c>
      <c r="AK1443" s="28">
        <f t="shared" si="429"/>
        <v>0.12154538314919709</v>
      </c>
      <c r="AL1443" s="24"/>
      <c r="AM1443" s="24"/>
      <c r="AN1443" s="24"/>
      <c r="AO1443" s="24"/>
      <c r="AP1443" s="28" t="str">
        <f t="shared" si="430"/>
        <v>20246</v>
      </c>
      <c r="AQ1443" s="28" t="str">
        <f t="shared" si="431"/>
        <v>20246JPY</v>
      </c>
      <c r="AR1443" s="206" t="str">
        <f t="shared" si="432"/>
        <v>YAMAHA_Mounter</v>
      </c>
      <c r="AS1443" s="22">
        <f t="shared" si="433"/>
        <v>2</v>
      </c>
      <c r="AT1443" s="24" t="str">
        <f t="shared" si="434"/>
        <v>0-3 months</v>
      </c>
      <c r="AU1443" s="22" t="s">
        <v>3745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5"/>
        <v>12031000</v>
      </c>
      <c r="AA1444" s="22">
        <v>5.0999999999999997E-2</v>
      </c>
      <c r="AB1444" s="21">
        <f t="shared" si="419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1"/>
        <v>27308925.887079656</v>
      </c>
      <c r="AJ1444" s="27">
        <f t="shared" si="422"/>
        <v>3319273.860338124</v>
      </c>
      <c r="AK1444" s="28">
        <f t="shared" si="429"/>
        <v>0.12154538314919709</v>
      </c>
      <c r="AL1444" s="24"/>
      <c r="AM1444" s="24"/>
      <c r="AN1444" s="24"/>
      <c r="AO1444" s="24"/>
      <c r="AP1444" s="28" t="str">
        <f t="shared" si="430"/>
        <v>20246</v>
      </c>
      <c r="AQ1444" s="28" t="str">
        <f t="shared" si="431"/>
        <v>20246JPY</v>
      </c>
      <c r="AR1444" s="206" t="str">
        <f t="shared" si="432"/>
        <v>YAMAHA_Mounter</v>
      </c>
      <c r="AS1444" s="22">
        <f t="shared" si="433"/>
        <v>2</v>
      </c>
      <c r="AT1444" s="24" t="str">
        <f t="shared" si="434"/>
        <v>0-3 months</v>
      </c>
      <c r="AU1444" s="22" t="s">
        <v>3745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5"/>
        <v>507000</v>
      </c>
      <c r="AA1445" s="13">
        <v>1.1000000000000001</v>
      </c>
      <c r="AB1445" s="21">
        <f t="shared" si="419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1"/>
        <v>22717528.991150443</v>
      </c>
      <c r="AJ1445" s="19">
        <f t="shared" si="422"/>
        <v>3947747.192555753</v>
      </c>
      <c r="AK1445" s="20">
        <f t="shared" si="429"/>
        <v>0.1737753782153679</v>
      </c>
      <c r="AL1445" s="17"/>
      <c r="AM1445" s="17"/>
      <c r="AN1445" s="17"/>
      <c r="AO1445" s="17"/>
      <c r="AP1445" s="28" t="str">
        <f t="shared" si="430"/>
        <v>202210</v>
      </c>
      <c r="AQ1445" s="28" t="str">
        <f t="shared" si="431"/>
        <v>202210RMB</v>
      </c>
      <c r="AR1445" s="206" t="str">
        <f t="shared" si="432"/>
        <v>YAMAHA_Mounter</v>
      </c>
      <c r="AS1445" s="22">
        <f t="shared" si="433"/>
        <v>1</v>
      </c>
      <c r="AT1445" s="24" t="str">
        <f t="shared" si="434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5"/>
        <v>463000</v>
      </c>
      <c r="AA1446" s="22">
        <v>1.1000000000000001</v>
      </c>
      <c r="AB1446" s="21">
        <f t="shared" si="419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1"/>
        <v>23146578.081415929</v>
      </c>
      <c r="AJ1446" s="27">
        <f t="shared" si="422"/>
        <v>2745231.3889985834</v>
      </c>
      <c r="AK1446" s="28">
        <f t="shared" si="429"/>
        <v>0.11860204041143742</v>
      </c>
      <c r="AL1446" s="24"/>
      <c r="AM1446" s="24"/>
      <c r="AN1446" s="24"/>
      <c r="AO1446" s="24"/>
      <c r="AP1446" s="28" t="str">
        <f t="shared" si="430"/>
        <v>20241</v>
      </c>
      <c r="AQ1446" s="28" t="str">
        <f t="shared" si="431"/>
        <v>20241RMB</v>
      </c>
      <c r="AR1446" s="206" t="str">
        <f t="shared" si="432"/>
        <v>YAMAHA_Mounter</v>
      </c>
      <c r="AS1446" s="22">
        <f t="shared" si="433"/>
        <v>0</v>
      </c>
      <c r="AT1446" s="24" t="str">
        <f t="shared" si="434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5"/>
        <v>860000</v>
      </c>
      <c r="AA1447" s="13">
        <v>1.1499999999999999</v>
      </c>
      <c r="AB1447" s="21">
        <f t="shared" si="419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1"/>
        <v>16455710.386637932</v>
      </c>
      <c r="AJ1447" s="19">
        <f t="shared" si="422"/>
        <v>2150644.6466930606</v>
      </c>
      <c r="AK1447" s="20">
        <f t="shared" si="429"/>
        <v>0.13069290818580451</v>
      </c>
      <c r="AL1447" s="17"/>
      <c r="AM1447" s="17"/>
      <c r="AN1447" s="17"/>
      <c r="AO1447" s="17"/>
      <c r="AP1447" s="28" t="str">
        <f t="shared" si="430"/>
        <v>20192</v>
      </c>
      <c r="AQ1447" s="28" t="str">
        <f t="shared" si="431"/>
        <v>20192RMB</v>
      </c>
      <c r="AR1447" s="206" t="str">
        <f t="shared" si="432"/>
        <v>YAMAHA_Mounter</v>
      </c>
      <c r="AS1447" s="22">
        <f t="shared" si="433"/>
        <v>2</v>
      </c>
      <c r="AT1447" s="24" t="str">
        <f t="shared" si="434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5"/>
        <v>940000</v>
      </c>
      <c r="AA1448" s="13">
        <v>1.105</v>
      </c>
      <c r="AB1448" s="21">
        <f t="shared" si="419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1"/>
        <v>37969334.083628319</v>
      </c>
      <c r="AJ1448" s="19">
        <f t="shared" si="422"/>
        <v>5097226.4551657084</v>
      </c>
      <c r="AK1448" s="20">
        <f t="shared" si="429"/>
        <v>0.13424587441904964</v>
      </c>
      <c r="AL1448" s="17"/>
      <c r="AM1448" s="17"/>
      <c r="AN1448" s="17"/>
      <c r="AO1448" s="17"/>
      <c r="AP1448" s="28" t="str">
        <f t="shared" si="430"/>
        <v>20208</v>
      </c>
      <c r="AQ1448" s="28" t="str">
        <f t="shared" si="431"/>
        <v>20208RMB</v>
      </c>
      <c r="AR1448" s="206" t="str">
        <f t="shared" si="432"/>
        <v>YAMAHA_Mounter</v>
      </c>
      <c r="AS1448" s="22">
        <f t="shared" si="433"/>
        <v>2</v>
      </c>
      <c r="AT1448" s="24" t="str">
        <f t="shared" si="434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5"/>
        <v>940000</v>
      </c>
      <c r="AA1449" s="13">
        <v>1.105</v>
      </c>
      <c r="AB1449" s="21">
        <f t="shared" si="419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1"/>
        <v>37969334.083628319</v>
      </c>
      <c r="AJ1449" s="19">
        <f t="shared" si="422"/>
        <v>5097226.4551657084</v>
      </c>
      <c r="AK1449" s="20">
        <f t="shared" si="429"/>
        <v>0.13424587441904964</v>
      </c>
      <c r="AL1449" s="17"/>
      <c r="AM1449" s="17"/>
      <c r="AN1449" s="17"/>
      <c r="AO1449" s="17"/>
      <c r="AP1449" s="28" t="str">
        <f t="shared" si="430"/>
        <v>20208</v>
      </c>
      <c r="AQ1449" s="28" t="str">
        <f t="shared" si="431"/>
        <v>20208RMB</v>
      </c>
      <c r="AR1449" s="206" t="str">
        <f t="shared" si="432"/>
        <v>YAMAHA_Mounter</v>
      </c>
      <c r="AS1449" s="22">
        <f t="shared" si="433"/>
        <v>2</v>
      </c>
      <c r="AT1449" s="24" t="str">
        <f t="shared" si="434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7">IF(W1450="RMB","1.13", "1")</f>
        <v>1</v>
      </c>
      <c r="Z1450" s="18">
        <f t="shared" si="435"/>
        <v>15000000</v>
      </c>
      <c r="AA1450" s="13">
        <v>6.9199999999999998E-2</v>
      </c>
      <c r="AB1450" s="21">
        <f t="shared" si="419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1"/>
        <v>31750699.113741599</v>
      </c>
      <c r="AJ1450" s="19">
        <f t="shared" si="422"/>
        <v>4396077.3195289988</v>
      </c>
      <c r="AK1450" s="20">
        <f t="shared" si="429"/>
        <v>0.13845607946397598</v>
      </c>
      <c r="AL1450" s="17"/>
      <c r="AM1450" s="17"/>
      <c r="AN1450" s="17"/>
      <c r="AO1450" s="17"/>
      <c r="AP1450" s="28" t="str">
        <f t="shared" si="430"/>
        <v>20222</v>
      </c>
      <c r="AQ1450" s="28" t="str">
        <f t="shared" si="431"/>
        <v>20222JPY</v>
      </c>
      <c r="AR1450" s="206" t="str">
        <f t="shared" si="432"/>
        <v>YAMAHA_Mounter</v>
      </c>
      <c r="AS1450" s="22">
        <f t="shared" si="433"/>
        <v>3</v>
      </c>
      <c r="AT1450" s="24" t="str">
        <f t="shared" si="434"/>
        <v>0-3 months</v>
      </c>
      <c r="AU1450" s="22" t="s">
        <v>3746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7"/>
        <v>1</v>
      </c>
      <c r="Z1451" s="18">
        <f t="shared" si="435"/>
        <v>11000000</v>
      </c>
      <c r="AA1451" s="13">
        <v>6.9199999999999998E-2</v>
      </c>
      <c r="AB1451" s="21">
        <f t="shared" si="419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1"/>
        <v>31750699.113741599</v>
      </c>
      <c r="AJ1451" s="19">
        <f t="shared" si="422"/>
        <v>4396077.3195289988</v>
      </c>
      <c r="AK1451" s="20">
        <f t="shared" si="429"/>
        <v>0.13845607946397598</v>
      </c>
      <c r="AL1451" s="17"/>
      <c r="AM1451" s="17"/>
      <c r="AN1451" s="17"/>
      <c r="AO1451" s="17"/>
      <c r="AP1451" s="28" t="str">
        <f t="shared" si="430"/>
        <v>20222</v>
      </c>
      <c r="AQ1451" s="28" t="str">
        <f t="shared" si="431"/>
        <v>20222JPY</v>
      </c>
      <c r="AR1451" s="206" t="str">
        <f t="shared" si="432"/>
        <v>YAMAHA_Mounter</v>
      </c>
      <c r="AS1451" s="22">
        <f t="shared" si="433"/>
        <v>3</v>
      </c>
      <c r="AT1451" s="24" t="str">
        <f t="shared" si="434"/>
        <v>0-3 months</v>
      </c>
      <c r="AU1451" s="22" t="s">
        <v>3746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7"/>
        <v>1</v>
      </c>
      <c r="Z1452" s="18">
        <f t="shared" si="435"/>
        <v>15000000</v>
      </c>
      <c r="AA1452" s="13">
        <v>6.2799999999999995E-2</v>
      </c>
      <c r="AB1452" s="21">
        <f t="shared" si="419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1"/>
        <v>44014086.982070789</v>
      </c>
      <c r="AJ1452" s="19">
        <f t="shared" si="422"/>
        <v>6419974.0221889298</v>
      </c>
      <c r="AK1452" s="20">
        <f t="shared" si="429"/>
        <v>0.14586180158193709</v>
      </c>
      <c r="AL1452" s="17"/>
      <c r="AM1452" s="17"/>
      <c r="AN1452" s="17"/>
      <c r="AO1452" s="17"/>
      <c r="AP1452" s="28" t="str">
        <f t="shared" si="430"/>
        <v>20225</v>
      </c>
      <c r="AQ1452" s="28" t="str">
        <f t="shared" si="431"/>
        <v>20225JPY</v>
      </c>
      <c r="AR1452" s="206" t="str">
        <f t="shared" si="432"/>
        <v>YAMAHA_Mounter</v>
      </c>
      <c r="AS1452" s="22">
        <f t="shared" si="433"/>
        <v>6</v>
      </c>
      <c r="AT1452" s="24" t="str">
        <f t="shared" si="434"/>
        <v>4-6 months</v>
      </c>
      <c r="AU1452" s="22" t="s">
        <v>3746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7"/>
        <v>1</v>
      </c>
      <c r="Z1453" s="18">
        <f t="shared" si="435"/>
        <v>11000000</v>
      </c>
      <c r="AA1453" s="13">
        <v>6.2799999999999995E-2</v>
      </c>
      <c r="AB1453" s="21">
        <f t="shared" si="419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1"/>
        <v>44014086.982070789</v>
      </c>
      <c r="AJ1453" s="19">
        <f t="shared" si="422"/>
        <v>6419974.0221889298</v>
      </c>
      <c r="AK1453" s="20">
        <f t="shared" si="429"/>
        <v>0.14586180158193709</v>
      </c>
      <c r="AL1453" s="17"/>
      <c r="AM1453" s="17"/>
      <c r="AN1453" s="17"/>
      <c r="AO1453" s="17"/>
      <c r="AP1453" s="28" t="str">
        <f t="shared" si="430"/>
        <v>20225</v>
      </c>
      <c r="AQ1453" s="28" t="str">
        <f t="shared" si="431"/>
        <v>20225JPY</v>
      </c>
      <c r="AR1453" s="206" t="str">
        <f t="shared" si="432"/>
        <v>YAMAHA_Mounter</v>
      </c>
      <c r="AS1453" s="22">
        <f t="shared" si="433"/>
        <v>6</v>
      </c>
      <c r="AT1453" s="24" t="str">
        <f t="shared" si="434"/>
        <v>4-6 months</v>
      </c>
      <c r="AU1453" s="22" t="s">
        <v>3746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7"/>
        <v>1.13</v>
      </c>
      <c r="Z1454" s="18">
        <f t="shared" si="435"/>
        <v>775000</v>
      </c>
      <c r="AA1454" s="13">
        <v>1.1000000000000001</v>
      </c>
      <c r="AB1454" s="21">
        <f t="shared" si="419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1"/>
        <v>22717528.991150443</v>
      </c>
      <c r="AJ1454" s="19">
        <f t="shared" si="422"/>
        <v>3947747.192555753</v>
      </c>
      <c r="AK1454" s="20">
        <f t="shared" si="429"/>
        <v>0.1737753782153679</v>
      </c>
      <c r="AL1454" s="17"/>
      <c r="AM1454" s="17"/>
      <c r="AN1454" s="17"/>
      <c r="AO1454" s="17"/>
      <c r="AP1454" s="28" t="str">
        <f t="shared" si="430"/>
        <v>202210</v>
      </c>
      <c r="AQ1454" s="28" t="str">
        <f t="shared" si="431"/>
        <v>202210RMB</v>
      </c>
      <c r="AR1454" s="206" t="str">
        <f t="shared" si="432"/>
        <v>YAMAHA_Mounter</v>
      </c>
      <c r="AS1454" s="22">
        <f t="shared" si="433"/>
        <v>1</v>
      </c>
      <c r="AT1454" s="24" t="str">
        <f t="shared" si="434"/>
        <v>0-3 months</v>
      </c>
      <c r="AU1454" s="22" t="s">
        <v>3751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7"/>
        <v>1.13</v>
      </c>
      <c r="Z1455" s="18">
        <f t="shared" si="435"/>
        <v>775000</v>
      </c>
      <c r="AA1455" s="13">
        <v>1.1000000000000001</v>
      </c>
      <c r="AB1455" s="21">
        <f t="shared" si="419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1"/>
        <v>22717528.991150443</v>
      </c>
      <c r="AJ1455" s="19">
        <f t="shared" si="422"/>
        <v>3947747.192555753</v>
      </c>
      <c r="AK1455" s="20">
        <f t="shared" si="429"/>
        <v>0.1737753782153679</v>
      </c>
      <c r="AL1455" s="17"/>
      <c r="AM1455" s="17"/>
      <c r="AN1455" s="17"/>
      <c r="AO1455" s="17"/>
      <c r="AP1455" s="28" t="str">
        <f t="shared" si="430"/>
        <v>202210</v>
      </c>
      <c r="AQ1455" s="28" t="str">
        <f t="shared" si="431"/>
        <v>202210RMB</v>
      </c>
      <c r="AR1455" s="206" t="str">
        <f t="shared" si="432"/>
        <v>YAMAHA_Mounter</v>
      </c>
      <c r="AS1455" s="22">
        <f t="shared" si="433"/>
        <v>1</v>
      </c>
      <c r="AT1455" s="24" t="str">
        <f t="shared" si="434"/>
        <v>0-3 months</v>
      </c>
      <c r="AU1455" s="22" t="s">
        <v>3751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7"/>
        <v>1</v>
      </c>
      <c r="Z1456" s="18">
        <f t="shared" si="435"/>
        <v>15000000</v>
      </c>
      <c r="AA1456" s="13">
        <v>5.4199999999999998E-2</v>
      </c>
      <c r="AB1456" s="21">
        <f t="shared" si="419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1"/>
        <v>499582152.5142017</v>
      </c>
      <c r="AJ1456" s="19">
        <f t="shared" si="422"/>
        <v>59520528.679470733</v>
      </c>
      <c r="AK1456" s="20">
        <f t="shared" si="429"/>
        <v>0.11914062257814291</v>
      </c>
      <c r="AL1456" s="17"/>
      <c r="AM1456" s="17"/>
      <c r="AN1456" s="17"/>
      <c r="AO1456" s="17"/>
      <c r="AP1456" s="28" t="str">
        <f t="shared" si="430"/>
        <v>CancelCancel</v>
      </c>
      <c r="AQ1456" s="28" t="str">
        <f t="shared" si="431"/>
        <v>CancelCancelJPY</v>
      </c>
      <c r="AR1456" s="206" t="str">
        <f t="shared" si="432"/>
        <v>YAMAHA_Mounter</v>
      </c>
      <c r="AS1456" s="22" t="str">
        <f t="shared" si="433"/>
        <v/>
      </c>
      <c r="AT1456" s="24" t="str">
        <f t="shared" si="434"/>
        <v/>
      </c>
      <c r="AU1456" s="22" t="s">
        <v>3746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7"/>
        <v>1</v>
      </c>
      <c r="Z1457" s="18">
        <f t="shared" si="435"/>
        <v>15000000</v>
      </c>
      <c r="AA1457" s="13">
        <v>5.4199999999999998E-2</v>
      </c>
      <c r="AB1457" s="21">
        <f t="shared" si="419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1"/>
        <v>499582152.5142017</v>
      </c>
      <c r="AJ1457" s="19">
        <f t="shared" si="422"/>
        <v>59520528.679470733</v>
      </c>
      <c r="AK1457" s="20">
        <f t="shared" si="429"/>
        <v>0.11914062257814291</v>
      </c>
      <c r="AL1457" s="17"/>
      <c r="AM1457" s="17"/>
      <c r="AN1457" s="17"/>
      <c r="AO1457" s="17"/>
      <c r="AP1457" s="28" t="str">
        <f t="shared" si="430"/>
        <v>CancelCancel</v>
      </c>
      <c r="AQ1457" s="28" t="str">
        <f t="shared" si="431"/>
        <v>CancelCancelJPY</v>
      </c>
      <c r="AR1457" s="206" t="str">
        <f t="shared" si="432"/>
        <v>YAMAHA_Mounter</v>
      </c>
      <c r="AS1457" s="22" t="str">
        <f t="shared" si="433"/>
        <v/>
      </c>
      <c r="AT1457" s="24" t="str">
        <f t="shared" si="434"/>
        <v/>
      </c>
      <c r="AU1457" s="22" t="s">
        <v>3746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7"/>
        <v>1</v>
      </c>
      <c r="Z1458" s="18">
        <f t="shared" si="435"/>
        <v>15000000</v>
      </c>
      <c r="AA1458" s="13">
        <v>5.4199999999999998E-2</v>
      </c>
      <c r="AB1458" s="21">
        <f t="shared" si="419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1"/>
        <v>499582152.5142017</v>
      </c>
      <c r="AJ1458" s="19">
        <f t="shared" si="422"/>
        <v>59520528.679470733</v>
      </c>
      <c r="AK1458" s="20">
        <f t="shared" si="429"/>
        <v>0.11914062257814291</v>
      </c>
      <c r="AL1458" s="17"/>
      <c r="AM1458" s="17"/>
      <c r="AN1458" s="17"/>
      <c r="AO1458" s="17"/>
      <c r="AP1458" s="28" t="str">
        <f t="shared" si="430"/>
        <v>CancelCancel</v>
      </c>
      <c r="AQ1458" s="28" t="str">
        <f t="shared" si="431"/>
        <v>CancelCancelJPY</v>
      </c>
      <c r="AR1458" s="206" t="str">
        <f t="shared" si="432"/>
        <v>YAMAHA_Mounter</v>
      </c>
      <c r="AS1458" s="22" t="str">
        <f t="shared" si="433"/>
        <v/>
      </c>
      <c r="AT1458" s="24" t="str">
        <f t="shared" si="434"/>
        <v/>
      </c>
      <c r="AU1458" s="22" t="s">
        <v>3746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7"/>
        <v>1</v>
      </c>
      <c r="Z1459" s="18">
        <f t="shared" si="435"/>
        <v>15000000</v>
      </c>
      <c r="AA1459" s="13">
        <v>5.4199999999999998E-2</v>
      </c>
      <c r="AB1459" s="21">
        <f t="shared" si="419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1"/>
        <v>499582152.5142017</v>
      </c>
      <c r="AJ1459" s="19">
        <f t="shared" si="422"/>
        <v>59520528.679470733</v>
      </c>
      <c r="AK1459" s="20">
        <f t="shared" si="429"/>
        <v>0.11914062257814291</v>
      </c>
      <c r="AL1459" s="17"/>
      <c r="AM1459" s="17"/>
      <c r="AN1459" s="17"/>
      <c r="AO1459" s="17"/>
      <c r="AP1459" s="28" t="str">
        <f t="shared" si="430"/>
        <v>CancelCancel</v>
      </c>
      <c r="AQ1459" s="28" t="str">
        <f t="shared" si="431"/>
        <v>CancelCancelJPY</v>
      </c>
      <c r="AR1459" s="206" t="str">
        <f t="shared" si="432"/>
        <v>YAMAHA_Mounter</v>
      </c>
      <c r="AS1459" s="22" t="str">
        <f t="shared" si="433"/>
        <v/>
      </c>
      <c r="AT1459" s="24" t="str">
        <f t="shared" si="434"/>
        <v/>
      </c>
      <c r="AU1459" s="22" t="s">
        <v>3746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7"/>
        <v>1</v>
      </c>
      <c r="Z1460" s="18">
        <f t="shared" si="435"/>
        <v>15000000</v>
      </c>
      <c r="AA1460" s="13">
        <v>5.4199999999999998E-2</v>
      </c>
      <c r="AB1460" s="21">
        <f t="shared" si="419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1"/>
        <v>499582152.5142017</v>
      </c>
      <c r="AJ1460" s="19">
        <f t="shared" si="422"/>
        <v>59520528.679470733</v>
      </c>
      <c r="AK1460" s="20">
        <f t="shared" si="429"/>
        <v>0.11914062257814291</v>
      </c>
      <c r="AL1460" s="17"/>
      <c r="AM1460" s="17"/>
      <c r="AN1460" s="17"/>
      <c r="AO1460" s="17"/>
      <c r="AP1460" s="28" t="str">
        <f t="shared" si="430"/>
        <v>CancelCancel</v>
      </c>
      <c r="AQ1460" s="28" t="str">
        <f t="shared" si="431"/>
        <v>CancelCancelJPY</v>
      </c>
      <c r="AR1460" s="206" t="str">
        <f t="shared" si="432"/>
        <v>YAMAHA_Mounter</v>
      </c>
      <c r="AS1460" s="22" t="str">
        <f t="shared" si="433"/>
        <v/>
      </c>
      <c r="AT1460" s="24" t="str">
        <f t="shared" si="434"/>
        <v/>
      </c>
      <c r="AU1460" s="22" t="s">
        <v>3746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7"/>
        <v>1</v>
      </c>
      <c r="Z1461" s="18">
        <f t="shared" si="435"/>
        <v>15000000</v>
      </c>
      <c r="AA1461" s="13">
        <v>5.4199999999999998E-2</v>
      </c>
      <c r="AB1461" s="21">
        <f t="shared" si="419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1"/>
        <v>499582152.5142017</v>
      </c>
      <c r="AJ1461" s="19">
        <f t="shared" si="422"/>
        <v>59520528.679470733</v>
      </c>
      <c r="AK1461" s="20">
        <f t="shared" si="429"/>
        <v>0.11914062257814291</v>
      </c>
      <c r="AL1461" s="17"/>
      <c r="AM1461" s="17"/>
      <c r="AN1461" s="17"/>
      <c r="AO1461" s="17"/>
      <c r="AP1461" s="28" t="str">
        <f t="shared" si="430"/>
        <v>CancelCancel</v>
      </c>
      <c r="AQ1461" s="28" t="str">
        <f t="shared" si="431"/>
        <v>CancelCancelJPY</v>
      </c>
      <c r="AR1461" s="206" t="str">
        <f t="shared" si="432"/>
        <v>YAMAHA_Mounter</v>
      </c>
      <c r="AS1461" s="22" t="str">
        <f t="shared" si="433"/>
        <v/>
      </c>
      <c r="AT1461" s="24" t="str">
        <f t="shared" si="434"/>
        <v/>
      </c>
      <c r="AU1461" s="22" t="s">
        <v>3746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38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7"/>
        <v>1</v>
      </c>
      <c r="Z1462" s="18">
        <f t="shared" si="435"/>
        <v>11250000</v>
      </c>
      <c r="AA1462" s="13">
        <v>5.4199999999999998E-2</v>
      </c>
      <c r="AB1462" s="21">
        <f t="shared" ref="AB1462:AB1525" si="439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1"/>
        <v>499582152.5142017</v>
      </c>
      <c r="AJ1462" s="19">
        <f t="shared" si="422"/>
        <v>59520528.679470733</v>
      </c>
      <c r="AK1462" s="20">
        <f t="shared" si="429"/>
        <v>0.11914062257814291</v>
      </c>
      <c r="AL1462" s="17"/>
      <c r="AM1462" s="17"/>
      <c r="AN1462" s="17"/>
      <c r="AO1462" s="17"/>
      <c r="AP1462" s="28" t="str">
        <f t="shared" si="430"/>
        <v>CancelCancel</v>
      </c>
      <c r="AQ1462" s="28" t="str">
        <f t="shared" si="431"/>
        <v>CancelCancelJPY</v>
      </c>
      <c r="AR1462" s="206" t="str">
        <f t="shared" si="432"/>
        <v>YAMAHA_Mounter</v>
      </c>
      <c r="AS1462" s="22" t="str">
        <f t="shared" si="433"/>
        <v/>
      </c>
      <c r="AT1462" s="24" t="str">
        <f t="shared" si="434"/>
        <v/>
      </c>
      <c r="AU1462" s="22" t="s">
        <v>3746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38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7"/>
        <v>1</v>
      </c>
      <c r="Z1463" s="18">
        <f t="shared" si="435"/>
        <v>11250000</v>
      </c>
      <c r="AA1463" s="13">
        <v>5.4199999999999998E-2</v>
      </c>
      <c r="AB1463" s="21">
        <f t="shared" si="439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1"/>
        <v>499582152.5142017</v>
      </c>
      <c r="AJ1463" s="19">
        <f t="shared" si="422"/>
        <v>59520528.679470733</v>
      </c>
      <c r="AK1463" s="20">
        <f t="shared" si="429"/>
        <v>0.11914062257814291</v>
      </c>
      <c r="AL1463" s="17"/>
      <c r="AM1463" s="17"/>
      <c r="AN1463" s="17"/>
      <c r="AO1463" s="17"/>
      <c r="AP1463" s="28" t="str">
        <f t="shared" si="430"/>
        <v>CancelCancel</v>
      </c>
      <c r="AQ1463" s="28" t="str">
        <f t="shared" si="431"/>
        <v>CancelCancelJPY</v>
      </c>
      <c r="AR1463" s="206" t="str">
        <f t="shared" si="432"/>
        <v>YAMAHA_Mounter</v>
      </c>
      <c r="AS1463" s="22" t="str">
        <f t="shared" si="433"/>
        <v/>
      </c>
      <c r="AT1463" s="24" t="str">
        <f t="shared" si="434"/>
        <v/>
      </c>
      <c r="AU1463" s="22" t="s">
        <v>3746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38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7"/>
        <v>1</v>
      </c>
      <c r="Z1464" s="18">
        <f t="shared" si="435"/>
        <v>11250000</v>
      </c>
      <c r="AA1464" s="13">
        <v>5.4199999999999998E-2</v>
      </c>
      <c r="AB1464" s="21">
        <f t="shared" si="439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1"/>
        <v>499582152.5142017</v>
      </c>
      <c r="AJ1464" s="19">
        <f t="shared" si="422"/>
        <v>59520528.679470733</v>
      </c>
      <c r="AK1464" s="20">
        <f t="shared" si="429"/>
        <v>0.11914062257814291</v>
      </c>
      <c r="AL1464" s="17"/>
      <c r="AM1464" s="17"/>
      <c r="AN1464" s="17"/>
      <c r="AO1464" s="17"/>
      <c r="AP1464" s="28" t="str">
        <f t="shared" si="430"/>
        <v>CancelCancel</v>
      </c>
      <c r="AQ1464" s="28" t="str">
        <f t="shared" si="431"/>
        <v>CancelCancelJPY</v>
      </c>
      <c r="AR1464" s="206" t="str">
        <f t="shared" si="432"/>
        <v>YAMAHA_Mounter</v>
      </c>
      <c r="AS1464" s="22" t="str">
        <f t="shared" si="433"/>
        <v/>
      </c>
      <c r="AT1464" s="24" t="str">
        <f t="shared" si="434"/>
        <v/>
      </c>
      <c r="AU1464" s="22" t="s">
        <v>3746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38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7"/>
        <v>1</v>
      </c>
      <c r="Z1465" s="18">
        <f t="shared" si="435"/>
        <v>11250000</v>
      </c>
      <c r="AA1465" s="13">
        <v>5.4199999999999998E-2</v>
      </c>
      <c r="AB1465" s="21">
        <f t="shared" si="439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1"/>
        <v>499582152.5142017</v>
      </c>
      <c r="AJ1465" s="19">
        <f t="shared" si="422"/>
        <v>59520528.679470733</v>
      </c>
      <c r="AK1465" s="20">
        <f t="shared" si="429"/>
        <v>0.11914062257814291</v>
      </c>
      <c r="AL1465" s="17"/>
      <c r="AM1465" s="17"/>
      <c r="AN1465" s="17"/>
      <c r="AO1465" s="17"/>
      <c r="AP1465" s="28" t="str">
        <f t="shared" si="430"/>
        <v>CancelCancel</v>
      </c>
      <c r="AQ1465" s="28" t="str">
        <f t="shared" si="431"/>
        <v>CancelCancelJPY</v>
      </c>
      <c r="AR1465" s="206" t="str">
        <f t="shared" si="432"/>
        <v>YAMAHA_Mounter</v>
      </c>
      <c r="AS1465" s="22" t="str">
        <f t="shared" si="433"/>
        <v/>
      </c>
      <c r="AT1465" s="24" t="str">
        <f t="shared" si="434"/>
        <v/>
      </c>
      <c r="AU1465" s="22" t="s">
        <v>3746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38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5"/>
        <v>738000</v>
      </c>
      <c r="AA1466" s="22">
        <v>1.08</v>
      </c>
      <c r="AB1466" s="197">
        <f t="shared" si="439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1"/>
        <v>27308925.887079656</v>
      </c>
      <c r="AJ1466" s="200">
        <f t="shared" si="422"/>
        <v>3319273.860338124</v>
      </c>
      <c r="AK1466" s="201">
        <f t="shared" si="429"/>
        <v>0.12154538314919709</v>
      </c>
      <c r="AL1466" s="24"/>
      <c r="AM1466" s="24"/>
      <c r="AN1466" s="24"/>
      <c r="AO1466" s="24"/>
      <c r="AP1466" s="28" t="str">
        <f t="shared" si="430"/>
        <v>20246</v>
      </c>
      <c r="AQ1466" s="208" t="str">
        <f t="shared" si="431"/>
        <v>20246RMB</v>
      </c>
      <c r="AR1466" s="206" t="str">
        <f t="shared" si="432"/>
        <v>YAMAHA_Mounter</v>
      </c>
      <c r="AS1466" s="22">
        <f t="shared" si="433"/>
        <v>2</v>
      </c>
      <c r="AT1466" s="24" t="str">
        <f t="shared" si="434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38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5"/>
        <v>390000</v>
      </c>
      <c r="AA1467" s="22">
        <v>1.08</v>
      </c>
      <c r="AB1467" s="21">
        <f t="shared" si="439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1"/>
        <v>27308925.887079656</v>
      </c>
      <c r="AJ1467" s="19">
        <f t="shared" si="422"/>
        <v>3319273.860338124</v>
      </c>
      <c r="AK1467" s="20">
        <f t="shared" si="429"/>
        <v>0.12154538314919709</v>
      </c>
      <c r="AL1467" s="17"/>
      <c r="AM1467" s="17"/>
      <c r="AN1467" s="17"/>
      <c r="AO1467" s="17"/>
      <c r="AP1467" s="28" t="str">
        <f t="shared" si="430"/>
        <v>20246</v>
      </c>
      <c r="AQ1467" s="28" t="str">
        <f t="shared" si="431"/>
        <v>20246RMB</v>
      </c>
      <c r="AR1467" s="206" t="str">
        <f t="shared" si="432"/>
        <v>YAMAHA_Mounter</v>
      </c>
      <c r="AS1467" s="22">
        <f t="shared" si="433"/>
        <v>7</v>
      </c>
      <c r="AT1467" s="24" t="str">
        <f t="shared" si="434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38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5"/>
        <v>770000</v>
      </c>
      <c r="AA1468" s="22">
        <v>1.08</v>
      </c>
      <c r="AB1468" s="21">
        <f t="shared" si="439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1"/>
        <v>27308925.887079656</v>
      </c>
      <c r="AJ1468" s="27">
        <f t="shared" si="422"/>
        <v>3319273.860338124</v>
      </c>
      <c r="AK1468" s="28">
        <f t="shared" si="429"/>
        <v>0.12154538314919709</v>
      </c>
      <c r="AL1468" s="24"/>
      <c r="AM1468" s="24"/>
      <c r="AN1468" s="24"/>
      <c r="AO1468" s="24"/>
      <c r="AP1468" s="28" t="str">
        <f t="shared" si="430"/>
        <v>20246</v>
      </c>
      <c r="AQ1468" s="28" t="str">
        <f t="shared" si="431"/>
        <v>20246RMB</v>
      </c>
      <c r="AR1468" s="206" t="str">
        <f t="shared" si="432"/>
        <v>YAMAHA_Mounter</v>
      </c>
      <c r="AS1468" s="22">
        <f t="shared" si="433"/>
        <v>2</v>
      </c>
      <c r="AT1468" s="24" t="str">
        <f t="shared" si="434"/>
        <v>0-3 months</v>
      </c>
      <c r="AU1468" s="22" t="s">
        <v>3751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5"/>
        <v>14000000</v>
      </c>
      <c r="AA1469" s="13">
        <v>7.17E-2</v>
      </c>
      <c r="AB1469" s="21">
        <f t="shared" si="439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1"/>
        <v>41443303.53761062</v>
      </c>
      <c r="AJ1469" s="19">
        <f t="shared" si="422"/>
        <v>6194988.76643031</v>
      </c>
      <c r="AK1469" s="20">
        <f t="shared" si="429"/>
        <v>0.1494810557466355</v>
      </c>
      <c r="AL1469" s="17"/>
      <c r="AM1469" s="17"/>
      <c r="AN1469" s="17"/>
      <c r="AO1469" s="17"/>
      <c r="AP1469" s="28" t="str">
        <f t="shared" si="430"/>
        <v>20217</v>
      </c>
      <c r="AQ1469" s="28" t="str">
        <f t="shared" si="431"/>
        <v>20217JPY</v>
      </c>
      <c r="AR1469" s="206" t="str">
        <f t="shared" si="432"/>
        <v>YAMAHA_Mounter</v>
      </c>
      <c r="AS1469" s="22">
        <f t="shared" si="433"/>
        <v>4</v>
      </c>
      <c r="AT1469" s="24" t="str">
        <f t="shared" si="434"/>
        <v>4-6 months</v>
      </c>
      <c r="AU1469" s="22" t="s">
        <v>3745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5"/>
        <v>9560000</v>
      </c>
      <c r="AA1470" s="13">
        <v>7.17E-2</v>
      </c>
      <c r="AB1470" s="21">
        <f t="shared" si="439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1"/>
        <v>41443303.53761062</v>
      </c>
      <c r="AJ1470" s="19">
        <f t="shared" si="422"/>
        <v>6194988.76643031</v>
      </c>
      <c r="AK1470" s="20">
        <f t="shared" si="429"/>
        <v>0.1494810557466355</v>
      </c>
      <c r="AL1470" s="17"/>
      <c r="AM1470" s="17"/>
      <c r="AN1470" s="17"/>
      <c r="AO1470" s="17"/>
      <c r="AP1470" s="28" t="str">
        <f t="shared" si="430"/>
        <v>20217</v>
      </c>
      <c r="AQ1470" s="28" t="str">
        <f t="shared" si="431"/>
        <v>20217JPY</v>
      </c>
      <c r="AR1470" s="206" t="str">
        <f t="shared" si="432"/>
        <v>YAMAHA_Mounter</v>
      </c>
      <c r="AS1470" s="22">
        <f t="shared" si="433"/>
        <v>4</v>
      </c>
      <c r="AT1470" s="24" t="str">
        <f t="shared" si="434"/>
        <v>4-6 months</v>
      </c>
      <c r="AU1470" s="22" t="s">
        <v>3745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5"/>
        <v>554640</v>
      </c>
      <c r="AA1471" s="13">
        <v>1.23</v>
      </c>
      <c r="AB1471" s="21">
        <f t="shared" si="439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1"/>
        <v>34109166.105589926</v>
      </c>
      <c r="AJ1471" s="19">
        <f t="shared" si="422"/>
        <v>4642032.7199573703</v>
      </c>
      <c r="AK1471" s="20">
        <f t="shared" si="429"/>
        <v>0.13609340977692849</v>
      </c>
      <c r="AL1471" s="17"/>
      <c r="AM1471" s="17"/>
      <c r="AN1471" s="17" t="s">
        <v>487</v>
      </c>
      <c r="AO1471" s="17"/>
      <c r="AP1471" s="28" t="str">
        <f t="shared" si="430"/>
        <v>20185</v>
      </c>
      <c r="AQ1471" s="28" t="str">
        <f t="shared" si="431"/>
        <v>20185RMB</v>
      </c>
      <c r="AR1471" s="206" t="str">
        <f t="shared" si="432"/>
        <v>YAMAHA_Mounter</v>
      </c>
      <c r="AS1471" s="22">
        <f t="shared" si="433"/>
        <v>0</v>
      </c>
      <c r="AT1471" s="24" t="str">
        <f t="shared" si="434"/>
        <v>0-3 months</v>
      </c>
      <c r="AU1471" s="22" t="s">
        <v>3751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5"/>
        <v>6850000</v>
      </c>
      <c r="AA1472" s="13">
        <v>7.6100000000000001E-2</v>
      </c>
      <c r="AB1472" s="21">
        <f t="shared" si="439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1"/>
        <v>44078731.611185849</v>
      </c>
      <c r="AJ1472" s="19">
        <f t="shared" si="422"/>
        <v>5508173.2163771465</v>
      </c>
      <c r="AK1472" s="20">
        <f t="shared" si="429"/>
        <v>0.12496215328889679</v>
      </c>
      <c r="AL1472" s="17"/>
      <c r="AM1472" s="17"/>
      <c r="AN1472" s="17"/>
      <c r="AO1472" s="17"/>
      <c r="AP1472" s="28" t="str">
        <f t="shared" si="430"/>
        <v>202011</v>
      </c>
      <c r="AQ1472" s="28" t="str">
        <f t="shared" si="431"/>
        <v>202011JPY</v>
      </c>
      <c r="AR1472" s="206" t="str">
        <f t="shared" si="432"/>
        <v>YAMAHA_Mounter</v>
      </c>
      <c r="AS1472" s="22">
        <f t="shared" si="433"/>
        <v>3</v>
      </c>
      <c r="AT1472" s="24" t="str">
        <f t="shared" si="434"/>
        <v>0-3 months</v>
      </c>
      <c r="AU1472" s="22" t="s">
        <v>3745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5"/>
        <v>7590000</v>
      </c>
      <c r="AA1473" s="13">
        <v>7.17E-2</v>
      </c>
      <c r="AB1473" s="21">
        <f t="shared" si="439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1"/>
        <v>499582152.5142017</v>
      </c>
      <c r="AJ1473" s="19">
        <f t="shared" si="422"/>
        <v>59520528.679470733</v>
      </c>
      <c r="AK1473" s="20">
        <f t="shared" si="429"/>
        <v>0.11914062257814291</v>
      </c>
      <c r="AL1473" s="17"/>
      <c r="AM1473" s="17"/>
      <c r="AN1473" s="17"/>
      <c r="AO1473" s="17"/>
      <c r="AP1473" s="28" t="str">
        <f t="shared" si="430"/>
        <v>CancelCANCEL</v>
      </c>
      <c r="AQ1473" s="28" t="str">
        <f t="shared" si="431"/>
        <v>CancelCANCELJPY</v>
      </c>
      <c r="AR1473" s="206" t="str">
        <f t="shared" si="432"/>
        <v>YAMAHA_Mounter</v>
      </c>
      <c r="AS1473" s="22" t="str">
        <f t="shared" si="433"/>
        <v/>
      </c>
      <c r="AT1473" s="24" t="str">
        <f t="shared" si="434"/>
        <v/>
      </c>
      <c r="AU1473" s="22" t="s">
        <v>3745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5"/>
        <v>335000</v>
      </c>
      <c r="AA1474" s="22">
        <v>1.08</v>
      </c>
      <c r="AB1474" s="197">
        <f t="shared" si="439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ref="AI1474:AI1537" si="440">IF(P1474="C66 SERVICE","",SUMIFS(AB:AB,F:F,F1474,G:G,G1474,E:E,E1474))</f>
        <v>27308925.887079656</v>
      </c>
      <c r="AJ1474" s="200">
        <f t="shared" ref="AJ1474:AJ1537" si="441">IF(P1474="C66 SERVICE","",SUMIFS(AC:AC,F:F,F1474,G:G,G1474,E:E,E1474))</f>
        <v>3319273.860338124</v>
      </c>
      <c r="AK1474" s="201">
        <f t="shared" si="429"/>
        <v>0.12154538314919709</v>
      </c>
      <c r="AL1474" s="24"/>
      <c r="AM1474" s="24"/>
      <c r="AN1474" s="24"/>
      <c r="AO1474" s="24"/>
      <c r="AP1474" s="105" t="str">
        <f t="shared" si="430"/>
        <v>20246</v>
      </c>
      <c r="AQ1474" s="28" t="str">
        <f t="shared" si="431"/>
        <v>20246RMB</v>
      </c>
      <c r="AR1474" s="206" t="str">
        <f t="shared" si="432"/>
        <v>YAMAHA_Non_Mounter</v>
      </c>
      <c r="AS1474" s="22">
        <f t="shared" si="433"/>
        <v>1</v>
      </c>
      <c r="AT1474" s="24" t="str">
        <f t="shared" si="434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5"/>
        <v>335000</v>
      </c>
      <c r="AA1475" s="22">
        <v>1.08</v>
      </c>
      <c r="AB1475" s="197">
        <f t="shared" si="439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40"/>
        <v>27308925.887079656</v>
      </c>
      <c r="AJ1475" s="200">
        <f t="shared" si="441"/>
        <v>3319273.860338124</v>
      </c>
      <c r="AK1475" s="201">
        <f t="shared" si="429"/>
        <v>0.12154538314919709</v>
      </c>
      <c r="AL1475" s="24"/>
      <c r="AM1475" s="24"/>
      <c r="AN1475" s="24"/>
      <c r="AO1475" s="24"/>
      <c r="AP1475" s="105" t="str">
        <f t="shared" si="430"/>
        <v>20246</v>
      </c>
      <c r="AQ1475" s="28" t="str">
        <f t="shared" si="431"/>
        <v>20246RMB</v>
      </c>
      <c r="AR1475" s="206" t="str">
        <f t="shared" si="432"/>
        <v>YAMAHA_Non_Mounter</v>
      </c>
      <c r="AS1475" s="22">
        <f t="shared" si="433"/>
        <v>1</v>
      </c>
      <c r="AT1475" s="24" t="str">
        <f t="shared" si="434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5"/>
        <v>211988</v>
      </c>
      <c r="AA1476" s="22">
        <v>1.08</v>
      </c>
      <c r="AB1476" s="197">
        <f t="shared" si="439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40"/>
        <v>27308925.887079656</v>
      </c>
      <c r="AJ1476" s="200">
        <f t="shared" si="441"/>
        <v>3319273.860338124</v>
      </c>
      <c r="AK1476" s="201">
        <f t="shared" si="429"/>
        <v>0.12154538314919709</v>
      </c>
      <c r="AL1476" s="24"/>
      <c r="AM1476" s="24"/>
      <c r="AN1476" s="24"/>
      <c r="AO1476" s="24"/>
      <c r="AP1476" s="105" t="str">
        <f t="shared" si="430"/>
        <v>20246</v>
      </c>
      <c r="AQ1476" s="28" t="str">
        <f t="shared" si="431"/>
        <v>20246RMB</v>
      </c>
      <c r="AR1476" s="206" t="str">
        <f t="shared" si="432"/>
        <v>YAMAHA_Non_Mounter</v>
      </c>
      <c r="AS1476" s="22">
        <f t="shared" si="433"/>
        <v>1</v>
      </c>
      <c r="AT1476" s="24" t="str">
        <f t="shared" si="434"/>
        <v>0-3 months</v>
      </c>
      <c r="AU1476" s="22" t="s">
        <v>3751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5"/>
        <v>678000</v>
      </c>
      <c r="AA1477" s="13">
        <v>1.135</v>
      </c>
      <c r="AB1477" s="21">
        <f t="shared" si="439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40"/>
        <v>21386017.707964607</v>
      </c>
      <c r="AJ1477" s="19">
        <f t="shared" si="441"/>
        <v>2238764.3265707968</v>
      </c>
      <c r="AK1477" s="20">
        <f t="shared" si="429"/>
        <v>0.10468355339185161</v>
      </c>
      <c r="AL1477" s="17"/>
      <c r="AM1477" s="17"/>
      <c r="AN1477" s="17"/>
      <c r="AO1477" s="17"/>
      <c r="AP1477" s="28" t="str">
        <f t="shared" si="430"/>
        <v>20198</v>
      </c>
      <c r="AQ1477" s="28" t="str">
        <f t="shared" si="431"/>
        <v>20198RMB</v>
      </c>
      <c r="AR1477" s="206" t="str">
        <f t="shared" si="432"/>
        <v>YAMAHA_Mounter</v>
      </c>
      <c r="AS1477" s="22">
        <f t="shared" si="433"/>
        <v>0</v>
      </c>
      <c r="AT1477" s="24" t="str">
        <f t="shared" si="434"/>
        <v>0-3 months</v>
      </c>
      <c r="AU1477" s="22" t="s">
        <v>3744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5"/>
        <v>15029975</v>
      </c>
      <c r="AA1478" s="13">
        <v>7.17E-2</v>
      </c>
      <c r="AB1478" s="21">
        <f t="shared" si="439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40"/>
        <v>14593788.187146019</v>
      </c>
      <c r="AJ1478" s="19">
        <f t="shared" si="441"/>
        <v>1868647.7321969916</v>
      </c>
      <c r="AK1478" s="20">
        <f t="shared" ref="AK1478:AK1541" si="448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49">IF(F1478="","",F1478&amp;G1478)</f>
        <v>20195</v>
      </c>
      <c r="AQ1478" s="28" t="str">
        <f t="shared" ref="AQ1478:AQ1541" si="450">IF(W1478="","",F1478&amp;G1478&amp;W1478)</f>
        <v>20195JPY</v>
      </c>
      <c r="AR1478" s="206" t="str">
        <f t="shared" ref="AR1478:AR1541" si="451">IFERROR(IF(AND(M1478="YAMAHA", R1478="C28"), "YAMAHA_Non_Mounter", IF(AND(M1478="YAMAHA", R1478="C49"), "YAMAHA_Mounter", M1478)),"")</f>
        <v>YAMAHA_Mounter</v>
      </c>
      <c r="AS1478" s="22">
        <f t="shared" ref="AS1478:AS1541" si="452">IFERROR(IF(OR(G1478="TBA", G1478=""), "", DATEDIF(DATE(B1478, C1478, 1), DATE(F1478, G1478, 1), "M")),"")</f>
        <v>1</v>
      </c>
      <c r="AT1478" s="24" t="str">
        <f t="shared" ref="AT1478:AT1541" si="453">IF(ISNUMBER(AS1478), IF(AS1478&gt;=0, IF(AS1478&lt;=3, "0-3 months", IF(AS1478&lt;=6, "4-6 months", "&gt; 6 months"))), "")</f>
        <v>0-3 months</v>
      </c>
      <c r="AU1478" s="22" t="s">
        <v>3745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5"/>
        <v>11200000</v>
      </c>
      <c r="AA1479" s="13">
        <v>7.3499999999999996E-2</v>
      </c>
      <c r="AB1479" s="21">
        <f t="shared" si="439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0"/>
        <v>26147030.909862842</v>
      </c>
      <c r="AJ1479" s="19">
        <f t="shared" si="441"/>
        <v>2743862.8630715334</v>
      </c>
      <c r="AK1479" s="20">
        <f t="shared" si="448"/>
        <v>0.10493974908778378</v>
      </c>
      <c r="AL1479" s="17"/>
      <c r="AM1479" s="17"/>
      <c r="AN1479" s="17"/>
      <c r="AO1479" s="17"/>
      <c r="AP1479" s="28" t="str">
        <f t="shared" si="449"/>
        <v>201911</v>
      </c>
      <c r="AQ1479" s="28" t="str">
        <f t="shared" si="450"/>
        <v>201911JPY</v>
      </c>
      <c r="AR1479" s="206" t="str">
        <f t="shared" si="451"/>
        <v>YAMAHA_Mounter</v>
      </c>
      <c r="AS1479" s="22">
        <f t="shared" si="452"/>
        <v>0</v>
      </c>
      <c r="AT1479" s="24" t="str">
        <f t="shared" si="453"/>
        <v>0-3 months</v>
      </c>
      <c r="AU1479" s="22" t="s">
        <v>3745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5"/>
        <v>14642375</v>
      </c>
      <c r="AA1480" s="13">
        <v>7.3400000000000007E-2</v>
      </c>
      <c r="AB1480" s="21">
        <f t="shared" si="439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0"/>
        <v>499582152.5142017</v>
      </c>
      <c r="AJ1480" s="19">
        <f t="shared" si="441"/>
        <v>59520528.679470733</v>
      </c>
      <c r="AK1480" s="20">
        <f t="shared" si="448"/>
        <v>0.11914062257814291</v>
      </c>
      <c r="AL1480" s="17"/>
      <c r="AM1480" s="17"/>
      <c r="AN1480" s="17"/>
      <c r="AO1480" s="17"/>
      <c r="AP1480" s="28" t="str">
        <f t="shared" si="449"/>
        <v>CancelCancel</v>
      </c>
      <c r="AQ1480" s="28" t="str">
        <f t="shared" si="450"/>
        <v>CancelCancelJPY</v>
      </c>
      <c r="AR1480" s="206" t="str">
        <f t="shared" si="451"/>
        <v>YAMAHA_Mounter</v>
      </c>
      <c r="AS1480" s="22" t="str">
        <f t="shared" si="452"/>
        <v/>
      </c>
      <c r="AT1480" s="24" t="str">
        <f t="shared" si="453"/>
        <v/>
      </c>
      <c r="AU1480" s="22" t="s">
        <v>3745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5"/>
        <v>14642375</v>
      </c>
      <c r="AA1481" s="13">
        <v>7.3400000000000007E-2</v>
      </c>
      <c r="AB1481" s="21">
        <f t="shared" si="439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0"/>
        <v>499582152.5142017</v>
      </c>
      <c r="AJ1481" s="19">
        <f t="shared" si="441"/>
        <v>59520528.679470733</v>
      </c>
      <c r="AK1481" s="20">
        <f t="shared" si="448"/>
        <v>0.11914062257814291</v>
      </c>
      <c r="AL1481" s="17"/>
      <c r="AM1481" s="17"/>
      <c r="AN1481" s="17"/>
      <c r="AO1481" s="17"/>
      <c r="AP1481" s="28" t="str">
        <f t="shared" si="449"/>
        <v>CancelCancel</v>
      </c>
      <c r="AQ1481" s="28" t="str">
        <f t="shared" si="450"/>
        <v>CancelCancelJPY</v>
      </c>
      <c r="AR1481" s="206" t="str">
        <f t="shared" si="451"/>
        <v>YAMAHA_Mounter</v>
      </c>
      <c r="AS1481" s="22" t="str">
        <f t="shared" si="452"/>
        <v/>
      </c>
      <c r="AT1481" s="24" t="str">
        <f t="shared" si="453"/>
        <v/>
      </c>
      <c r="AU1481" s="22" t="s">
        <v>3745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4">IF(X1482="","",X1482*MAX(O1482,N1482))</f>
        <v>66000</v>
      </c>
      <c r="AA1482" s="13">
        <v>1.17</v>
      </c>
      <c r="AB1482" s="21">
        <f t="shared" si="439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0"/>
        <v>36480247.665929198</v>
      </c>
      <c r="AJ1482" s="19">
        <f t="shared" si="441"/>
        <v>5330996.6372757526</v>
      </c>
      <c r="AK1482" s="20">
        <f t="shared" si="448"/>
        <v>0.14613378412599562</v>
      </c>
      <c r="AL1482" s="17"/>
      <c r="AM1482" s="17"/>
      <c r="AN1482" s="17"/>
      <c r="AO1482" s="17"/>
      <c r="AP1482" s="28" t="str">
        <f t="shared" si="449"/>
        <v>20227</v>
      </c>
      <c r="AQ1482" s="28" t="str">
        <f t="shared" si="450"/>
        <v>20227RMB</v>
      </c>
      <c r="AR1482" s="206" t="str">
        <f t="shared" si="451"/>
        <v>LOCAL SUPPLIER</v>
      </c>
      <c r="AS1482" s="22">
        <f t="shared" si="452"/>
        <v>2</v>
      </c>
      <c r="AT1482" s="24" t="str">
        <f t="shared" si="453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4"/>
        <v>610000</v>
      </c>
      <c r="AA1483" s="13">
        <v>1.089</v>
      </c>
      <c r="AB1483" s="21">
        <f t="shared" si="439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0"/>
        <v>29183109.05575221</v>
      </c>
      <c r="AJ1483" s="19">
        <f t="shared" si="441"/>
        <v>3741266.5648721238</v>
      </c>
      <c r="AK1483" s="20">
        <f t="shared" si="448"/>
        <v>0.12819972531798121</v>
      </c>
      <c r="AL1483" s="17"/>
      <c r="AM1483" s="17"/>
      <c r="AN1483" s="17"/>
      <c r="AO1483" s="17"/>
      <c r="AP1483" s="28" t="str">
        <f t="shared" si="449"/>
        <v>20206</v>
      </c>
      <c r="AQ1483" s="28" t="str">
        <f t="shared" si="450"/>
        <v>20206RMB</v>
      </c>
      <c r="AR1483" s="206" t="str">
        <f t="shared" si="451"/>
        <v>YAMAHA_Mounter</v>
      </c>
      <c r="AS1483" s="22">
        <f t="shared" si="452"/>
        <v>4</v>
      </c>
      <c r="AT1483" s="24" t="str">
        <f t="shared" si="453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4"/>
        <v>697470</v>
      </c>
      <c r="AA1484" s="13">
        <v>1.089</v>
      </c>
      <c r="AB1484" s="21">
        <f t="shared" si="439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0"/>
        <v>29183109.05575221</v>
      </c>
      <c r="AJ1484" s="19">
        <f t="shared" si="441"/>
        <v>3741266.5648721238</v>
      </c>
      <c r="AK1484" s="20">
        <f t="shared" si="448"/>
        <v>0.12819972531798121</v>
      </c>
      <c r="AL1484" s="17"/>
      <c r="AM1484" s="17"/>
      <c r="AN1484" s="17"/>
      <c r="AO1484" s="17"/>
      <c r="AP1484" s="28" t="str">
        <f t="shared" si="449"/>
        <v>20206</v>
      </c>
      <c r="AQ1484" s="28" t="str">
        <f t="shared" si="450"/>
        <v>20206RMB</v>
      </c>
      <c r="AR1484" s="206" t="str">
        <f t="shared" si="451"/>
        <v>LOCAL SUPPLIER</v>
      </c>
      <c r="AS1484" s="22">
        <f t="shared" si="452"/>
        <v>4</v>
      </c>
      <c r="AT1484" s="24" t="str">
        <f t="shared" si="453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4"/>
        <v>275000</v>
      </c>
      <c r="AA1485" s="13">
        <v>1.089</v>
      </c>
      <c r="AB1485" s="21">
        <f t="shared" si="439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0"/>
        <v>29183109.05575221</v>
      </c>
      <c r="AJ1485" s="19">
        <f t="shared" si="441"/>
        <v>3741266.5648721238</v>
      </c>
      <c r="AK1485" s="20">
        <f t="shared" si="448"/>
        <v>0.12819972531798121</v>
      </c>
      <c r="AL1485" s="17"/>
      <c r="AM1485" s="17"/>
      <c r="AN1485" s="17"/>
      <c r="AO1485" s="17"/>
      <c r="AP1485" s="28" t="str">
        <f t="shared" si="449"/>
        <v>20206</v>
      </c>
      <c r="AQ1485" s="28" t="str">
        <f t="shared" si="450"/>
        <v>20206RMB</v>
      </c>
      <c r="AR1485" s="206" t="str">
        <f t="shared" si="451"/>
        <v>HELLER</v>
      </c>
      <c r="AS1485" s="22">
        <f t="shared" si="452"/>
        <v>4</v>
      </c>
      <c r="AT1485" s="24" t="str">
        <f t="shared" si="453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4"/>
        <v>30000</v>
      </c>
      <c r="AA1486" s="13">
        <v>1.089</v>
      </c>
      <c r="AB1486" s="21">
        <f t="shared" si="439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0"/>
        <v>29183109.05575221</v>
      </c>
      <c r="AJ1486" s="19">
        <f t="shared" si="441"/>
        <v>3741266.5648721238</v>
      </c>
      <c r="AK1486" s="20">
        <f t="shared" si="448"/>
        <v>0.12819972531798121</v>
      </c>
      <c r="AL1486" s="17"/>
      <c r="AM1486" s="17"/>
      <c r="AN1486" s="17"/>
      <c r="AO1486" s="17"/>
      <c r="AP1486" s="28" t="str">
        <f t="shared" si="449"/>
        <v>20206</v>
      </c>
      <c r="AQ1486" s="28" t="str">
        <f t="shared" si="450"/>
        <v>20206RMB</v>
      </c>
      <c r="AR1486" s="206" t="str">
        <f t="shared" si="451"/>
        <v>SOLDERSTAR</v>
      </c>
      <c r="AS1486" s="22">
        <f t="shared" si="452"/>
        <v>4</v>
      </c>
      <c r="AT1486" s="24" t="str">
        <f t="shared" si="453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4"/>
        <v>601936</v>
      </c>
      <c r="AA1487" s="13">
        <v>1.135</v>
      </c>
      <c r="AB1487" s="21">
        <f t="shared" si="439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0"/>
        <v>28177779.013274338</v>
      </c>
      <c r="AJ1487" s="19">
        <f t="shared" si="441"/>
        <v>4727216.6376190251</v>
      </c>
      <c r="AK1487" s="20">
        <f t="shared" si="448"/>
        <v>0.1677639900359808</v>
      </c>
      <c r="AL1487" s="17"/>
      <c r="AM1487" s="17"/>
      <c r="AN1487" s="17"/>
      <c r="AO1487" s="17"/>
      <c r="AP1487" s="28" t="str">
        <f t="shared" si="449"/>
        <v>20235</v>
      </c>
      <c r="AQ1487" s="28" t="str">
        <f t="shared" si="450"/>
        <v>20235RMB</v>
      </c>
      <c r="AR1487" s="206" t="str">
        <f t="shared" si="451"/>
        <v>YAMAHA_Mounter</v>
      </c>
      <c r="AS1487" s="22">
        <f t="shared" si="452"/>
        <v>1</v>
      </c>
      <c r="AT1487" s="24" t="str">
        <f t="shared" si="453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4"/>
        <v>300000</v>
      </c>
      <c r="AA1488" s="13">
        <v>1.135</v>
      </c>
      <c r="AB1488" s="21">
        <f t="shared" si="439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0"/>
        <v>28177779.013274338</v>
      </c>
      <c r="AJ1488" s="19">
        <f t="shared" si="441"/>
        <v>4727216.6376190251</v>
      </c>
      <c r="AK1488" s="20">
        <f t="shared" si="448"/>
        <v>0.1677639900359808</v>
      </c>
      <c r="AL1488" s="17"/>
      <c r="AM1488" s="17"/>
      <c r="AN1488" s="17"/>
      <c r="AO1488" s="17"/>
      <c r="AP1488" s="28" t="str">
        <f t="shared" si="449"/>
        <v>20235</v>
      </c>
      <c r="AQ1488" s="28" t="str">
        <f t="shared" si="450"/>
        <v>20235RMB</v>
      </c>
      <c r="AR1488" s="206" t="str">
        <f t="shared" si="451"/>
        <v>LOCAL SUPPLIER</v>
      </c>
      <c r="AS1488" s="22">
        <f t="shared" si="452"/>
        <v>1</v>
      </c>
      <c r="AT1488" s="24" t="str">
        <f t="shared" si="453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4"/>
        <v>4500</v>
      </c>
      <c r="AA1489" s="13">
        <v>1.105</v>
      </c>
      <c r="AB1489" s="21">
        <f t="shared" si="439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0"/>
        <v>28177779.013274338</v>
      </c>
      <c r="AJ1489" s="19">
        <f t="shared" si="441"/>
        <v>4727216.6376190251</v>
      </c>
      <c r="AK1489" s="20">
        <f t="shared" si="448"/>
        <v>0.1677639900359808</v>
      </c>
      <c r="AL1489" s="17"/>
      <c r="AM1489" s="17"/>
      <c r="AN1489" s="17"/>
      <c r="AO1489" s="17"/>
      <c r="AP1489" s="28" t="str">
        <f t="shared" si="449"/>
        <v>20235</v>
      </c>
      <c r="AQ1489" s="28" t="str">
        <f t="shared" si="450"/>
        <v>20235RMB</v>
      </c>
      <c r="AR1489" s="206" t="str">
        <f t="shared" si="451"/>
        <v>LOCAL SUPPLIER</v>
      </c>
      <c r="AS1489" s="22">
        <f t="shared" si="452"/>
        <v>1</v>
      </c>
      <c r="AT1489" s="24" t="str">
        <f t="shared" si="453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4"/>
        <v>506850</v>
      </c>
      <c r="AA1490" s="13">
        <v>1.105</v>
      </c>
      <c r="AB1490" s="21">
        <f t="shared" si="439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0"/>
        <v>37969334.083628319</v>
      </c>
      <c r="AJ1490" s="19">
        <f t="shared" si="441"/>
        <v>5097226.4551657084</v>
      </c>
      <c r="AK1490" s="20">
        <f t="shared" si="448"/>
        <v>0.13424587441904964</v>
      </c>
      <c r="AL1490" s="17"/>
      <c r="AM1490" s="17"/>
      <c r="AN1490" s="17"/>
      <c r="AO1490" s="17"/>
      <c r="AP1490" s="28" t="str">
        <f t="shared" si="449"/>
        <v>20208</v>
      </c>
      <c r="AQ1490" s="28" t="str">
        <f t="shared" si="450"/>
        <v>20208RMB</v>
      </c>
      <c r="AR1490" s="206" t="str">
        <f t="shared" si="451"/>
        <v>YAMAHA_Mounter</v>
      </c>
      <c r="AS1490" s="22">
        <f t="shared" si="452"/>
        <v>2</v>
      </c>
      <c r="AT1490" s="24" t="str">
        <f t="shared" si="453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4"/>
        <v>800000</v>
      </c>
      <c r="AA1491" s="13">
        <v>1.17</v>
      </c>
      <c r="AB1491" s="21">
        <f t="shared" si="439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0"/>
        <v>36480247.665929198</v>
      </c>
      <c r="AJ1491" s="19">
        <f t="shared" si="441"/>
        <v>5330996.6372757526</v>
      </c>
      <c r="AK1491" s="20">
        <f t="shared" si="448"/>
        <v>0.14613378412599562</v>
      </c>
      <c r="AL1491" s="17"/>
      <c r="AM1491" s="17"/>
      <c r="AN1491" s="17"/>
      <c r="AO1491" s="17"/>
      <c r="AP1491" s="28" t="str">
        <f t="shared" si="449"/>
        <v>20227</v>
      </c>
      <c r="AQ1491" s="28" t="str">
        <f t="shared" si="450"/>
        <v>20227RMB</v>
      </c>
      <c r="AR1491" s="206" t="str">
        <f t="shared" si="451"/>
        <v>YAMAHA_Mounter</v>
      </c>
      <c r="AS1491" s="22">
        <f t="shared" si="452"/>
        <v>4</v>
      </c>
      <c r="AT1491" s="24" t="str">
        <f t="shared" si="453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4"/>
        <v>894000</v>
      </c>
      <c r="AA1492" s="13">
        <v>1.17</v>
      </c>
      <c r="AB1492" s="21">
        <f t="shared" si="439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0"/>
        <v>36480247.665929198</v>
      </c>
      <c r="AJ1492" s="19">
        <f t="shared" si="441"/>
        <v>5330996.6372757526</v>
      </c>
      <c r="AK1492" s="20">
        <f t="shared" si="448"/>
        <v>0.14613378412599562</v>
      </c>
      <c r="AL1492" s="17"/>
      <c r="AM1492" s="17"/>
      <c r="AN1492" s="17"/>
      <c r="AO1492" s="17"/>
      <c r="AP1492" s="28" t="str">
        <f t="shared" si="449"/>
        <v>20227</v>
      </c>
      <c r="AQ1492" s="28" t="str">
        <f t="shared" si="450"/>
        <v>20227RMB</v>
      </c>
      <c r="AR1492" s="206" t="str">
        <f t="shared" si="451"/>
        <v>YAMAHA_Mounter</v>
      </c>
      <c r="AS1492" s="22">
        <f t="shared" si="452"/>
        <v>4</v>
      </c>
      <c r="AT1492" s="24" t="str">
        <f t="shared" si="453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4"/>
        <v>365000</v>
      </c>
      <c r="AA1493" s="22">
        <v>1.0900000000000001</v>
      </c>
      <c r="AB1493" s="21">
        <f t="shared" si="439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0"/>
        <v>21241742.157380536</v>
      </c>
      <c r="AJ1493" s="27">
        <f t="shared" si="441"/>
        <v>2987081.1613773629</v>
      </c>
      <c r="AK1493" s="28">
        <f t="shared" si="448"/>
        <v>0.14062317201884914</v>
      </c>
      <c r="AL1493" s="24"/>
      <c r="AM1493" s="24"/>
      <c r="AN1493" s="24"/>
      <c r="AO1493" s="24"/>
      <c r="AP1493" s="28" t="str">
        <f t="shared" si="449"/>
        <v>20243</v>
      </c>
      <c r="AQ1493" s="28" t="str">
        <f t="shared" si="450"/>
        <v>20243RMB</v>
      </c>
      <c r="AR1493" s="206" t="str">
        <f t="shared" si="451"/>
        <v>YAMAHA_Non_Mounter</v>
      </c>
      <c r="AS1493" s="22">
        <f t="shared" si="452"/>
        <v>1</v>
      </c>
      <c r="AT1493" s="24" t="str">
        <f t="shared" si="453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4"/>
        <v>505000</v>
      </c>
      <c r="AA1494" s="13">
        <v>1.2</v>
      </c>
      <c r="AB1494" s="21">
        <f t="shared" si="439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0"/>
        <v>31097187.02948761</v>
      </c>
      <c r="AJ1494" s="19">
        <f t="shared" si="441"/>
        <v>3892353.6644401965</v>
      </c>
      <c r="AK1494" s="20">
        <f t="shared" si="448"/>
        <v>0.12516738767237401</v>
      </c>
      <c r="AL1494" s="17"/>
      <c r="AM1494" s="17"/>
      <c r="AN1494" s="17"/>
      <c r="AO1494" s="17"/>
      <c r="AP1494" s="28" t="str">
        <f t="shared" si="449"/>
        <v>20212</v>
      </c>
      <c r="AQ1494" s="28" t="str">
        <f t="shared" si="450"/>
        <v>20212RMB</v>
      </c>
      <c r="AR1494" s="206" t="str">
        <f t="shared" si="451"/>
        <v>YAMAHA_Mounter</v>
      </c>
      <c r="AS1494" s="22">
        <f t="shared" si="452"/>
        <v>0</v>
      </c>
      <c r="AT1494" s="24" t="str">
        <f t="shared" si="453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4"/>
        <v>647000</v>
      </c>
      <c r="AA1495" s="13">
        <v>1.095</v>
      </c>
      <c r="AB1495" s="21">
        <f t="shared" si="439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0"/>
        <v>37599388.802345134</v>
      </c>
      <c r="AJ1495" s="19">
        <f t="shared" si="441"/>
        <v>4866784.3630338367</v>
      </c>
      <c r="AK1495" s="20">
        <f t="shared" si="448"/>
        <v>0.12943785838163113</v>
      </c>
      <c r="AL1495" s="17"/>
      <c r="AM1495" s="17"/>
      <c r="AN1495" s="17"/>
      <c r="AO1495" s="17"/>
      <c r="AP1495" s="28" t="str">
        <f t="shared" si="449"/>
        <v>20199</v>
      </c>
      <c r="AQ1495" s="28" t="str">
        <f t="shared" si="450"/>
        <v>20199RMB</v>
      </c>
      <c r="AR1495" s="206" t="str">
        <f t="shared" si="451"/>
        <v>YAMAHA_Mounter</v>
      </c>
      <c r="AS1495" s="22">
        <f t="shared" si="452"/>
        <v>1</v>
      </c>
      <c r="AT1495" s="24" t="str">
        <f t="shared" si="453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4"/>
        <v>611500</v>
      </c>
      <c r="AA1496" s="13">
        <v>1.1299999999999999</v>
      </c>
      <c r="AB1496" s="21">
        <f t="shared" si="439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0"/>
        <v>47907808.356810622</v>
      </c>
      <c r="AJ1496" s="19">
        <f t="shared" si="441"/>
        <v>6027384.8806384448</v>
      </c>
      <c r="AK1496" s="20">
        <f t="shared" si="448"/>
        <v>0.12581216063459488</v>
      </c>
      <c r="AL1496" s="17"/>
      <c r="AM1496" s="17"/>
      <c r="AN1496" s="17"/>
      <c r="AO1496" s="17"/>
      <c r="AP1496" s="28" t="str">
        <f t="shared" si="449"/>
        <v>20209</v>
      </c>
      <c r="AQ1496" s="28" t="str">
        <f t="shared" si="450"/>
        <v>20209RMB</v>
      </c>
      <c r="AR1496" s="206" t="str">
        <f t="shared" si="451"/>
        <v>YAMAHA_Mounter</v>
      </c>
      <c r="AS1496" s="22">
        <f t="shared" si="452"/>
        <v>1</v>
      </c>
      <c r="AT1496" s="24" t="str">
        <f t="shared" si="453"/>
        <v>0-3 months</v>
      </c>
      <c r="AU1496" s="22" t="s">
        <v>3744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4"/>
        <v>611500</v>
      </c>
      <c r="AA1497" s="13">
        <v>1.1299999999999999</v>
      </c>
      <c r="AB1497" s="21">
        <f t="shared" si="439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0"/>
        <v>47907808.356810622</v>
      </c>
      <c r="AJ1497" s="19">
        <f t="shared" si="441"/>
        <v>6027384.8806384448</v>
      </c>
      <c r="AK1497" s="20">
        <f t="shared" si="448"/>
        <v>0.12581216063459488</v>
      </c>
      <c r="AL1497" s="17"/>
      <c r="AM1497" s="17"/>
      <c r="AN1497" s="17"/>
      <c r="AO1497" s="17"/>
      <c r="AP1497" s="28" t="str">
        <f t="shared" si="449"/>
        <v>20209</v>
      </c>
      <c r="AQ1497" s="28" t="str">
        <f t="shared" si="450"/>
        <v>20209RMB</v>
      </c>
      <c r="AR1497" s="206" t="str">
        <f t="shared" si="451"/>
        <v>YAMAHA_Mounter</v>
      </c>
      <c r="AS1497" s="22">
        <f t="shared" si="452"/>
        <v>1</v>
      </c>
      <c r="AT1497" s="24" t="str">
        <f t="shared" si="453"/>
        <v>0-3 months</v>
      </c>
      <c r="AU1497" s="22" t="s">
        <v>3744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4"/>
        <v>1120000</v>
      </c>
      <c r="AA1498" s="13">
        <v>1.135</v>
      </c>
      <c r="AB1498" s="21">
        <f t="shared" si="439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0"/>
        <v>28011162.254106201</v>
      </c>
      <c r="AJ1498" s="19">
        <f t="shared" si="441"/>
        <v>3401347.1124888416</v>
      </c>
      <c r="AK1498" s="20">
        <f t="shared" si="448"/>
        <v>0.12142827497242578</v>
      </c>
      <c r="AL1498" s="17"/>
      <c r="AM1498" s="17"/>
      <c r="AN1498" s="17"/>
      <c r="AO1498" s="17"/>
      <c r="AP1498" s="28" t="str">
        <f t="shared" si="449"/>
        <v>202010</v>
      </c>
      <c r="AQ1498" s="28" t="str">
        <f t="shared" si="450"/>
        <v>202010RMB</v>
      </c>
      <c r="AR1498" s="206" t="str">
        <f t="shared" si="451"/>
        <v>YAMAHA_Mounter</v>
      </c>
      <c r="AS1498" s="22">
        <f t="shared" si="452"/>
        <v>1</v>
      </c>
      <c r="AT1498" s="24" t="str">
        <f t="shared" si="453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5"/>
        <v>1</v>
      </c>
      <c r="Z1499" s="18">
        <f t="shared" si="454"/>
        <v>13700000</v>
      </c>
      <c r="AA1499" s="13">
        <v>7.2800000000000004E-2</v>
      </c>
      <c r="AB1499" s="21">
        <f t="shared" si="439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0"/>
        <v>63006605.696460173</v>
      </c>
      <c r="AJ1499" s="19">
        <f t="shared" si="441"/>
        <v>8897485.660753984</v>
      </c>
      <c r="AK1499" s="20">
        <f t="shared" si="448"/>
        <v>0.141215124388995</v>
      </c>
      <c r="AL1499" s="17"/>
      <c r="AM1499" s="17"/>
      <c r="AN1499" s="17"/>
      <c r="AO1499" s="17"/>
      <c r="AP1499" s="28" t="str">
        <f t="shared" si="449"/>
        <v>20215</v>
      </c>
      <c r="AQ1499" s="28" t="str">
        <f t="shared" si="450"/>
        <v>20215JPY</v>
      </c>
      <c r="AR1499" s="206" t="str">
        <f t="shared" si="451"/>
        <v>YAMAHA_Mounter</v>
      </c>
      <c r="AS1499" s="22">
        <f t="shared" si="452"/>
        <v>3</v>
      </c>
      <c r="AT1499" s="24" t="str">
        <f t="shared" si="453"/>
        <v>0-3 months</v>
      </c>
      <c r="AU1499" s="22" t="s">
        <v>3745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5"/>
        <v>1.13</v>
      </c>
      <c r="Z1500" s="18">
        <f t="shared" si="454"/>
        <v>450000</v>
      </c>
      <c r="AA1500" s="13">
        <v>1.175</v>
      </c>
      <c r="AB1500" s="21">
        <f t="shared" si="439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0"/>
        <v>35682787.057522126</v>
      </c>
      <c r="AJ1500" s="19">
        <f t="shared" si="441"/>
        <v>5833368.3789623892</v>
      </c>
      <c r="AK1500" s="20">
        <f t="shared" si="448"/>
        <v>0.16347849649632912</v>
      </c>
      <c r="AL1500" s="17"/>
      <c r="AM1500" s="17"/>
      <c r="AN1500" s="17"/>
      <c r="AO1500" s="17"/>
      <c r="AP1500" s="28" t="str">
        <f t="shared" si="449"/>
        <v>20226</v>
      </c>
      <c r="AQ1500" s="28" t="str">
        <f t="shared" si="450"/>
        <v>20226RMB</v>
      </c>
      <c r="AR1500" s="206" t="str">
        <f t="shared" si="451"/>
        <v>YAMAHA_Mounter</v>
      </c>
      <c r="AS1500" s="22">
        <f t="shared" si="452"/>
        <v>0</v>
      </c>
      <c r="AT1500" s="24" t="str">
        <f t="shared" si="453"/>
        <v>0-3 months</v>
      </c>
      <c r="AU1500" s="22" t="s">
        <v>3751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5"/>
        <v>1.13</v>
      </c>
      <c r="Z1501" s="18">
        <f t="shared" si="454"/>
        <v>450000</v>
      </c>
      <c r="AA1501" s="13">
        <v>1.175</v>
      </c>
      <c r="AB1501" s="21">
        <f t="shared" si="439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0"/>
        <v>35682787.057522126</v>
      </c>
      <c r="AJ1501" s="19">
        <f t="shared" si="441"/>
        <v>5833368.3789623892</v>
      </c>
      <c r="AK1501" s="20">
        <f t="shared" si="448"/>
        <v>0.16347849649632912</v>
      </c>
      <c r="AL1501" s="17"/>
      <c r="AM1501" s="17"/>
      <c r="AN1501" s="17"/>
      <c r="AO1501" s="17"/>
      <c r="AP1501" s="28" t="str">
        <f t="shared" si="449"/>
        <v>20226</v>
      </c>
      <c r="AQ1501" s="28" t="str">
        <f t="shared" si="450"/>
        <v>20226RMB</v>
      </c>
      <c r="AR1501" s="206" t="str">
        <f t="shared" si="451"/>
        <v>YAMAHA_Mounter</v>
      </c>
      <c r="AS1501" s="22">
        <f t="shared" si="452"/>
        <v>0</v>
      </c>
      <c r="AT1501" s="24" t="str">
        <f t="shared" si="453"/>
        <v>0-3 months</v>
      </c>
      <c r="AU1501" s="22" t="s">
        <v>3751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5"/>
        <v>1</v>
      </c>
      <c r="Z1502" s="18">
        <f t="shared" si="454"/>
        <v>11530000</v>
      </c>
      <c r="AA1502" s="13">
        <v>7.4499999999999997E-2</v>
      </c>
      <c r="AB1502" s="21">
        <f t="shared" si="439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0"/>
        <v>57778307.282035396</v>
      </c>
      <c r="AJ1502" s="19">
        <f t="shared" si="441"/>
        <v>7259860.7225420559</v>
      </c>
      <c r="AK1502" s="20">
        <f t="shared" si="448"/>
        <v>0.12565028406083667</v>
      </c>
      <c r="AL1502" s="17"/>
      <c r="AM1502" s="17"/>
      <c r="AN1502" s="17"/>
      <c r="AO1502" s="17"/>
      <c r="AP1502" s="28" t="str">
        <f t="shared" si="449"/>
        <v>20213</v>
      </c>
      <c r="AQ1502" s="28" t="str">
        <f t="shared" si="450"/>
        <v>20213JPY</v>
      </c>
      <c r="AR1502" s="206" t="str">
        <f t="shared" si="451"/>
        <v>YAMAHA_Mounter</v>
      </c>
      <c r="AS1502" s="22">
        <f t="shared" si="452"/>
        <v>0</v>
      </c>
      <c r="AT1502" s="24" t="str">
        <f t="shared" si="453"/>
        <v>0-3 months</v>
      </c>
      <c r="AU1502" s="22" t="s">
        <v>3746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5"/>
        <v>1</v>
      </c>
      <c r="Z1503" s="18">
        <f t="shared" si="454"/>
        <v>11530000</v>
      </c>
      <c r="AA1503" s="13">
        <v>7.4499999999999997E-2</v>
      </c>
      <c r="AB1503" s="21">
        <f t="shared" si="439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0"/>
        <v>57778307.282035396</v>
      </c>
      <c r="AJ1503" s="19">
        <f t="shared" si="441"/>
        <v>7259860.7225420559</v>
      </c>
      <c r="AK1503" s="20">
        <f t="shared" si="448"/>
        <v>0.12565028406083667</v>
      </c>
      <c r="AL1503" s="17"/>
      <c r="AM1503" s="17"/>
      <c r="AN1503" s="17"/>
      <c r="AO1503" s="17"/>
      <c r="AP1503" s="28" t="str">
        <f t="shared" si="449"/>
        <v>20213</v>
      </c>
      <c r="AQ1503" s="28" t="str">
        <f t="shared" si="450"/>
        <v>20213JPY</v>
      </c>
      <c r="AR1503" s="206" t="str">
        <f t="shared" si="451"/>
        <v>YAMAHA_Mounter</v>
      </c>
      <c r="AS1503" s="22">
        <f t="shared" si="452"/>
        <v>0</v>
      </c>
      <c r="AT1503" s="24" t="str">
        <f t="shared" si="453"/>
        <v>0-3 months</v>
      </c>
      <c r="AU1503" s="22" t="s">
        <v>3746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5"/>
        <v>1</v>
      </c>
      <c r="Z1504" s="18">
        <f t="shared" si="454"/>
        <v>7500000</v>
      </c>
      <c r="AA1504" s="13">
        <v>7.4499999999999997E-2</v>
      </c>
      <c r="AB1504" s="21">
        <f t="shared" si="439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0"/>
        <v>57778307.282035396</v>
      </c>
      <c r="AJ1504" s="19">
        <f t="shared" si="441"/>
        <v>7259860.7225420559</v>
      </c>
      <c r="AK1504" s="20">
        <f t="shared" si="448"/>
        <v>0.12565028406083667</v>
      </c>
      <c r="AL1504" s="17"/>
      <c r="AM1504" s="17"/>
      <c r="AN1504" s="17"/>
      <c r="AO1504" s="17"/>
      <c r="AP1504" s="28" t="str">
        <f t="shared" si="449"/>
        <v>20213</v>
      </c>
      <c r="AQ1504" s="28" t="str">
        <f t="shared" si="450"/>
        <v>20213JPY</v>
      </c>
      <c r="AR1504" s="206" t="str">
        <f t="shared" si="451"/>
        <v>YAMAHA_Mounter</v>
      </c>
      <c r="AS1504" s="22">
        <f t="shared" si="452"/>
        <v>0</v>
      </c>
      <c r="AT1504" s="24" t="str">
        <f t="shared" si="453"/>
        <v>0-3 months</v>
      </c>
      <c r="AU1504" s="22" t="s">
        <v>3746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5"/>
        <v>1</v>
      </c>
      <c r="Z1505" s="18">
        <f t="shared" si="454"/>
        <v>7500000</v>
      </c>
      <c r="AA1505" s="13">
        <v>7.4499999999999997E-2</v>
      </c>
      <c r="AB1505" s="21">
        <f t="shared" si="439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0"/>
        <v>57778307.282035396</v>
      </c>
      <c r="AJ1505" s="19">
        <f t="shared" si="441"/>
        <v>7259860.7225420559</v>
      </c>
      <c r="AK1505" s="20">
        <f t="shared" si="448"/>
        <v>0.12565028406083667</v>
      </c>
      <c r="AL1505" s="17"/>
      <c r="AM1505" s="17"/>
      <c r="AN1505" s="17"/>
      <c r="AO1505" s="17"/>
      <c r="AP1505" s="28" t="str">
        <f t="shared" si="449"/>
        <v>20213</v>
      </c>
      <c r="AQ1505" s="28" t="str">
        <f t="shared" si="450"/>
        <v>20213JPY</v>
      </c>
      <c r="AR1505" s="206" t="str">
        <f t="shared" si="451"/>
        <v>YAMAHA_Mounter</v>
      </c>
      <c r="AS1505" s="22">
        <f t="shared" si="452"/>
        <v>0</v>
      </c>
      <c r="AT1505" s="24" t="str">
        <f t="shared" si="453"/>
        <v>0-3 months</v>
      </c>
      <c r="AU1505" s="22" t="s">
        <v>3746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5"/>
        <v>1</v>
      </c>
      <c r="Z1506" s="18">
        <f t="shared" si="454"/>
        <v>11530000</v>
      </c>
      <c r="AA1506" s="13">
        <v>7.4499999999999997E-2</v>
      </c>
      <c r="AB1506" s="21">
        <f t="shared" si="439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0"/>
        <v>57778307.282035396</v>
      </c>
      <c r="AJ1506" s="19">
        <f t="shared" si="441"/>
        <v>7259860.7225420559</v>
      </c>
      <c r="AK1506" s="20">
        <f t="shared" si="448"/>
        <v>0.12565028406083667</v>
      </c>
      <c r="AL1506" s="17"/>
      <c r="AM1506" s="17"/>
      <c r="AN1506" s="17"/>
      <c r="AO1506" s="17"/>
      <c r="AP1506" s="28" t="str">
        <f t="shared" si="449"/>
        <v>20213</v>
      </c>
      <c r="AQ1506" s="28" t="str">
        <f t="shared" si="450"/>
        <v>20213JPY</v>
      </c>
      <c r="AR1506" s="206" t="str">
        <f t="shared" si="451"/>
        <v>YAMAHA_Mounter</v>
      </c>
      <c r="AS1506" s="22">
        <f t="shared" si="452"/>
        <v>0</v>
      </c>
      <c r="AT1506" s="24" t="str">
        <f t="shared" si="453"/>
        <v>0-3 months</v>
      </c>
      <c r="AU1506" s="22" t="s">
        <v>3746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5"/>
        <v>1</v>
      </c>
      <c r="Z1507" s="18">
        <f t="shared" si="454"/>
        <v>11530000</v>
      </c>
      <c r="AA1507" s="13">
        <v>7.4499999999999997E-2</v>
      </c>
      <c r="AB1507" s="21">
        <f t="shared" si="439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0"/>
        <v>57778307.282035396</v>
      </c>
      <c r="AJ1507" s="19">
        <f t="shared" si="441"/>
        <v>7259860.7225420559</v>
      </c>
      <c r="AK1507" s="20">
        <f t="shared" si="448"/>
        <v>0.12565028406083667</v>
      </c>
      <c r="AL1507" s="17"/>
      <c r="AM1507" s="17"/>
      <c r="AN1507" s="17"/>
      <c r="AO1507" s="17"/>
      <c r="AP1507" s="28" t="str">
        <f t="shared" si="449"/>
        <v>20213</v>
      </c>
      <c r="AQ1507" s="28" t="str">
        <f t="shared" si="450"/>
        <v>20213JPY</v>
      </c>
      <c r="AR1507" s="206" t="str">
        <f t="shared" si="451"/>
        <v>YAMAHA_Mounter</v>
      </c>
      <c r="AS1507" s="22">
        <f t="shared" si="452"/>
        <v>0</v>
      </c>
      <c r="AT1507" s="24" t="str">
        <f t="shared" si="453"/>
        <v>0-3 months</v>
      </c>
      <c r="AU1507" s="22" t="s">
        <v>3746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5"/>
        <v>1</v>
      </c>
      <c r="Z1508" s="18">
        <f t="shared" si="454"/>
        <v>7500000</v>
      </c>
      <c r="AA1508" s="13">
        <v>7.4499999999999997E-2</v>
      </c>
      <c r="AB1508" s="21">
        <f t="shared" si="439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0"/>
        <v>57778307.282035396</v>
      </c>
      <c r="AJ1508" s="19">
        <f t="shared" si="441"/>
        <v>7259860.7225420559</v>
      </c>
      <c r="AK1508" s="20">
        <f t="shared" si="448"/>
        <v>0.12565028406083667</v>
      </c>
      <c r="AL1508" s="17"/>
      <c r="AM1508" s="17"/>
      <c r="AN1508" s="17"/>
      <c r="AO1508" s="17"/>
      <c r="AP1508" s="28" t="str">
        <f t="shared" si="449"/>
        <v>20213</v>
      </c>
      <c r="AQ1508" s="28" t="str">
        <f t="shared" si="450"/>
        <v>20213JPY</v>
      </c>
      <c r="AR1508" s="206" t="str">
        <f t="shared" si="451"/>
        <v>YAMAHA_Mounter</v>
      </c>
      <c r="AS1508" s="22">
        <f t="shared" si="452"/>
        <v>0</v>
      </c>
      <c r="AT1508" s="24" t="str">
        <f t="shared" si="453"/>
        <v>0-3 months</v>
      </c>
      <c r="AU1508" s="22" t="s">
        <v>3746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5"/>
        <v>1</v>
      </c>
      <c r="Z1509" s="18">
        <f t="shared" si="454"/>
        <v>7500000</v>
      </c>
      <c r="AA1509" s="13">
        <v>7.4499999999999997E-2</v>
      </c>
      <c r="AB1509" s="21">
        <f t="shared" si="439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0"/>
        <v>57778307.282035396</v>
      </c>
      <c r="AJ1509" s="19">
        <f t="shared" si="441"/>
        <v>7259860.7225420559</v>
      </c>
      <c r="AK1509" s="20">
        <f t="shared" si="448"/>
        <v>0.12565028406083667</v>
      </c>
      <c r="AL1509" s="17"/>
      <c r="AM1509" s="17"/>
      <c r="AN1509" s="17"/>
      <c r="AO1509" s="17"/>
      <c r="AP1509" s="28" t="str">
        <f t="shared" si="449"/>
        <v>20213</v>
      </c>
      <c r="AQ1509" s="28" t="str">
        <f t="shared" si="450"/>
        <v>20213JPY</v>
      </c>
      <c r="AR1509" s="206" t="str">
        <f t="shared" si="451"/>
        <v>YAMAHA_Mounter</v>
      </c>
      <c r="AS1509" s="22">
        <f t="shared" si="452"/>
        <v>0</v>
      </c>
      <c r="AT1509" s="24" t="str">
        <f t="shared" si="453"/>
        <v>0-3 months</v>
      </c>
      <c r="AU1509" s="22" t="s">
        <v>3746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4"/>
        <v>8500000</v>
      </c>
      <c r="AA1510" s="13">
        <v>5.0999999999999997E-2</v>
      </c>
      <c r="AB1510" s="21">
        <f t="shared" si="439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0"/>
        <v>499582152.5142017</v>
      </c>
      <c r="AJ1510" s="27">
        <f t="shared" si="441"/>
        <v>59520528.679470733</v>
      </c>
      <c r="AK1510" s="28">
        <f t="shared" si="448"/>
        <v>0.11914062257814291</v>
      </c>
      <c r="AL1510" s="24"/>
      <c r="AM1510" s="24"/>
      <c r="AN1510" s="24"/>
      <c r="AO1510" s="24"/>
      <c r="AP1510" s="28" t="str">
        <f t="shared" si="449"/>
        <v>CancelCancel</v>
      </c>
      <c r="AQ1510" s="28" t="str">
        <f t="shared" si="450"/>
        <v>CancelCancelJPY</v>
      </c>
      <c r="AR1510" s="206" t="str">
        <f t="shared" si="451"/>
        <v>YAMAHA_Non_Mounter</v>
      </c>
      <c r="AS1510" s="22" t="str">
        <f t="shared" si="452"/>
        <v/>
      </c>
      <c r="AT1510" s="24" t="str">
        <f t="shared" si="453"/>
        <v/>
      </c>
      <c r="AU1510" s="22" t="s">
        <v>3746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4"/>
        <v>897999.7</v>
      </c>
      <c r="AA1511" s="22">
        <v>1.08</v>
      </c>
      <c r="AB1511" s="197">
        <f t="shared" si="439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0"/>
        <v>27308925.887079656</v>
      </c>
      <c r="AJ1511" s="200">
        <f t="shared" si="441"/>
        <v>3319273.860338124</v>
      </c>
      <c r="AK1511" s="201">
        <f t="shared" si="448"/>
        <v>0.12154538314919709</v>
      </c>
      <c r="AL1511" s="24"/>
      <c r="AM1511" s="24"/>
      <c r="AN1511" s="24"/>
      <c r="AO1511" s="24"/>
      <c r="AP1511" s="105" t="str">
        <f t="shared" si="449"/>
        <v>20246</v>
      </c>
      <c r="AQ1511" s="28" t="str">
        <f t="shared" si="450"/>
        <v>20246RMB</v>
      </c>
      <c r="AR1511" s="206" t="str">
        <f t="shared" si="451"/>
        <v>YAMAHA_Mounter</v>
      </c>
      <c r="AS1511" s="22">
        <f t="shared" si="452"/>
        <v>1</v>
      </c>
      <c r="AT1511" s="24" t="str">
        <f t="shared" si="453"/>
        <v>0-3 months</v>
      </c>
      <c r="AU1511" s="22" t="s">
        <v>3751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4"/>
        <v>507000</v>
      </c>
      <c r="AA1512" s="13">
        <v>1.123</v>
      </c>
      <c r="AB1512" s="21">
        <f t="shared" si="439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0"/>
        <v>13250187.062905986</v>
      </c>
      <c r="AJ1512" s="19">
        <f t="shared" si="441"/>
        <v>1545643.7555487182</v>
      </c>
      <c r="AK1512" s="20">
        <f t="shared" si="448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49"/>
        <v>20183</v>
      </c>
      <c r="AQ1512" s="28" t="str">
        <f t="shared" si="450"/>
        <v>20183RMB</v>
      </c>
      <c r="AR1512" s="206" t="str">
        <f t="shared" si="451"/>
        <v>YAMAHA_Mounter</v>
      </c>
      <c r="AS1512" s="22">
        <f t="shared" si="452"/>
        <v>4</v>
      </c>
      <c r="AT1512" s="24" t="str">
        <f t="shared" si="453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4"/>
        <v>70000</v>
      </c>
      <c r="AA1513" s="13">
        <v>1.0900000000000001</v>
      </c>
      <c r="AB1513" s="21">
        <f t="shared" si="439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0"/>
        <v>17329060.066371687</v>
      </c>
      <c r="AJ1513" s="19">
        <f t="shared" si="441"/>
        <v>2472600.2142256643</v>
      </c>
      <c r="AK1513" s="20">
        <f t="shared" si="448"/>
        <v>0.14268518919984163</v>
      </c>
      <c r="AL1513" s="17"/>
      <c r="AM1513" s="17"/>
      <c r="AN1513" s="17"/>
      <c r="AO1513" s="17"/>
      <c r="AP1513" s="28" t="str">
        <f t="shared" si="449"/>
        <v>202212</v>
      </c>
      <c r="AQ1513" s="28" t="str">
        <f t="shared" si="450"/>
        <v>202212RMB</v>
      </c>
      <c r="AR1513" s="206" t="str">
        <f t="shared" si="451"/>
        <v>SOLDERSTAR</v>
      </c>
      <c r="AS1513" s="22">
        <f t="shared" si="452"/>
        <v>1</v>
      </c>
      <c r="AT1513" s="24" t="str">
        <f t="shared" si="453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4"/>
        <v>740000</v>
      </c>
      <c r="AA1514" s="13">
        <v>1.1599999999999999</v>
      </c>
      <c r="AB1514" s="21">
        <f t="shared" si="439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0"/>
        <v>47416008.333399981</v>
      </c>
      <c r="AJ1514" s="19">
        <f t="shared" si="441"/>
        <v>6981738.4465290187</v>
      </c>
      <c r="AK1514" s="20">
        <f t="shared" si="448"/>
        <v>0.14724433143839863</v>
      </c>
      <c r="AL1514" s="17"/>
      <c r="AM1514" s="17"/>
      <c r="AN1514" s="17"/>
      <c r="AO1514" s="17"/>
      <c r="AP1514" s="28" t="str">
        <f t="shared" si="449"/>
        <v>20193</v>
      </c>
      <c r="AQ1514" s="28" t="str">
        <f t="shared" si="450"/>
        <v>20193RMB</v>
      </c>
      <c r="AR1514" s="206" t="str">
        <f t="shared" si="451"/>
        <v>YAMAHA_Mounter</v>
      </c>
      <c r="AS1514" s="22">
        <f t="shared" si="452"/>
        <v>3</v>
      </c>
      <c r="AT1514" s="24" t="str">
        <f t="shared" si="453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4"/>
        <v>440000</v>
      </c>
      <c r="AA1515" s="13">
        <v>1.23</v>
      </c>
      <c r="AB1515" s="21">
        <f t="shared" si="439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0"/>
        <v>499582152.5142017</v>
      </c>
      <c r="AJ1515" s="19">
        <f t="shared" si="441"/>
        <v>59520528.679470733</v>
      </c>
      <c r="AK1515" s="20">
        <f t="shared" si="448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49"/>
        <v>CancelCancel</v>
      </c>
      <c r="AQ1515" s="28" t="str">
        <f t="shared" si="450"/>
        <v>CancelCancelRMB</v>
      </c>
      <c r="AR1515" s="206" t="str">
        <f t="shared" si="451"/>
        <v>YAMAHA_Mounter</v>
      </c>
      <c r="AS1515" s="22" t="str">
        <f t="shared" si="452"/>
        <v/>
      </c>
      <c r="AT1515" s="24" t="str">
        <f t="shared" si="453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4"/>
        <v>696000</v>
      </c>
      <c r="AA1516" s="13">
        <v>1.125</v>
      </c>
      <c r="AB1516" s="21">
        <f t="shared" si="439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0"/>
        <v>10785027.603448275</v>
      </c>
      <c r="AJ1516" s="19">
        <f t="shared" si="441"/>
        <v>1540894.1297982759</v>
      </c>
      <c r="AK1516" s="20">
        <f t="shared" si="448"/>
        <v>0.1428734525728621</v>
      </c>
      <c r="AL1516" s="17"/>
      <c r="AM1516" s="17"/>
      <c r="AN1516" s="17"/>
      <c r="AO1516" s="17"/>
      <c r="AP1516" s="28" t="str">
        <f t="shared" si="449"/>
        <v>201811</v>
      </c>
      <c r="AQ1516" s="28" t="str">
        <f t="shared" si="450"/>
        <v>201811RMB</v>
      </c>
      <c r="AR1516" s="206" t="str">
        <f t="shared" si="451"/>
        <v>YAMAHA_Mounter</v>
      </c>
      <c r="AS1516" s="22">
        <f t="shared" si="452"/>
        <v>1</v>
      </c>
      <c r="AT1516" s="24" t="str">
        <f t="shared" si="453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4"/>
        <v>570624</v>
      </c>
      <c r="AA1517" s="13">
        <v>1.125</v>
      </c>
      <c r="AB1517" s="21">
        <f t="shared" si="439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0"/>
        <v>23237072.69172414</v>
      </c>
      <c r="AJ1517" s="19">
        <f t="shared" si="441"/>
        <v>2402195.7372206897</v>
      </c>
      <c r="AK1517" s="20">
        <f t="shared" si="448"/>
        <v>0.10337772614862238</v>
      </c>
      <c r="AL1517" s="17"/>
      <c r="AM1517" s="17"/>
      <c r="AN1517" s="17"/>
      <c r="AO1517" s="17"/>
      <c r="AP1517" s="28" t="str">
        <f t="shared" si="449"/>
        <v>20191</v>
      </c>
      <c r="AQ1517" s="28" t="str">
        <f t="shared" si="450"/>
        <v>20191RMB</v>
      </c>
      <c r="AR1517" s="206" t="str">
        <f t="shared" si="451"/>
        <v>YAMAHA_Non_Mounter</v>
      </c>
      <c r="AS1517" s="22">
        <f t="shared" si="452"/>
        <v>2</v>
      </c>
      <c r="AT1517" s="24" t="str">
        <f t="shared" si="453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4"/>
        <v>487000</v>
      </c>
      <c r="AA1518" s="13">
        <v>1.105</v>
      </c>
      <c r="AB1518" s="21">
        <f t="shared" si="439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0"/>
        <v>37969334.083628319</v>
      </c>
      <c r="AJ1518" s="19">
        <f t="shared" si="441"/>
        <v>5097226.4551657084</v>
      </c>
      <c r="AK1518" s="20">
        <f t="shared" si="448"/>
        <v>0.13424587441904964</v>
      </c>
      <c r="AL1518" s="17"/>
      <c r="AM1518" s="17"/>
      <c r="AN1518" s="17"/>
      <c r="AO1518" s="17"/>
      <c r="AP1518" s="28" t="str">
        <f t="shared" si="449"/>
        <v>20208</v>
      </c>
      <c r="AQ1518" s="28" t="str">
        <f t="shared" si="450"/>
        <v>20208RMB</v>
      </c>
      <c r="AR1518" s="206" t="str">
        <f t="shared" si="451"/>
        <v>YAMAHA_Mounter</v>
      </c>
      <c r="AS1518" s="22">
        <f t="shared" si="452"/>
        <v>0</v>
      </c>
      <c r="AT1518" s="24" t="str">
        <f t="shared" si="453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4"/>
        <v>11380000</v>
      </c>
      <c r="AA1519" s="13">
        <v>7.2099999999999997E-2</v>
      </c>
      <c r="AB1519" s="21">
        <f t="shared" si="439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0"/>
        <v>26754147.763010349</v>
      </c>
      <c r="AJ1519" s="19">
        <f t="shared" si="441"/>
        <v>3429137.9965357962</v>
      </c>
      <c r="AK1519" s="20">
        <f t="shared" si="448"/>
        <v>0.12817220069617921</v>
      </c>
      <c r="AL1519" s="17"/>
      <c r="AM1519" s="17"/>
      <c r="AN1519" s="17"/>
      <c r="AO1519" s="17"/>
      <c r="AP1519" s="28" t="str">
        <f t="shared" si="449"/>
        <v>20188</v>
      </c>
      <c r="AQ1519" s="28" t="str">
        <f t="shared" si="450"/>
        <v>20188JPY</v>
      </c>
      <c r="AR1519" s="206" t="str">
        <f t="shared" si="451"/>
        <v>YAMAHA_Mounter</v>
      </c>
      <c r="AS1519" s="22" t="str">
        <f t="shared" si="452"/>
        <v/>
      </c>
      <c r="AT1519" s="24" t="str">
        <f t="shared" si="453"/>
        <v/>
      </c>
      <c r="AU1519" s="22" t="s">
        <v>3745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4"/>
        <v>12465000</v>
      </c>
      <c r="AA1520" s="13">
        <v>7.6100000000000001E-2</v>
      </c>
      <c r="AB1520" s="21">
        <f t="shared" si="439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0"/>
        <v>44078731.611185849</v>
      </c>
      <c r="AJ1520" s="19">
        <f t="shared" si="441"/>
        <v>5508173.2163771465</v>
      </c>
      <c r="AK1520" s="20">
        <f t="shared" si="448"/>
        <v>0.12496215328889679</v>
      </c>
      <c r="AL1520" s="17"/>
      <c r="AM1520" s="17"/>
      <c r="AN1520" s="17"/>
      <c r="AO1520" s="17"/>
      <c r="AP1520" s="28" t="str">
        <f t="shared" si="449"/>
        <v>202011</v>
      </c>
      <c r="AQ1520" s="28" t="str">
        <f t="shared" si="450"/>
        <v>202011JPY</v>
      </c>
      <c r="AR1520" s="206" t="str">
        <f t="shared" si="451"/>
        <v>YAMAHA_Mounter</v>
      </c>
      <c r="AS1520" s="22">
        <f t="shared" si="452"/>
        <v>4</v>
      </c>
      <c r="AT1520" s="24" t="str">
        <f t="shared" si="453"/>
        <v>4-6 months</v>
      </c>
      <c r="AU1520" s="22" t="s">
        <v>3745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4"/>
        <v>12725000</v>
      </c>
      <c r="AA1521" s="13">
        <v>7.3400000000000007E-2</v>
      </c>
      <c r="AB1521" s="21">
        <f t="shared" si="439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0"/>
        <v>499582152.5142017</v>
      </c>
      <c r="AJ1521" s="19">
        <f t="shared" si="441"/>
        <v>59520528.679470733</v>
      </c>
      <c r="AK1521" s="20">
        <f t="shared" si="448"/>
        <v>0.11914062257814291</v>
      </c>
      <c r="AL1521" s="17"/>
      <c r="AM1521" s="17"/>
      <c r="AN1521" s="17"/>
      <c r="AO1521" s="17"/>
      <c r="AP1521" s="28" t="str">
        <f t="shared" si="449"/>
        <v>CancelCancel</v>
      </c>
      <c r="AQ1521" s="28" t="str">
        <f t="shared" si="450"/>
        <v>CancelCancelJPY</v>
      </c>
      <c r="AR1521" s="206" t="str">
        <f t="shared" si="451"/>
        <v>YAMAHA_Mounter</v>
      </c>
      <c r="AS1521" s="22" t="str">
        <f t="shared" si="452"/>
        <v/>
      </c>
      <c r="AT1521" s="24" t="str">
        <f t="shared" si="453"/>
        <v/>
      </c>
      <c r="AU1521" s="22" t="s">
        <v>3745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4"/>
        <v>600000</v>
      </c>
      <c r="AA1522" s="13">
        <v>1.089</v>
      </c>
      <c r="AB1522" s="21">
        <f t="shared" si="439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0"/>
        <v>29183109.05575221</v>
      </c>
      <c r="AJ1522" s="19">
        <f t="shared" si="441"/>
        <v>3741266.5648721238</v>
      </c>
      <c r="AK1522" s="20">
        <f t="shared" si="448"/>
        <v>0.12819972531798121</v>
      </c>
      <c r="AL1522" s="17"/>
      <c r="AM1522" s="17"/>
      <c r="AN1522" s="17"/>
      <c r="AO1522" s="17"/>
      <c r="AP1522" s="28" t="str">
        <f t="shared" si="449"/>
        <v>20206</v>
      </c>
      <c r="AQ1522" s="28" t="str">
        <f t="shared" si="450"/>
        <v>20206RMB</v>
      </c>
      <c r="AR1522" s="206" t="str">
        <f t="shared" si="451"/>
        <v>YAMAHA_Mounter</v>
      </c>
      <c r="AS1522" s="22">
        <f t="shared" si="452"/>
        <v>3</v>
      </c>
      <c r="AT1522" s="24" t="str">
        <f t="shared" si="453"/>
        <v>0-3 months</v>
      </c>
      <c r="AU1522" s="22" t="s">
        <v>3744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4"/>
        <v>900000</v>
      </c>
      <c r="AA1523" s="13">
        <v>1.089</v>
      </c>
      <c r="AB1523" s="21">
        <f t="shared" si="439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0"/>
        <v>29183109.05575221</v>
      </c>
      <c r="AJ1523" s="19">
        <f t="shared" si="441"/>
        <v>3741266.5648721238</v>
      </c>
      <c r="AK1523" s="20">
        <f t="shared" si="448"/>
        <v>0.12819972531798121</v>
      </c>
      <c r="AL1523" s="17"/>
      <c r="AM1523" s="17"/>
      <c r="AN1523" s="17"/>
      <c r="AO1523" s="17"/>
      <c r="AP1523" s="28" t="str">
        <f t="shared" si="449"/>
        <v>20206</v>
      </c>
      <c r="AQ1523" s="28" t="str">
        <f t="shared" si="450"/>
        <v>20206RMB</v>
      </c>
      <c r="AR1523" s="206" t="str">
        <f t="shared" si="451"/>
        <v>YAMAHA_Mounter</v>
      </c>
      <c r="AS1523" s="22">
        <f t="shared" si="452"/>
        <v>3</v>
      </c>
      <c r="AT1523" s="24" t="str">
        <f t="shared" si="453"/>
        <v>0-3 months</v>
      </c>
      <c r="AU1523" s="22" t="s">
        <v>3744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4"/>
        <v>10800000</v>
      </c>
      <c r="AA1524" s="13">
        <v>7.4899999999999994E-2</v>
      </c>
      <c r="AB1524" s="21">
        <f t="shared" si="439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0"/>
        <v>47907808.356810622</v>
      </c>
      <c r="AJ1524" s="19">
        <f t="shared" si="441"/>
        <v>6027384.8806384448</v>
      </c>
      <c r="AK1524" s="20">
        <f t="shared" si="448"/>
        <v>0.12581216063459488</v>
      </c>
      <c r="AL1524" s="17"/>
      <c r="AM1524" s="17"/>
      <c r="AN1524" s="17"/>
      <c r="AO1524" s="17"/>
      <c r="AP1524" s="28" t="str">
        <f t="shared" si="449"/>
        <v>20209</v>
      </c>
      <c r="AQ1524" s="28" t="str">
        <f t="shared" si="450"/>
        <v>20209JPY</v>
      </c>
      <c r="AR1524" s="206" t="str">
        <f t="shared" si="451"/>
        <v>YAMAHA_Mounter</v>
      </c>
      <c r="AS1524" s="22">
        <f t="shared" si="452"/>
        <v>2</v>
      </c>
      <c r="AT1524" s="24" t="str">
        <f t="shared" si="453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4"/>
        <v>10800000</v>
      </c>
      <c r="AA1525" s="13">
        <v>7.4899999999999994E-2</v>
      </c>
      <c r="AB1525" s="21">
        <f t="shared" si="439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0"/>
        <v>47907808.356810622</v>
      </c>
      <c r="AJ1525" s="19">
        <f t="shared" si="441"/>
        <v>6027384.8806384448</v>
      </c>
      <c r="AK1525" s="20">
        <f t="shared" si="448"/>
        <v>0.12581216063459488</v>
      </c>
      <c r="AL1525" s="17"/>
      <c r="AM1525" s="17"/>
      <c r="AN1525" s="17"/>
      <c r="AO1525" s="17"/>
      <c r="AP1525" s="28" t="str">
        <f t="shared" si="449"/>
        <v>20209</v>
      </c>
      <c r="AQ1525" s="28" t="str">
        <f t="shared" si="450"/>
        <v>20209JPY</v>
      </c>
      <c r="AR1525" s="206" t="str">
        <f t="shared" si="451"/>
        <v>YAMAHA_Mounter</v>
      </c>
      <c r="AS1525" s="22">
        <f t="shared" si="452"/>
        <v>2</v>
      </c>
      <c r="AT1525" s="24" t="str">
        <f t="shared" si="453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4"/>
        <v>6896000</v>
      </c>
      <c r="AA1526" s="13">
        <v>7.4899999999999994E-2</v>
      </c>
      <c r="AB1526" s="21">
        <f t="shared" ref="AB1526:AB1589" si="456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0"/>
        <v>47907808.356810622</v>
      </c>
      <c r="AJ1526" s="19">
        <f t="shared" si="441"/>
        <v>6027384.8806384448</v>
      </c>
      <c r="AK1526" s="20">
        <f t="shared" si="448"/>
        <v>0.12581216063459488</v>
      </c>
      <c r="AL1526" s="17"/>
      <c r="AM1526" s="17"/>
      <c r="AN1526" s="17"/>
      <c r="AO1526" s="17"/>
      <c r="AP1526" s="28" t="str">
        <f t="shared" si="449"/>
        <v>20209</v>
      </c>
      <c r="AQ1526" s="28" t="str">
        <f t="shared" si="450"/>
        <v>20209JPY</v>
      </c>
      <c r="AR1526" s="206" t="str">
        <f t="shared" si="451"/>
        <v>YAMAHA_Mounter</v>
      </c>
      <c r="AS1526" s="22">
        <f t="shared" si="452"/>
        <v>2</v>
      </c>
      <c r="AT1526" s="24" t="str">
        <f t="shared" si="453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4"/>
        <v>6896000</v>
      </c>
      <c r="AA1527" s="13">
        <v>7.4899999999999994E-2</v>
      </c>
      <c r="AB1527" s="21">
        <f t="shared" si="456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0"/>
        <v>47907808.356810622</v>
      </c>
      <c r="AJ1527" s="19">
        <f t="shared" si="441"/>
        <v>6027384.8806384448</v>
      </c>
      <c r="AK1527" s="20">
        <f t="shared" si="448"/>
        <v>0.12581216063459488</v>
      </c>
      <c r="AL1527" s="17"/>
      <c r="AM1527" s="17"/>
      <c r="AN1527" s="17"/>
      <c r="AO1527" s="17"/>
      <c r="AP1527" s="28" t="str">
        <f t="shared" si="449"/>
        <v>20209</v>
      </c>
      <c r="AQ1527" s="28" t="str">
        <f t="shared" si="450"/>
        <v>20209JPY</v>
      </c>
      <c r="AR1527" s="206" t="str">
        <f t="shared" si="451"/>
        <v>YAMAHA_Mounter</v>
      </c>
      <c r="AS1527" s="22">
        <f t="shared" si="452"/>
        <v>2</v>
      </c>
      <c r="AT1527" s="24" t="str">
        <f t="shared" si="453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7">IF(W1528="RMB","1.13", "1")</f>
        <v>1</v>
      </c>
      <c r="Z1528" s="18">
        <f t="shared" si="454"/>
        <v>11530000</v>
      </c>
      <c r="AA1528" s="13">
        <v>5.96E-2</v>
      </c>
      <c r="AB1528" s="21">
        <f t="shared" si="456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0"/>
        <v>499582152.5142017</v>
      </c>
      <c r="AJ1528" s="19">
        <f t="shared" si="441"/>
        <v>59520528.679470733</v>
      </c>
      <c r="AK1528" s="20">
        <f t="shared" si="448"/>
        <v>0.11914062257814291</v>
      </c>
      <c r="AL1528" s="17"/>
      <c r="AM1528" s="17"/>
      <c r="AN1528" s="17"/>
      <c r="AO1528" s="17"/>
      <c r="AP1528" s="28" t="str">
        <f t="shared" si="449"/>
        <v>CancelCancel</v>
      </c>
      <c r="AQ1528" s="28" t="str">
        <f t="shared" si="450"/>
        <v>CancelCancelJPY</v>
      </c>
      <c r="AR1528" s="206" t="str">
        <f t="shared" si="451"/>
        <v>YAMAHA_Mounter</v>
      </c>
      <c r="AS1528" s="22" t="str">
        <f t="shared" si="452"/>
        <v/>
      </c>
      <c r="AT1528" s="24" t="str">
        <f t="shared" si="453"/>
        <v/>
      </c>
      <c r="AU1528" s="22" t="s">
        <v>3746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7"/>
        <v>1</v>
      </c>
      <c r="Z1529" s="18">
        <f t="shared" si="454"/>
        <v>11530000</v>
      </c>
      <c r="AA1529" s="13">
        <v>5.96E-2</v>
      </c>
      <c r="AB1529" s="21">
        <f t="shared" si="456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0"/>
        <v>499582152.5142017</v>
      </c>
      <c r="AJ1529" s="19">
        <f t="shared" si="441"/>
        <v>59520528.679470733</v>
      </c>
      <c r="AK1529" s="20">
        <f t="shared" si="448"/>
        <v>0.11914062257814291</v>
      </c>
      <c r="AL1529" s="17"/>
      <c r="AM1529" s="17"/>
      <c r="AN1529" s="17"/>
      <c r="AO1529" s="17"/>
      <c r="AP1529" s="28" t="str">
        <f t="shared" si="449"/>
        <v>CancelCancel</v>
      </c>
      <c r="AQ1529" s="28" t="str">
        <f t="shared" si="450"/>
        <v>CancelCancelJPY</v>
      </c>
      <c r="AR1529" s="206" t="str">
        <f t="shared" si="451"/>
        <v>YAMAHA_Mounter</v>
      </c>
      <c r="AS1529" s="22" t="str">
        <f t="shared" si="452"/>
        <v/>
      </c>
      <c r="AT1529" s="24" t="str">
        <f t="shared" si="453"/>
        <v/>
      </c>
      <c r="AU1529" s="22" t="s">
        <v>3746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7"/>
        <v>1</v>
      </c>
      <c r="Z1530" s="18">
        <f t="shared" si="454"/>
        <v>7500000</v>
      </c>
      <c r="AA1530" s="13">
        <v>5.96E-2</v>
      </c>
      <c r="AB1530" s="21">
        <f t="shared" si="456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0"/>
        <v>499582152.5142017</v>
      </c>
      <c r="AJ1530" s="19">
        <f t="shared" si="441"/>
        <v>59520528.679470733</v>
      </c>
      <c r="AK1530" s="20">
        <f t="shared" si="448"/>
        <v>0.11914062257814291</v>
      </c>
      <c r="AL1530" s="17"/>
      <c r="AM1530" s="17"/>
      <c r="AN1530" s="17"/>
      <c r="AO1530" s="17"/>
      <c r="AP1530" s="28" t="str">
        <f t="shared" si="449"/>
        <v>CancelCancel</v>
      </c>
      <c r="AQ1530" s="28" t="str">
        <f t="shared" si="450"/>
        <v>CancelCancelJPY</v>
      </c>
      <c r="AR1530" s="206" t="str">
        <f t="shared" si="451"/>
        <v>YAMAHA_Mounter</v>
      </c>
      <c r="AS1530" s="22" t="str">
        <f t="shared" si="452"/>
        <v/>
      </c>
      <c r="AT1530" s="24" t="str">
        <f t="shared" si="453"/>
        <v/>
      </c>
      <c r="AU1530" s="22" t="s">
        <v>3746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7"/>
        <v>1</v>
      </c>
      <c r="Z1531" s="18">
        <f t="shared" si="454"/>
        <v>7500000</v>
      </c>
      <c r="AA1531" s="13">
        <v>5.96E-2</v>
      </c>
      <c r="AB1531" s="21">
        <f t="shared" si="456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0"/>
        <v>499582152.5142017</v>
      </c>
      <c r="AJ1531" s="19">
        <f t="shared" si="441"/>
        <v>59520528.679470733</v>
      </c>
      <c r="AK1531" s="20">
        <f t="shared" si="448"/>
        <v>0.11914062257814291</v>
      </c>
      <c r="AL1531" s="17"/>
      <c r="AM1531" s="17"/>
      <c r="AN1531" s="17"/>
      <c r="AO1531" s="17"/>
      <c r="AP1531" s="28" t="str">
        <f t="shared" si="449"/>
        <v>CancelCancel</v>
      </c>
      <c r="AQ1531" s="28" t="str">
        <f t="shared" si="450"/>
        <v>CancelCancelJPY</v>
      </c>
      <c r="AR1531" s="206" t="str">
        <f t="shared" si="451"/>
        <v>YAMAHA_Mounter</v>
      </c>
      <c r="AS1531" s="22" t="str">
        <f t="shared" si="452"/>
        <v/>
      </c>
      <c r="AT1531" s="24" t="str">
        <f t="shared" si="453"/>
        <v/>
      </c>
      <c r="AU1531" s="22" t="s">
        <v>3746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7"/>
        <v>1</v>
      </c>
      <c r="Z1532" s="18">
        <f t="shared" si="454"/>
        <v>10500000</v>
      </c>
      <c r="AA1532" s="13">
        <v>0.06</v>
      </c>
      <c r="AB1532" s="21">
        <f t="shared" si="456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0"/>
        <v>7502645.9971681423</v>
      </c>
      <c r="AJ1532" s="19">
        <f t="shared" si="441"/>
        <v>664841.72044240718</v>
      </c>
      <c r="AK1532" s="20">
        <f t="shared" si="448"/>
        <v>8.861429963420242E-2</v>
      </c>
      <c r="AL1532" s="17"/>
      <c r="AM1532" s="17"/>
      <c r="AN1532" s="17"/>
      <c r="AO1532" s="17" t="s">
        <v>2116</v>
      </c>
      <c r="AP1532" s="28" t="str">
        <f t="shared" si="449"/>
        <v>20231</v>
      </c>
      <c r="AQ1532" s="28" t="str">
        <f t="shared" si="450"/>
        <v>20231JPY</v>
      </c>
      <c r="AR1532" s="206" t="str">
        <f t="shared" si="451"/>
        <v>YAMAHA_Mounter</v>
      </c>
      <c r="AS1532" s="22">
        <f t="shared" si="452"/>
        <v>9</v>
      </c>
      <c r="AT1532" s="24" t="str">
        <f t="shared" si="453"/>
        <v>&gt; 6 months</v>
      </c>
      <c r="AU1532" s="22" t="s">
        <v>3746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7"/>
        <v>1</v>
      </c>
      <c r="Z1533" s="18">
        <f t="shared" si="454"/>
        <v>6400000</v>
      </c>
      <c r="AA1533" s="13">
        <v>0.06</v>
      </c>
      <c r="AB1533" s="21">
        <f t="shared" si="456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0"/>
        <v>7502645.9971681423</v>
      </c>
      <c r="AJ1533" s="19">
        <f t="shared" si="441"/>
        <v>664841.72044240718</v>
      </c>
      <c r="AK1533" s="20">
        <f t="shared" si="448"/>
        <v>8.861429963420242E-2</v>
      </c>
      <c r="AL1533" s="17"/>
      <c r="AM1533" s="17"/>
      <c r="AN1533" s="17"/>
      <c r="AO1533" s="17" t="s">
        <v>2116</v>
      </c>
      <c r="AP1533" s="28" t="str">
        <f t="shared" si="449"/>
        <v>20231</v>
      </c>
      <c r="AQ1533" s="28" t="str">
        <f t="shared" si="450"/>
        <v>20231JPY</v>
      </c>
      <c r="AR1533" s="206" t="str">
        <f t="shared" si="451"/>
        <v>YAMAHA_Mounter</v>
      </c>
      <c r="AS1533" s="22">
        <f t="shared" si="452"/>
        <v>9</v>
      </c>
      <c r="AT1533" s="24" t="str">
        <f t="shared" si="453"/>
        <v>&gt; 6 months</v>
      </c>
      <c r="AU1533" s="22" t="s">
        <v>3746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7"/>
        <v>1</v>
      </c>
      <c r="Z1534" s="18">
        <f t="shared" si="454"/>
        <v>11920000</v>
      </c>
      <c r="AA1534" s="13">
        <v>5.8700000000000002E-2</v>
      </c>
      <c r="AB1534" s="21">
        <f t="shared" si="456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0"/>
        <v>499582152.5142017</v>
      </c>
      <c r="AJ1534" s="19">
        <f t="shared" si="441"/>
        <v>59520528.679470733</v>
      </c>
      <c r="AK1534" s="20">
        <f t="shared" si="448"/>
        <v>0.11914062257814291</v>
      </c>
      <c r="AL1534" s="17"/>
      <c r="AM1534" s="17"/>
      <c r="AN1534" s="17"/>
      <c r="AO1534" s="17"/>
      <c r="AP1534" s="28" t="str">
        <f t="shared" si="449"/>
        <v>CancelCancel</v>
      </c>
      <c r="AQ1534" s="28" t="str">
        <f t="shared" si="450"/>
        <v>CancelCancelJPY</v>
      </c>
      <c r="AR1534" s="206" t="str">
        <f t="shared" si="451"/>
        <v>YAMAHA_Mounter</v>
      </c>
      <c r="AS1534" s="22" t="str">
        <f t="shared" si="452"/>
        <v/>
      </c>
      <c r="AT1534" s="24" t="str">
        <f t="shared" si="453"/>
        <v/>
      </c>
      <c r="AU1534" s="22" t="s">
        <v>3746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7"/>
        <v>1</v>
      </c>
      <c r="Z1535" s="18">
        <f t="shared" si="454"/>
        <v>11920000</v>
      </c>
      <c r="AA1535" s="13">
        <v>5.8700000000000002E-2</v>
      </c>
      <c r="AB1535" s="21">
        <f t="shared" si="456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0"/>
        <v>499582152.5142017</v>
      </c>
      <c r="AJ1535" s="19">
        <f t="shared" si="441"/>
        <v>59520528.679470733</v>
      </c>
      <c r="AK1535" s="20">
        <f t="shared" si="448"/>
        <v>0.11914062257814291</v>
      </c>
      <c r="AL1535" s="17"/>
      <c r="AM1535" s="17"/>
      <c r="AN1535" s="17"/>
      <c r="AO1535" s="17"/>
      <c r="AP1535" s="28" t="str">
        <f t="shared" si="449"/>
        <v>CancelCancel</v>
      </c>
      <c r="AQ1535" s="28" t="str">
        <f t="shared" si="450"/>
        <v>CancelCancelJPY</v>
      </c>
      <c r="AR1535" s="206" t="str">
        <f t="shared" si="451"/>
        <v>YAMAHA_Mounter</v>
      </c>
      <c r="AS1535" s="22" t="str">
        <f t="shared" si="452"/>
        <v/>
      </c>
      <c r="AT1535" s="24" t="str">
        <f t="shared" si="453"/>
        <v/>
      </c>
      <c r="AU1535" s="22" t="s">
        <v>3746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7"/>
        <v>1</v>
      </c>
      <c r="Z1536" s="18">
        <f t="shared" si="454"/>
        <v>7920000</v>
      </c>
      <c r="AA1536" s="13">
        <v>5.8700000000000002E-2</v>
      </c>
      <c r="AB1536" s="21">
        <f t="shared" si="456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0"/>
        <v>499582152.5142017</v>
      </c>
      <c r="AJ1536" s="19">
        <f t="shared" si="441"/>
        <v>59520528.679470733</v>
      </c>
      <c r="AK1536" s="20">
        <f t="shared" si="448"/>
        <v>0.11914062257814291</v>
      </c>
      <c r="AL1536" s="17"/>
      <c r="AM1536" s="17"/>
      <c r="AN1536" s="17"/>
      <c r="AO1536" s="17"/>
      <c r="AP1536" s="28" t="str">
        <f t="shared" si="449"/>
        <v>CancelCancel</v>
      </c>
      <c r="AQ1536" s="28" t="str">
        <f t="shared" si="450"/>
        <v>CancelCancelJPY</v>
      </c>
      <c r="AR1536" s="206" t="str">
        <f t="shared" si="451"/>
        <v>YAMAHA_Mounter</v>
      </c>
      <c r="AS1536" s="22" t="str">
        <f t="shared" si="452"/>
        <v/>
      </c>
      <c r="AT1536" s="24" t="str">
        <f t="shared" si="453"/>
        <v/>
      </c>
      <c r="AU1536" s="22" t="s">
        <v>3746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7"/>
        <v>1</v>
      </c>
      <c r="Z1537" s="18">
        <f t="shared" si="454"/>
        <v>7920000</v>
      </c>
      <c r="AA1537" s="13">
        <v>5.8700000000000002E-2</v>
      </c>
      <c r="AB1537" s="21">
        <f t="shared" si="456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0"/>
        <v>499582152.5142017</v>
      </c>
      <c r="AJ1537" s="19">
        <f t="shared" si="441"/>
        <v>59520528.679470733</v>
      </c>
      <c r="AK1537" s="20">
        <f t="shared" si="448"/>
        <v>0.11914062257814291</v>
      </c>
      <c r="AL1537" s="17"/>
      <c r="AM1537" s="17"/>
      <c r="AN1537" s="17"/>
      <c r="AO1537" s="17"/>
      <c r="AP1537" s="28" t="str">
        <f t="shared" si="449"/>
        <v>CancelCancel</v>
      </c>
      <c r="AQ1537" s="28" t="str">
        <f t="shared" si="450"/>
        <v>CancelCancelJPY</v>
      </c>
      <c r="AR1537" s="206" t="str">
        <f t="shared" si="451"/>
        <v>YAMAHA_Mounter</v>
      </c>
      <c r="AS1537" s="22" t="str">
        <f t="shared" si="452"/>
        <v/>
      </c>
      <c r="AT1537" s="24" t="str">
        <f t="shared" si="453"/>
        <v/>
      </c>
      <c r="AU1537" s="22" t="s">
        <v>3746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7"/>
        <v>1</v>
      </c>
      <c r="Z1538" s="18">
        <f t="shared" si="454"/>
        <v>11920000</v>
      </c>
      <c r="AA1538" s="13">
        <v>5.4100000000000002E-2</v>
      </c>
      <c r="AB1538" s="21">
        <f t="shared" si="456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58">IF(P1538="C66 SERVICE","",SUMIFS(AB:AB,F:F,F1538,G:G,G1538,E:E,E1538))</f>
        <v>499582152.5142017</v>
      </c>
      <c r="AJ1538" s="19">
        <f t="shared" ref="AJ1538:AJ1601" si="459">IF(P1538="C66 SERVICE","",SUMIFS(AC:AC,F:F,F1538,G:G,G1538,E:E,E1538))</f>
        <v>59520528.679470733</v>
      </c>
      <c r="AK1538" s="20">
        <f t="shared" si="448"/>
        <v>0.11914062257814291</v>
      </c>
      <c r="AL1538" s="17"/>
      <c r="AM1538" s="17"/>
      <c r="AN1538" s="17"/>
      <c r="AO1538" s="17"/>
      <c r="AP1538" s="28" t="str">
        <f t="shared" si="449"/>
        <v>CancelCancel</v>
      </c>
      <c r="AQ1538" s="28" t="str">
        <f t="shared" si="450"/>
        <v>CancelCancelJPY</v>
      </c>
      <c r="AR1538" s="206" t="str">
        <f t="shared" si="451"/>
        <v>YAMAHA_Mounter</v>
      </c>
      <c r="AS1538" s="22" t="str">
        <f t="shared" si="452"/>
        <v/>
      </c>
      <c r="AT1538" s="24" t="str">
        <f t="shared" si="453"/>
        <v/>
      </c>
      <c r="AU1538" s="22" t="s">
        <v>3746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7"/>
        <v>1</v>
      </c>
      <c r="Z1539" s="18">
        <f t="shared" si="454"/>
        <v>7920000</v>
      </c>
      <c r="AA1539" s="13">
        <v>5.4100000000000002E-2</v>
      </c>
      <c r="AB1539" s="21">
        <f t="shared" si="456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58"/>
        <v>499582152.5142017</v>
      </c>
      <c r="AJ1539" s="19">
        <f t="shared" si="459"/>
        <v>59520528.679470733</v>
      </c>
      <c r="AK1539" s="20">
        <f t="shared" si="448"/>
        <v>0.11914062257814291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6" t="str">
        <f t="shared" si="451"/>
        <v>YAMAHA_Mounter</v>
      </c>
      <c r="AS1539" s="22" t="str">
        <f t="shared" si="452"/>
        <v/>
      </c>
      <c r="AT1539" s="24" t="str">
        <f t="shared" si="453"/>
        <v/>
      </c>
      <c r="AU1539" s="22" t="s">
        <v>3746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7"/>
        <v>1</v>
      </c>
      <c r="Z1540" s="18">
        <f t="shared" si="454"/>
        <v>11500000</v>
      </c>
      <c r="AA1540" s="13">
        <v>7.5700000000000003E-2</v>
      </c>
      <c r="AB1540" s="21">
        <f t="shared" si="456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58"/>
        <v>31097187.02948761</v>
      </c>
      <c r="AJ1540" s="19">
        <f t="shared" si="459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6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  <c r="AU1540" s="22" t="s">
        <v>3745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7"/>
        <v>1</v>
      </c>
      <c r="Z1541" s="18">
        <f t="shared" si="454"/>
        <v>11500000</v>
      </c>
      <c r="AA1541" s="13">
        <v>7.5700000000000003E-2</v>
      </c>
      <c r="AB1541" s="21">
        <f t="shared" si="456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58"/>
        <v>31097187.02948761</v>
      </c>
      <c r="AJ1541" s="19">
        <f t="shared" si="459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6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  <c r="AU1541" s="22" t="s">
        <v>3745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7"/>
        <v>1.13</v>
      </c>
      <c r="Z1542" s="18">
        <f t="shared" si="454"/>
        <v>740000</v>
      </c>
      <c r="AA1542" s="13">
        <v>1.163</v>
      </c>
      <c r="AB1542" s="21">
        <f t="shared" si="456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58"/>
        <v>35073581.838938057</v>
      </c>
      <c r="AJ1542" s="19">
        <f t="shared" si="459"/>
        <v>5034113.9728989396</v>
      </c>
      <c r="AK1542" s="20">
        <f t="shared" ref="AK1542:AK1605" si="46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7">IF(F1542="","",F1542&amp;G1542)</f>
        <v>20228</v>
      </c>
      <c r="AQ1542" s="28" t="str">
        <f t="shared" ref="AQ1542:AQ1605" si="468">IF(W1542="","",F1542&amp;G1542&amp;W1542)</f>
        <v>20228RMB</v>
      </c>
      <c r="AR1542" s="206" t="str">
        <f t="shared" ref="AR1542:AR1605" si="469">IFERROR(IF(AND(M1542="YAMAHA", R1542="C28"), "YAMAHA_Non_Mounter", IF(AND(M1542="YAMAHA", R1542="C49"), "YAMAHA_Mounter", M1542)),"")</f>
        <v>YAMAHA_Mounter</v>
      </c>
      <c r="AS1542" s="22">
        <f t="shared" ref="AS1542:AS1605" si="470">IFERROR(IF(OR(G1542="TBA", G1542=""), "", DATEDIF(DATE(B1542, C1542, 1), DATE(F1542, G1542, 1), "M")),"")</f>
        <v>1</v>
      </c>
      <c r="AT1542" s="24" t="str">
        <f t="shared" ref="AT1542:AT1605" si="471">IF(ISNUMBER(AS1542), IF(AS1542&gt;=0, IF(AS1542&lt;=3, "0-3 months", IF(AS1542&lt;=6, "4-6 months", "&gt; 6 months"))), "")</f>
        <v>0-3 months</v>
      </c>
      <c r="AU1542" s="22" t="s">
        <v>3751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7"/>
        <v>1.13</v>
      </c>
      <c r="Z1543" s="18">
        <f t="shared" si="454"/>
        <v>435000</v>
      </c>
      <c r="AA1543" s="13">
        <v>1.163</v>
      </c>
      <c r="AB1543" s="21">
        <f t="shared" si="456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58"/>
        <v>35073581.838938057</v>
      </c>
      <c r="AJ1543" s="19">
        <f t="shared" si="459"/>
        <v>5034113.9728989396</v>
      </c>
      <c r="AK1543" s="20">
        <f t="shared" si="466"/>
        <v>0.14353007902118958</v>
      </c>
      <c r="AL1543" s="17"/>
      <c r="AM1543" s="17"/>
      <c r="AN1543" s="17"/>
      <c r="AO1543" s="17"/>
      <c r="AP1543" s="28" t="str">
        <f t="shared" si="467"/>
        <v>20228</v>
      </c>
      <c r="AQ1543" s="28" t="str">
        <f t="shared" si="468"/>
        <v>20228RMB</v>
      </c>
      <c r="AR1543" s="206" t="str">
        <f t="shared" si="469"/>
        <v>YAMAHA_Mounter</v>
      </c>
      <c r="AS1543" s="22">
        <f t="shared" si="470"/>
        <v>1</v>
      </c>
      <c r="AT1543" s="24" t="str">
        <f t="shared" si="471"/>
        <v>0-3 months</v>
      </c>
      <c r="AU1543" s="22" t="s">
        <v>3751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7"/>
        <v>1.13</v>
      </c>
      <c r="Z1544" s="18">
        <f t="shared" si="454"/>
        <v>720000</v>
      </c>
      <c r="AA1544" s="13">
        <v>1.1299999999999999</v>
      </c>
      <c r="AB1544" s="21">
        <f t="shared" si="456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58"/>
        <v>33543315.897345133</v>
      </c>
      <c r="AJ1544" s="19">
        <f t="shared" si="459"/>
        <v>4706169.3252984071</v>
      </c>
      <c r="AK1544" s="20">
        <f t="shared" si="466"/>
        <v>0.14030125523967318</v>
      </c>
      <c r="AL1544" s="17"/>
      <c r="AM1544" s="17"/>
      <c r="AN1544" s="17"/>
      <c r="AO1544" s="17"/>
      <c r="AP1544" s="28" t="str">
        <f t="shared" si="467"/>
        <v>20233</v>
      </c>
      <c r="AQ1544" s="28" t="str">
        <f t="shared" si="468"/>
        <v>20233RMB</v>
      </c>
      <c r="AR1544" s="206" t="str">
        <f t="shared" si="469"/>
        <v>YAMAHA_Mounter</v>
      </c>
      <c r="AS1544" s="22">
        <f t="shared" si="470"/>
        <v>0</v>
      </c>
      <c r="AT1544" s="24" t="str">
        <f t="shared" si="471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7"/>
        <v>1.13</v>
      </c>
      <c r="Z1545" s="18">
        <f t="shared" si="454"/>
        <v>1300000</v>
      </c>
      <c r="AA1545" s="13">
        <v>1.175</v>
      </c>
      <c r="AB1545" s="21">
        <f t="shared" si="456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58"/>
        <v>499582152.5142017</v>
      </c>
      <c r="AJ1545" s="19">
        <f t="shared" si="459"/>
        <v>59520528.679470733</v>
      </c>
      <c r="AK1545" s="20">
        <f t="shared" si="466"/>
        <v>0.11914062257814291</v>
      </c>
      <c r="AL1545" s="17"/>
      <c r="AM1545" s="17"/>
      <c r="AN1545" s="17"/>
      <c r="AO1545" s="17"/>
      <c r="AP1545" s="28" t="str">
        <f t="shared" si="467"/>
        <v>CancelCancel</v>
      </c>
      <c r="AQ1545" s="28" t="str">
        <f t="shared" si="468"/>
        <v>CancelCancelRMB</v>
      </c>
      <c r="AR1545" s="206" t="str">
        <f t="shared" si="469"/>
        <v>YAMAHA_Mounter</v>
      </c>
      <c r="AS1545" s="22" t="str">
        <f t="shared" si="470"/>
        <v/>
      </c>
      <c r="AT1545" s="24" t="str">
        <f t="shared" si="471"/>
        <v/>
      </c>
      <c r="AU1545" s="22" t="s">
        <v>3751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7"/>
        <v>1.13</v>
      </c>
      <c r="Z1546" s="18">
        <f t="shared" ref="Z1546:Z1609" si="472">IF(X1546="","",X1546*MAX(O1546,N1546))</f>
        <v>1300000</v>
      </c>
      <c r="AA1546" s="13">
        <v>1.175</v>
      </c>
      <c r="AB1546" s="21">
        <f t="shared" si="456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58"/>
        <v>499582152.5142017</v>
      </c>
      <c r="AJ1546" s="19">
        <f t="shared" si="459"/>
        <v>59520528.679470733</v>
      </c>
      <c r="AK1546" s="20">
        <f t="shared" si="466"/>
        <v>0.11914062257814291</v>
      </c>
      <c r="AL1546" s="17"/>
      <c r="AM1546" s="17"/>
      <c r="AN1546" s="17"/>
      <c r="AO1546" s="17"/>
      <c r="AP1546" s="28" t="str">
        <f t="shared" si="467"/>
        <v>CancelCancel</v>
      </c>
      <c r="AQ1546" s="28" t="str">
        <f t="shared" si="468"/>
        <v>CancelCancelRMB</v>
      </c>
      <c r="AR1546" s="206" t="str">
        <f t="shared" si="469"/>
        <v>YAMAHA_Mounter</v>
      </c>
      <c r="AS1546" s="22" t="str">
        <f t="shared" si="470"/>
        <v/>
      </c>
      <c r="AT1546" s="24" t="str">
        <f t="shared" si="471"/>
        <v/>
      </c>
      <c r="AU1546" s="22" t="s">
        <v>3751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2"/>
        <v>1000000</v>
      </c>
      <c r="AA1547" s="13">
        <v>1.095</v>
      </c>
      <c r="AB1547" s="21">
        <f t="shared" si="456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58"/>
        <v>33477255.428389374</v>
      </c>
      <c r="AJ1547" s="19">
        <f t="shared" si="459"/>
        <v>4578663.362915583</v>
      </c>
      <c r="AK1547" s="20">
        <f t="shared" si="466"/>
        <v>0.13676937682988152</v>
      </c>
      <c r="AL1547" s="17"/>
      <c r="AM1547" s="17"/>
      <c r="AN1547" s="17"/>
      <c r="AO1547" s="17"/>
      <c r="AP1547" s="28" t="str">
        <f t="shared" si="467"/>
        <v>20204</v>
      </c>
      <c r="AQ1547" s="28" t="str">
        <f t="shared" si="468"/>
        <v>20204RMB</v>
      </c>
      <c r="AR1547" s="206" t="str">
        <f t="shared" si="469"/>
        <v>YAMAHA_Mounter</v>
      </c>
      <c r="AS1547" s="22">
        <f t="shared" si="470"/>
        <v>3</v>
      </c>
      <c r="AT1547" s="24" t="str">
        <f t="shared" si="471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2"/>
        <v>1431600</v>
      </c>
      <c r="AA1548" s="13">
        <v>1.095</v>
      </c>
      <c r="AB1548" s="21">
        <f t="shared" si="456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58"/>
        <v>33477255.428389374</v>
      </c>
      <c r="AJ1548" s="19">
        <f t="shared" si="459"/>
        <v>4578663.362915583</v>
      </c>
      <c r="AK1548" s="20">
        <f t="shared" si="466"/>
        <v>0.13676937682988152</v>
      </c>
      <c r="AL1548" s="17"/>
      <c r="AM1548" s="17"/>
      <c r="AN1548" s="17"/>
      <c r="AO1548" s="17"/>
      <c r="AP1548" s="28" t="str">
        <f t="shared" si="467"/>
        <v>20204</v>
      </c>
      <c r="AQ1548" s="28" t="str">
        <f t="shared" si="468"/>
        <v>20204RMB</v>
      </c>
      <c r="AR1548" s="206" t="str">
        <f t="shared" si="469"/>
        <v>YAMAHA_Mounter</v>
      </c>
      <c r="AS1548" s="22">
        <f t="shared" si="470"/>
        <v>3</v>
      </c>
      <c r="AT1548" s="24" t="str">
        <f t="shared" si="471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2"/>
        <v>541700</v>
      </c>
      <c r="AA1549" s="13">
        <v>1.105</v>
      </c>
      <c r="AB1549" s="21">
        <f t="shared" si="456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58"/>
        <v>499582152.5142017</v>
      </c>
      <c r="AJ1549" s="19">
        <f t="shared" si="459"/>
        <v>59520528.679470733</v>
      </c>
      <c r="AK1549" s="20">
        <f t="shared" si="466"/>
        <v>0.11914062257814291</v>
      </c>
      <c r="AL1549" s="17"/>
      <c r="AM1549" s="17"/>
      <c r="AN1549" s="17"/>
      <c r="AO1549" s="17"/>
      <c r="AP1549" s="28" t="str">
        <f t="shared" si="467"/>
        <v>CancelCANCEL</v>
      </c>
      <c r="AQ1549" s="28" t="str">
        <f t="shared" si="468"/>
        <v>CancelCANCELRMB</v>
      </c>
      <c r="AR1549" s="206" t="str">
        <f t="shared" si="469"/>
        <v>YAMAHA_Mounter</v>
      </c>
      <c r="AS1549" s="22" t="str">
        <f t="shared" si="470"/>
        <v/>
      </c>
      <c r="AT1549" s="24" t="str">
        <f t="shared" si="471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2"/>
        <v>1281500</v>
      </c>
      <c r="AA1550" s="13">
        <v>1.1100000000000001</v>
      </c>
      <c r="AB1550" s="21">
        <f t="shared" si="456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58"/>
        <v>26147030.909862842</v>
      </c>
      <c r="AJ1550" s="19">
        <f t="shared" si="459"/>
        <v>2743862.8630715334</v>
      </c>
      <c r="AK1550" s="20">
        <f t="shared" si="466"/>
        <v>0.10493974908778378</v>
      </c>
      <c r="AL1550" s="17"/>
      <c r="AM1550" s="17"/>
      <c r="AN1550" s="17"/>
      <c r="AO1550" s="17" t="s">
        <v>916</v>
      </c>
      <c r="AP1550" s="28" t="str">
        <f t="shared" si="467"/>
        <v>201911</v>
      </c>
      <c r="AQ1550" s="28" t="str">
        <f t="shared" si="468"/>
        <v>201911RMB</v>
      </c>
      <c r="AR1550" s="206" t="str">
        <f t="shared" si="469"/>
        <v>YAMAHA_Mounter</v>
      </c>
      <c r="AS1550" s="22">
        <f t="shared" si="470"/>
        <v>2</v>
      </c>
      <c r="AT1550" s="24" t="str">
        <f t="shared" si="471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2"/>
        <v>441196</v>
      </c>
      <c r="AA1551" s="13">
        <v>1.125</v>
      </c>
      <c r="AB1551" s="21">
        <f t="shared" si="456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58"/>
        <v>29840797.698275864</v>
      </c>
      <c r="AJ1551" s="19">
        <f t="shared" si="459"/>
        <v>3940167.6555448272</v>
      </c>
      <c r="AK1551" s="20">
        <f t="shared" si="466"/>
        <v>0.13203962224416277</v>
      </c>
      <c r="AL1551" s="17"/>
      <c r="AM1551" s="17"/>
      <c r="AN1551" s="17"/>
      <c r="AO1551" s="17"/>
      <c r="AP1551" s="28" t="str">
        <f t="shared" si="467"/>
        <v>201812</v>
      </c>
      <c r="AQ1551" s="28" t="str">
        <f t="shared" si="468"/>
        <v>201812RMB</v>
      </c>
      <c r="AR1551" s="206" t="str">
        <f t="shared" si="469"/>
        <v>HELLER</v>
      </c>
      <c r="AS1551" s="22">
        <f t="shared" si="470"/>
        <v>1</v>
      </c>
      <c r="AT1551" s="24" t="str">
        <f t="shared" si="471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2"/>
        <v>1000000</v>
      </c>
      <c r="AA1552" s="13">
        <v>1.105</v>
      </c>
      <c r="AB1552" s="21">
        <f t="shared" si="456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58"/>
        <v>37969334.083628319</v>
      </c>
      <c r="AJ1552" s="19">
        <f t="shared" si="459"/>
        <v>5097226.4551657084</v>
      </c>
      <c r="AK1552" s="20">
        <f t="shared" si="466"/>
        <v>0.13424587441904964</v>
      </c>
      <c r="AL1552" s="17"/>
      <c r="AM1552" s="17"/>
      <c r="AN1552" s="17"/>
      <c r="AO1552" s="17"/>
      <c r="AP1552" s="28" t="str">
        <f t="shared" si="467"/>
        <v>20208</v>
      </c>
      <c r="AQ1552" s="28" t="str">
        <f t="shared" si="468"/>
        <v>20208RMB</v>
      </c>
      <c r="AR1552" s="206" t="str">
        <f t="shared" si="469"/>
        <v>YAMAHA_Mounter</v>
      </c>
      <c r="AS1552" s="22">
        <f t="shared" si="470"/>
        <v>0</v>
      </c>
      <c r="AT1552" s="24" t="str">
        <f t="shared" si="471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2"/>
        <v>738700</v>
      </c>
      <c r="AA1553" s="13">
        <v>1.105</v>
      </c>
      <c r="AB1553" s="21">
        <f t="shared" si="456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58"/>
        <v>37969334.083628319</v>
      </c>
      <c r="AJ1553" s="19">
        <f t="shared" si="459"/>
        <v>5097226.4551657084</v>
      </c>
      <c r="AK1553" s="20">
        <f t="shared" si="466"/>
        <v>0.13424587441904964</v>
      </c>
      <c r="AL1553" s="17"/>
      <c r="AM1553" s="17"/>
      <c r="AN1553" s="17"/>
      <c r="AO1553" s="17"/>
      <c r="AP1553" s="28" t="str">
        <f t="shared" si="467"/>
        <v>20208</v>
      </c>
      <c r="AQ1553" s="28" t="str">
        <f t="shared" si="468"/>
        <v>20208RMB</v>
      </c>
      <c r="AR1553" s="206" t="str">
        <f t="shared" si="469"/>
        <v>YAMAHA_Mounter</v>
      </c>
      <c r="AS1553" s="22">
        <f t="shared" si="470"/>
        <v>0</v>
      </c>
      <c r="AT1553" s="24" t="str">
        <f t="shared" si="471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2"/>
        <v>1015900</v>
      </c>
      <c r="AA1554" s="13">
        <v>1.1000000000000001</v>
      </c>
      <c r="AB1554" s="21">
        <f t="shared" si="456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58"/>
        <v>22717528.991150443</v>
      </c>
      <c r="AJ1554" s="19">
        <f t="shared" si="459"/>
        <v>3947747.192555753</v>
      </c>
      <c r="AK1554" s="20">
        <f t="shared" si="466"/>
        <v>0.1737753782153679</v>
      </c>
      <c r="AL1554" s="17"/>
      <c r="AM1554" s="17"/>
      <c r="AN1554" s="17"/>
      <c r="AO1554" s="17"/>
      <c r="AP1554" s="28" t="str">
        <f t="shared" si="467"/>
        <v>202210</v>
      </c>
      <c r="AQ1554" s="28" t="str">
        <f t="shared" si="468"/>
        <v>202210RMB</v>
      </c>
      <c r="AR1554" s="206" t="str">
        <f t="shared" si="469"/>
        <v>YAMAHA_Mounter</v>
      </c>
      <c r="AS1554" s="22">
        <f t="shared" si="470"/>
        <v>3</v>
      </c>
      <c r="AT1554" s="24" t="str">
        <f t="shared" si="471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2"/>
        <v>704000</v>
      </c>
      <c r="AA1555" s="13">
        <v>1.08</v>
      </c>
      <c r="AB1555" s="21">
        <f t="shared" si="456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58"/>
        <v>31017966.201968137</v>
      </c>
      <c r="AJ1555" s="19">
        <f t="shared" si="459"/>
        <v>4704250.3347305888</v>
      </c>
      <c r="AK1555" s="20">
        <f t="shared" si="466"/>
        <v>0.15166211427595458</v>
      </c>
      <c r="AL1555" s="17"/>
      <c r="AM1555" s="17"/>
      <c r="AN1555" s="17"/>
      <c r="AO1555" s="17"/>
      <c r="AP1555" s="28" t="str">
        <f t="shared" si="467"/>
        <v>202211</v>
      </c>
      <c r="AQ1555" s="28" t="str">
        <f t="shared" si="468"/>
        <v>202211RMB</v>
      </c>
      <c r="AR1555" s="206" t="str">
        <f t="shared" si="469"/>
        <v>YAMAHA_Mounter</v>
      </c>
      <c r="AS1555" s="22">
        <f t="shared" si="470"/>
        <v>0</v>
      </c>
      <c r="AT1555" s="24" t="str">
        <f t="shared" si="471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2"/>
        <v>1300000</v>
      </c>
      <c r="AA1556" s="13">
        <v>1.135</v>
      </c>
      <c r="AB1556" s="21">
        <f t="shared" si="456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58"/>
        <v>21386017.707964607</v>
      </c>
      <c r="AJ1556" s="19">
        <f t="shared" si="459"/>
        <v>2238764.3265707968</v>
      </c>
      <c r="AK1556" s="20">
        <f t="shared" si="466"/>
        <v>0.10468355339185161</v>
      </c>
      <c r="AL1556" s="17"/>
      <c r="AM1556" s="17"/>
      <c r="AN1556" s="17"/>
      <c r="AO1556" s="17"/>
      <c r="AP1556" s="28" t="str">
        <f t="shared" si="467"/>
        <v>20198</v>
      </c>
      <c r="AQ1556" s="28" t="str">
        <f t="shared" si="468"/>
        <v>20198RMB</v>
      </c>
      <c r="AR1556" s="206" t="str">
        <f t="shared" si="469"/>
        <v>YAMAHA_Mounter</v>
      </c>
      <c r="AS1556" s="22">
        <f t="shared" si="470"/>
        <v>3</v>
      </c>
      <c r="AT1556" s="24" t="str">
        <f t="shared" si="471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2"/>
        <v>779310.34</v>
      </c>
      <c r="AA1557" s="13">
        <v>1.1599999999999999</v>
      </c>
      <c r="AB1557" s="21">
        <f t="shared" si="456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58"/>
        <v>32843736.557277881</v>
      </c>
      <c r="AJ1557" s="19">
        <f t="shared" si="459"/>
        <v>3921470.6822663117</v>
      </c>
      <c r="AK1557" s="20">
        <f t="shared" si="466"/>
        <v>0.11939782416131177</v>
      </c>
      <c r="AL1557" s="17"/>
      <c r="AM1557" s="17"/>
      <c r="AN1557" s="17"/>
      <c r="AO1557" s="17"/>
      <c r="AP1557" s="28" t="str">
        <f t="shared" si="467"/>
        <v>20194</v>
      </c>
      <c r="AQ1557" s="28" t="str">
        <f t="shared" si="468"/>
        <v>20194RMB</v>
      </c>
      <c r="AR1557" s="206" t="str">
        <f t="shared" si="469"/>
        <v>YAMAHA_Mounter</v>
      </c>
      <c r="AS1557" s="22">
        <f t="shared" si="470"/>
        <v>10</v>
      </c>
      <c r="AT1557" s="24" t="str">
        <f t="shared" si="471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2"/>
        <v>584482.76</v>
      </c>
      <c r="AA1558" s="13">
        <v>1.1599999999999999</v>
      </c>
      <c r="AB1558" s="21">
        <f t="shared" si="456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58"/>
        <v>32843736.557277881</v>
      </c>
      <c r="AJ1558" s="19">
        <f t="shared" si="459"/>
        <v>3921470.6822663117</v>
      </c>
      <c r="AK1558" s="20">
        <f t="shared" si="466"/>
        <v>0.11939782416131177</v>
      </c>
      <c r="AL1558" s="17"/>
      <c r="AM1558" s="17"/>
      <c r="AN1558" s="17"/>
      <c r="AO1558" s="17"/>
      <c r="AP1558" s="28" t="str">
        <f t="shared" si="467"/>
        <v>20194</v>
      </c>
      <c r="AQ1558" s="28" t="str">
        <f t="shared" si="468"/>
        <v>20194RMB</v>
      </c>
      <c r="AR1558" s="206" t="str">
        <f t="shared" si="469"/>
        <v>YAMAHA_Mounter</v>
      </c>
      <c r="AS1558" s="22">
        <f t="shared" si="470"/>
        <v>10</v>
      </c>
      <c r="AT1558" s="24" t="str">
        <f t="shared" si="471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2"/>
        <v>800000</v>
      </c>
      <c r="AA1559" s="13">
        <v>1.1499999999999999</v>
      </c>
      <c r="AB1559" s="21">
        <f t="shared" si="456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58"/>
        <v>26492741.106427077</v>
      </c>
      <c r="AJ1559" s="19">
        <f t="shared" si="459"/>
        <v>3348032.1325698122</v>
      </c>
      <c r="AK1559" s="20">
        <f t="shared" si="466"/>
        <v>0.12637545201985867</v>
      </c>
      <c r="AL1559" s="17"/>
      <c r="AM1559" s="17"/>
      <c r="AN1559" s="17" t="s">
        <v>151</v>
      </c>
      <c r="AO1559" s="17"/>
      <c r="AP1559" s="28" t="str">
        <f t="shared" si="467"/>
        <v>20189</v>
      </c>
      <c r="AQ1559" s="28" t="str">
        <f t="shared" si="468"/>
        <v>20189RMB</v>
      </c>
      <c r="AR1559" s="206" t="str">
        <f t="shared" si="469"/>
        <v>YAMAHA_Mounter</v>
      </c>
      <c r="AS1559" s="22">
        <f t="shared" si="470"/>
        <v>18</v>
      </c>
      <c r="AT1559" s="24" t="str">
        <f t="shared" si="471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2"/>
        <v>450000</v>
      </c>
      <c r="AA1560" s="13">
        <v>1.1499999999999999</v>
      </c>
      <c r="AB1560" s="21">
        <f t="shared" si="456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58"/>
        <v>26492741.106427077</v>
      </c>
      <c r="AJ1560" s="19">
        <f t="shared" si="459"/>
        <v>3348032.1325698122</v>
      </c>
      <c r="AK1560" s="20">
        <f t="shared" si="466"/>
        <v>0.12637545201985867</v>
      </c>
      <c r="AL1560" s="17"/>
      <c r="AM1560" s="17"/>
      <c r="AN1560" s="17" t="s">
        <v>155</v>
      </c>
      <c r="AO1560" s="17"/>
      <c r="AP1560" s="28" t="str">
        <f t="shared" si="467"/>
        <v>20189</v>
      </c>
      <c r="AQ1560" s="28" t="str">
        <f t="shared" si="468"/>
        <v>20189RMB</v>
      </c>
      <c r="AR1560" s="206" t="str">
        <f t="shared" si="469"/>
        <v>YAMAHA_Mounter</v>
      </c>
      <c r="AS1560" s="22">
        <f t="shared" si="470"/>
        <v>18</v>
      </c>
      <c r="AT1560" s="24" t="str">
        <f t="shared" si="471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2"/>
        <v>673419</v>
      </c>
      <c r="AA1561" s="13">
        <v>1.1499999999999999</v>
      </c>
      <c r="AB1561" s="21">
        <f t="shared" si="456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58"/>
        <v>26492741.106427077</v>
      </c>
      <c r="AJ1561" s="19">
        <f t="shared" si="459"/>
        <v>3348032.1325698122</v>
      </c>
      <c r="AK1561" s="20">
        <f t="shared" si="466"/>
        <v>0.12637545201985867</v>
      </c>
      <c r="AL1561" s="17"/>
      <c r="AM1561" s="17"/>
      <c r="AN1561" s="17" t="s">
        <v>156</v>
      </c>
      <c r="AO1561" s="17"/>
      <c r="AP1561" s="28" t="str">
        <f t="shared" si="467"/>
        <v>20189</v>
      </c>
      <c r="AQ1561" s="28" t="str">
        <f t="shared" si="468"/>
        <v>20189RMB</v>
      </c>
      <c r="AR1561" s="206" t="str">
        <f t="shared" si="469"/>
        <v>YAMAHA_Mounter</v>
      </c>
      <c r="AS1561" s="22">
        <f t="shared" si="470"/>
        <v>18</v>
      </c>
      <c r="AT1561" s="24" t="str">
        <f t="shared" si="471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2"/>
        <v>930000</v>
      </c>
      <c r="AA1562" s="13">
        <v>1.163</v>
      </c>
      <c r="AB1562" s="21">
        <f t="shared" si="456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58"/>
        <v>35073581.838938057</v>
      </c>
      <c r="AJ1562" s="19">
        <f t="shared" si="459"/>
        <v>5034113.9728989396</v>
      </c>
      <c r="AK1562" s="20">
        <f t="shared" si="466"/>
        <v>0.14353007902118958</v>
      </c>
      <c r="AL1562" s="17"/>
      <c r="AM1562" s="17"/>
      <c r="AN1562" s="17"/>
      <c r="AO1562" s="17"/>
      <c r="AP1562" s="28" t="str">
        <f t="shared" si="467"/>
        <v>20228</v>
      </c>
      <c r="AQ1562" s="28" t="str">
        <f t="shared" si="468"/>
        <v>20228RMB</v>
      </c>
      <c r="AR1562" s="206" t="str">
        <f t="shared" si="469"/>
        <v>PEMTRON</v>
      </c>
      <c r="AS1562" s="22">
        <f t="shared" si="470"/>
        <v>2</v>
      </c>
      <c r="AT1562" s="24" t="str">
        <f t="shared" si="471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2"/>
        <v>449000</v>
      </c>
      <c r="AA1563" s="13">
        <v>1.125</v>
      </c>
      <c r="AB1563" s="21">
        <f t="shared" si="456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58"/>
        <v>10785027.603448275</v>
      </c>
      <c r="AJ1563" s="19">
        <f t="shared" si="459"/>
        <v>1540894.1297982759</v>
      </c>
      <c r="AK1563" s="20">
        <f t="shared" si="466"/>
        <v>0.1428734525728621</v>
      </c>
      <c r="AL1563" s="17"/>
      <c r="AM1563" s="17"/>
      <c r="AN1563" s="17"/>
      <c r="AO1563" s="17"/>
      <c r="AP1563" s="28" t="str">
        <f t="shared" si="467"/>
        <v>201811</v>
      </c>
      <c r="AQ1563" s="28" t="str">
        <f t="shared" si="468"/>
        <v>201811RMB</v>
      </c>
      <c r="AR1563" s="206" t="str">
        <f t="shared" si="469"/>
        <v>PEMTRON</v>
      </c>
      <c r="AS1563" s="22">
        <f t="shared" si="470"/>
        <v>2</v>
      </c>
      <c r="AT1563" s="24" t="str">
        <f t="shared" si="471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2"/>
        <v>449000</v>
      </c>
      <c r="AA1564" s="13">
        <v>1.1499999999999999</v>
      </c>
      <c r="AB1564" s="21">
        <f t="shared" si="456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58"/>
        <v>26492741.106427077</v>
      </c>
      <c r="AJ1564" s="19">
        <f t="shared" si="459"/>
        <v>3348032.1325698122</v>
      </c>
      <c r="AK1564" s="20">
        <f t="shared" si="466"/>
        <v>0.12637545201985867</v>
      </c>
      <c r="AL1564" s="17"/>
      <c r="AM1564" s="17"/>
      <c r="AN1564" s="17"/>
      <c r="AO1564" s="17"/>
      <c r="AP1564" s="28" t="str">
        <f t="shared" si="467"/>
        <v>20189</v>
      </c>
      <c r="AQ1564" s="28" t="str">
        <f t="shared" si="468"/>
        <v>20189RMB</v>
      </c>
      <c r="AR1564" s="206" t="str">
        <f t="shared" si="469"/>
        <v>PEMTRON</v>
      </c>
      <c r="AS1564" s="22">
        <f t="shared" si="470"/>
        <v>0</v>
      </c>
      <c r="AT1564" s="24" t="str">
        <f t="shared" si="471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2"/>
        <v>221600</v>
      </c>
      <c r="AA1565" s="13">
        <v>7.8</v>
      </c>
      <c r="AB1565" s="21">
        <f t="shared" si="456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58"/>
        <v>25380121.402654871</v>
      </c>
      <c r="AJ1565" s="19">
        <f t="shared" si="459"/>
        <v>3850343.1237796471</v>
      </c>
      <c r="AK1565" s="20">
        <f t="shared" si="466"/>
        <v>0.1517070412191521</v>
      </c>
      <c r="AL1565" s="17"/>
      <c r="AM1565" s="17"/>
      <c r="AN1565" s="17"/>
      <c r="AO1565" s="17"/>
      <c r="AP1565" s="28" t="str">
        <f t="shared" si="467"/>
        <v>202112</v>
      </c>
      <c r="AQ1565" s="28" t="str">
        <f t="shared" si="468"/>
        <v>202112USD</v>
      </c>
      <c r="AR1565" s="206" t="str">
        <f t="shared" si="469"/>
        <v>HELLER</v>
      </c>
      <c r="AS1565" s="22">
        <f t="shared" si="470"/>
        <v>4</v>
      </c>
      <c r="AT1565" s="24" t="str">
        <f t="shared" si="471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2"/>
        <v>119800</v>
      </c>
      <c r="AA1566" s="13">
        <v>7.8</v>
      </c>
      <c r="AB1566" s="21">
        <f t="shared" si="456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58"/>
        <v>25380121.402654871</v>
      </c>
      <c r="AJ1566" s="19">
        <f t="shared" si="459"/>
        <v>3850343.1237796471</v>
      </c>
      <c r="AK1566" s="20">
        <f t="shared" si="466"/>
        <v>0.1517070412191521</v>
      </c>
      <c r="AL1566" s="17"/>
      <c r="AM1566" s="17"/>
      <c r="AN1566" s="17"/>
      <c r="AO1566" s="17"/>
      <c r="AP1566" s="28" t="str">
        <f t="shared" si="467"/>
        <v>202112</v>
      </c>
      <c r="AQ1566" s="28" t="str">
        <f t="shared" si="468"/>
        <v>202112USD</v>
      </c>
      <c r="AR1566" s="206" t="str">
        <f t="shared" si="469"/>
        <v>HELLER</v>
      </c>
      <c r="AS1566" s="22">
        <f t="shared" si="470"/>
        <v>4</v>
      </c>
      <c r="AT1566" s="24" t="str">
        <f t="shared" si="471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2"/>
        <v>221600</v>
      </c>
      <c r="AA1567" s="13">
        <v>7.8</v>
      </c>
      <c r="AB1567" s="21">
        <f t="shared" si="456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58"/>
        <v>25380121.402654871</v>
      </c>
      <c r="AJ1567" s="19">
        <f t="shared" si="459"/>
        <v>3850343.1237796471</v>
      </c>
      <c r="AK1567" s="20">
        <f t="shared" si="466"/>
        <v>0.1517070412191521</v>
      </c>
      <c r="AL1567" s="17"/>
      <c r="AM1567" s="17"/>
      <c r="AN1567" s="17"/>
      <c r="AO1567" s="17"/>
      <c r="AP1567" s="28" t="str">
        <f t="shared" si="467"/>
        <v>202112</v>
      </c>
      <c r="AQ1567" s="28" t="str">
        <f t="shared" si="468"/>
        <v>202112USD</v>
      </c>
      <c r="AR1567" s="206" t="str">
        <f t="shared" si="469"/>
        <v>HELLER</v>
      </c>
      <c r="AS1567" s="22">
        <f t="shared" si="470"/>
        <v>3</v>
      </c>
      <c r="AT1567" s="24" t="str">
        <f t="shared" si="471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2"/>
        <v>119800</v>
      </c>
      <c r="AA1568" s="13">
        <v>7.8</v>
      </c>
      <c r="AB1568" s="21">
        <f t="shared" si="456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58"/>
        <v>25380121.402654871</v>
      </c>
      <c r="AJ1568" s="19">
        <f t="shared" si="459"/>
        <v>3850343.1237796471</v>
      </c>
      <c r="AK1568" s="20">
        <f t="shared" si="466"/>
        <v>0.1517070412191521</v>
      </c>
      <c r="AL1568" s="17"/>
      <c r="AM1568" s="17"/>
      <c r="AN1568" s="17"/>
      <c r="AO1568" s="17"/>
      <c r="AP1568" s="28" t="str">
        <f t="shared" si="467"/>
        <v>202112</v>
      </c>
      <c r="AQ1568" s="28" t="str">
        <f t="shared" si="468"/>
        <v>202112USD</v>
      </c>
      <c r="AR1568" s="206" t="str">
        <f t="shared" si="469"/>
        <v>HELLER</v>
      </c>
      <c r="AS1568" s="22">
        <f t="shared" si="470"/>
        <v>3</v>
      </c>
      <c r="AT1568" s="24" t="str">
        <f t="shared" si="471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2"/>
        <v>328000</v>
      </c>
      <c r="AA1569" s="13">
        <v>1.1599999999999999</v>
      </c>
      <c r="AB1569" s="21">
        <f t="shared" si="456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58"/>
        <v>14593788.187146019</v>
      </c>
      <c r="AJ1569" s="19">
        <f t="shared" si="459"/>
        <v>1868647.7321969916</v>
      </c>
      <c r="AK1569" s="20">
        <f t="shared" si="466"/>
        <v>0.12804404916900652</v>
      </c>
      <c r="AL1569" s="17"/>
      <c r="AM1569" s="17"/>
      <c r="AN1569" s="17"/>
      <c r="AO1569" s="17"/>
      <c r="AP1569" s="28" t="str">
        <f t="shared" si="467"/>
        <v>20195</v>
      </c>
      <c r="AQ1569" s="28" t="str">
        <f t="shared" si="468"/>
        <v>20195RMB</v>
      </c>
      <c r="AR1569" s="206" t="str">
        <f t="shared" si="469"/>
        <v>HELLER</v>
      </c>
      <c r="AS1569" s="22">
        <f t="shared" si="470"/>
        <v>1</v>
      </c>
      <c r="AT1569" s="24" t="str">
        <f t="shared" si="471"/>
        <v>0-3 months</v>
      </c>
      <c r="AU1569" s="22" t="s">
        <v>3744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2"/>
        <v>342700</v>
      </c>
      <c r="AA1570" s="13">
        <v>1.1100000000000001</v>
      </c>
      <c r="AB1570" s="21">
        <f t="shared" si="456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58"/>
        <v>23168285.927433632</v>
      </c>
      <c r="AJ1570" s="19">
        <f t="shared" si="459"/>
        <v>2764878.916878053</v>
      </c>
      <c r="AK1570" s="20">
        <f t="shared" si="466"/>
        <v>0.11933895004309111</v>
      </c>
      <c r="AL1570" s="17"/>
      <c r="AM1570" s="17"/>
      <c r="AN1570" s="17"/>
      <c r="AO1570" s="17"/>
      <c r="AP1570" s="28" t="str">
        <f t="shared" si="467"/>
        <v>20203</v>
      </c>
      <c r="AQ1570" s="28" t="str">
        <f t="shared" si="468"/>
        <v>20203RMB</v>
      </c>
      <c r="AR1570" s="206" t="str">
        <f t="shared" si="469"/>
        <v>HELLER</v>
      </c>
      <c r="AS1570" s="22">
        <f t="shared" si="470"/>
        <v>2</v>
      </c>
      <c r="AT1570" s="24" t="str">
        <f t="shared" si="471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2"/>
        <v>320000</v>
      </c>
      <c r="AA1571" s="13">
        <v>1.18</v>
      </c>
      <c r="AB1571" s="21">
        <f t="shared" si="456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58"/>
        <v>43684091.636631854</v>
      </c>
      <c r="AJ1571" s="19">
        <f t="shared" si="459"/>
        <v>6483951.8242071122</v>
      </c>
      <c r="AK1571" s="20">
        <f t="shared" si="466"/>
        <v>0.14842821680123736</v>
      </c>
      <c r="AL1571" s="17"/>
      <c r="AM1571" s="17"/>
      <c r="AN1571" s="17"/>
      <c r="AO1571" s="17"/>
      <c r="AP1571" s="28" t="str">
        <f t="shared" si="467"/>
        <v>20214</v>
      </c>
      <c r="AQ1571" s="28" t="str">
        <f t="shared" si="468"/>
        <v>20214RMB</v>
      </c>
      <c r="AR1571" s="206" t="str">
        <f t="shared" si="469"/>
        <v>HELLER</v>
      </c>
      <c r="AS1571" s="22">
        <f t="shared" si="470"/>
        <v>3</v>
      </c>
      <c r="AT1571" s="24" t="str">
        <f t="shared" si="471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2"/>
        <v>1225156</v>
      </c>
      <c r="AA1572" s="13">
        <v>1.175</v>
      </c>
      <c r="AB1572" s="21">
        <f t="shared" si="456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58"/>
        <v>48763143.537654862</v>
      </c>
      <c r="AJ1572" s="19">
        <f t="shared" si="459"/>
        <v>5924029.9702154724</v>
      </c>
      <c r="AK1572" s="20">
        <f t="shared" si="466"/>
        <v>0.1214858095774925</v>
      </c>
      <c r="AL1572" s="17"/>
      <c r="AM1572" s="17"/>
      <c r="AN1572" s="17"/>
      <c r="AO1572" s="17"/>
      <c r="AP1572" s="28" t="str">
        <f t="shared" si="467"/>
        <v>202012</v>
      </c>
      <c r="AQ1572" s="28" t="str">
        <f t="shared" si="468"/>
        <v>202012RMB</v>
      </c>
      <c r="AR1572" s="206" t="str">
        <f t="shared" si="469"/>
        <v>YAMAHA_Mounter</v>
      </c>
      <c r="AS1572" s="22">
        <f t="shared" si="470"/>
        <v>3</v>
      </c>
      <c r="AT1572" s="24" t="str">
        <f t="shared" si="471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2"/>
        <v>736000</v>
      </c>
      <c r="AA1573" s="13">
        <v>1.23</v>
      </c>
      <c r="AB1573" s="21">
        <f t="shared" si="456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58"/>
        <v>29288201.603076916</v>
      </c>
      <c r="AJ1573" s="19">
        <f t="shared" si="459"/>
        <v>3870159.1769246152</v>
      </c>
      <c r="AK1573" s="20">
        <f t="shared" si="46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7"/>
        <v>20184</v>
      </c>
      <c r="AQ1573" s="28" t="str">
        <f t="shared" si="468"/>
        <v>20184RMB</v>
      </c>
      <c r="AR1573" s="206" t="str">
        <f t="shared" si="469"/>
        <v>YAMAHA_Mounter</v>
      </c>
      <c r="AS1573" s="22">
        <f t="shared" si="470"/>
        <v>1</v>
      </c>
      <c r="AT1573" s="24" t="str">
        <f t="shared" si="471"/>
        <v>0-3 months</v>
      </c>
      <c r="AU1573" s="22" t="s">
        <v>3744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2"/>
        <v>560000</v>
      </c>
      <c r="AA1574" s="13">
        <v>1.2150000000000001</v>
      </c>
      <c r="AB1574" s="21">
        <f t="shared" si="456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58"/>
        <v>54700260.692079648</v>
      </c>
      <c r="AJ1574" s="19">
        <f t="shared" si="459"/>
        <v>7482899.5749188727</v>
      </c>
      <c r="AK1574" s="20">
        <f t="shared" si="466"/>
        <v>0.13679824337660537</v>
      </c>
      <c r="AL1574" s="17"/>
      <c r="AM1574" s="17"/>
      <c r="AN1574" s="17"/>
      <c r="AO1574" s="17"/>
      <c r="AP1574" s="28" t="str">
        <f t="shared" si="467"/>
        <v>20216</v>
      </c>
      <c r="AQ1574" s="28" t="str">
        <f t="shared" si="468"/>
        <v>20216RMB</v>
      </c>
      <c r="AR1574" s="206" t="str">
        <f t="shared" si="469"/>
        <v>YAMAHA_Mounter</v>
      </c>
      <c r="AS1574" s="22">
        <f t="shared" si="470"/>
        <v>2</v>
      </c>
      <c r="AT1574" s="24" t="str">
        <f t="shared" si="471"/>
        <v>0-3 months</v>
      </c>
      <c r="AU1574" s="22" t="s">
        <v>3751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2"/>
        <v>628000</v>
      </c>
      <c r="AA1575" s="13">
        <v>1.2</v>
      </c>
      <c r="AB1575" s="21">
        <f t="shared" si="456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58"/>
        <v>41443303.53761062</v>
      </c>
      <c r="AJ1575" s="19">
        <f t="shared" si="459"/>
        <v>6194988.76643031</v>
      </c>
      <c r="AK1575" s="20">
        <f t="shared" si="466"/>
        <v>0.1494810557466355</v>
      </c>
      <c r="AL1575" s="17"/>
      <c r="AM1575" s="17"/>
      <c r="AN1575" s="17"/>
      <c r="AO1575" s="17"/>
      <c r="AP1575" s="28" t="str">
        <f t="shared" si="467"/>
        <v>20217</v>
      </c>
      <c r="AQ1575" s="28" t="str">
        <f t="shared" si="468"/>
        <v>20217RMB</v>
      </c>
      <c r="AR1575" s="206" t="str">
        <f t="shared" si="469"/>
        <v>YAMAHA_Mounter</v>
      </c>
      <c r="AS1575" s="22">
        <f t="shared" si="470"/>
        <v>6</v>
      </c>
      <c r="AT1575" s="24" t="str">
        <f t="shared" si="471"/>
        <v>4-6 months</v>
      </c>
      <c r="AU1575" s="22" t="s">
        <v>3744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2"/>
        <v>13506107</v>
      </c>
      <c r="AA1576" s="13">
        <v>7.3499999999999996E-2</v>
      </c>
      <c r="AB1576" s="21">
        <f t="shared" si="456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58"/>
        <v>26147030.909862842</v>
      </c>
      <c r="AJ1576" s="19">
        <f t="shared" si="459"/>
        <v>2743862.8630715334</v>
      </c>
      <c r="AK1576" s="20">
        <f t="shared" si="466"/>
        <v>0.10493974908778378</v>
      </c>
      <c r="AL1576" s="17"/>
      <c r="AM1576" s="17"/>
      <c r="AN1576" s="17"/>
      <c r="AO1576" s="17"/>
      <c r="AP1576" s="28" t="str">
        <f t="shared" si="467"/>
        <v>201911</v>
      </c>
      <c r="AQ1576" s="28" t="str">
        <f t="shared" si="468"/>
        <v>201911JPY</v>
      </c>
      <c r="AR1576" s="206" t="str">
        <f t="shared" si="469"/>
        <v>YAMAHA_Mounter</v>
      </c>
      <c r="AS1576" s="22">
        <f t="shared" si="470"/>
        <v>1</v>
      </c>
      <c r="AT1576" s="24" t="str">
        <f t="shared" si="471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2"/>
        <v>18593732</v>
      </c>
      <c r="AA1577" s="13">
        <v>7.3499999999999996E-2</v>
      </c>
      <c r="AB1577" s="21">
        <f t="shared" si="456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58"/>
        <v>26147030.909862842</v>
      </c>
      <c r="AJ1577" s="19">
        <f t="shared" si="459"/>
        <v>2743862.8630715334</v>
      </c>
      <c r="AK1577" s="20">
        <f t="shared" si="466"/>
        <v>0.10493974908778378</v>
      </c>
      <c r="AL1577" s="17"/>
      <c r="AM1577" s="17"/>
      <c r="AN1577" s="17"/>
      <c r="AO1577" s="17"/>
      <c r="AP1577" s="28" t="str">
        <f t="shared" si="467"/>
        <v>201911</v>
      </c>
      <c r="AQ1577" s="28" t="str">
        <f t="shared" si="468"/>
        <v>201911JPY</v>
      </c>
      <c r="AR1577" s="206" t="str">
        <f t="shared" si="469"/>
        <v>YAMAHA_Mounter</v>
      </c>
      <c r="AS1577" s="22">
        <f t="shared" si="470"/>
        <v>1</v>
      </c>
      <c r="AT1577" s="24" t="str">
        <f t="shared" si="471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2"/>
        <v>897999.7</v>
      </c>
      <c r="AA1578" s="22">
        <v>1.08</v>
      </c>
      <c r="AB1578" s="197">
        <f t="shared" si="456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58"/>
        <v>27308925.887079656</v>
      </c>
      <c r="AJ1578" s="200">
        <f t="shared" si="459"/>
        <v>3319273.860338124</v>
      </c>
      <c r="AK1578" s="201">
        <f t="shared" si="466"/>
        <v>0.12154538314919709</v>
      </c>
      <c r="AL1578" s="24"/>
      <c r="AM1578" s="24"/>
      <c r="AN1578" s="24"/>
      <c r="AO1578" s="24"/>
      <c r="AP1578" s="105" t="str">
        <f t="shared" si="467"/>
        <v>20246</v>
      </c>
      <c r="AQ1578" s="28" t="str">
        <f t="shared" si="468"/>
        <v>20246RMB</v>
      </c>
      <c r="AR1578" s="206" t="str">
        <f t="shared" si="469"/>
        <v>YAMAHA_Mounter</v>
      </c>
      <c r="AS1578" s="22">
        <f t="shared" si="470"/>
        <v>1</v>
      </c>
      <c r="AT1578" s="24" t="str">
        <f t="shared" si="471"/>
        <v>0-3 months</v>
      </c>
      <c r="AU1578" s="22" t="s">
        <v>3751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2"/>
        <v>6565000</v>
      </c>
      <c r="AA1579" s="13">
        <v>7.4899999999999994E-2</v>
      </c>
      <c r="AB1579" s="21">
        <f t="shared" si="456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58"/>
        <v>47907808.356810622</v>
      </c>
      <c r="AJ1579" s="19">
        <f t="shared" si="459"/>
        <v>6027384.8806384448</v>
      </c>
      <c r="AK1579" s="20">
        <f t="shared" si="466"/>
        <v>0.12581216063459488</v>
      </c>
      <c r="AL1579" s="17"/>
      <c r="AM1579" s="17"/>
      <c r="AN1579" s="17"/>
      <c r="AO1579" s="17"/>
      <c r="AP1579" s="28" t="str">
        <f t="shared" si="467"/>
        <v>20209</v>
      </c>
      <c r="AQ1579" s="28" t="str">
        <f t="shared" si="468"/>
        <v>20209JPY</v>
      </c>
      <c r="AR1579" s="206" t="str">
        <f t="shared" si="469"/>
        <v>YAMAHA_Mounter</v>
      </c>
      <c r="AS1579" s="22">
        <f t="shared" si="470"/>
        <v>2</v>
      </c>
      <c r="AT1579" s="24" t="str">
        <f t="shared" si="471"/>
        <v>0-3 months</v>
      </c>
      <c r="AU1579" s="22" t="s">
        <v>3745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2"/>
        <v>6565000</v>
      </c>
      <c r="AA1580" s="13">
        <v>7.4899999999999994E-2</v>
      </c>
      <c r="AB1580" s="21">
        <f t="shared" si="456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58"/>
        <v>47907808.356810622</v>
      </c>
      <c r="AJ1580" s="19">
        <f t="shared" si="459"/>
        <v>6027384.8806384448</v>
      </c>
      <c r="AK1580" s="20">
        <f t="shared" si="466"/>
        <v>0.12581216063459488</v>
      </c>
      <c r="AL1580" s="17"/>
      <c r="AM1580" s="17"/>
      <c r="AN1580" s="17"/>
      <c r="AO1580" s="17"/>
      <c r="AP1580" s="28" t="str">
        <f t="shared" si="467"/>
        <v>20209</v>
      </c>
      <c r="AQ1580" s="28" t="str">
        <f t="shared" si="468"/>
        <v>20209JPY</v>
      </c>
      <c r="AR1580" s="206" t="str">
        <f t="shared" si="469"/>
        <v>YAMAHA_Mounter</v>
      </c>
      <c r="AS1580" s="22">
        <f t="shared" si="470"/>
        <v>2</v>
      </c>
      <c r="AT1580" s="24" t="str">
        <f t="shared" si="471"/>
        <v>0-3 months</v>
      </c>
      <c r="AU1580" s="22" t="s">
        <v>3745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3">IF(W1581="RMB","1.13", "1")</f>
        <v>1.13</v>
      </c>
      <c r="Z1581" s="18">
        <f t="shared" si="472"/>
        <v>850000</v>
      </c>
      <c r="AA1581" s="13">
        <v>1.22</v>
      </c>
      <c r="AB1581" s="21">
        <f t="shared" si="456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58"/>
        <v>26407088.359292038</v>
      </c>
      <c r="AJ1581" s="19">
        <f t="shared" si="459"/>
        <v>3424510.6998470789</v>
      </c>
      <c r="AK1581" s="20">
        <f t="shared" si="466"/>
        <v>0.12968149510667554</v>
      </c>
      <c r="AL1581" s="17"/>
      <c r="AM1581" s="17"/>
      <c r="AN1581" s="17"/>
      <c r="AO1581" s="17"/>
      <c r="AP1581" s="28" t="str">
        <f t="shared" si="467"/>
        <v>20221</v>
      </c>
      <c r="AQ1581" s="28" t="str">
        <f t="shared" si="468"/>
        <v>20221RMB</v>
      </c>
      <c r="AR1581" s="206" t="str">
        <f t="shared" si="469"/>
        <v>YAMAHA_Mounter</v>
      </c>
      <c r="AS1581" s="22">
        <f t="shared" si="470"/>
        <v>1</v>
      </c>
      <c r="AT1581" s="24" t="str">
        <f t="shared" si="471"/>
        <v>0-3 months</v>
      </c>
      <c r="AU1581" s="22" t="s">
        <v>3751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3"/>
        <v>1.13</v>
      </c>
      <c r="Z1582" s="18">
        <f t="shared" si="472"/>
        <v>548800</v>
      </c>
      <c r="AA1582" s="13">
        <v>1.22</v>
      </c>
      <c r="AB1582" s="21">
        <f t="shared" si="456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58"/>
        <v>31750699.113741599</v>
      </c>
      <c r="AJ1582" s="19">
        <f t="shared" si="459"/>
        <v>4396077.3195289988</v>
      </c>
      <c r="AK1582" s="20">
        <f t="shared" si="466"/>
        <v>0.13845607946397598</v>
      </c>
      <c r="AL1582" s="17"/>
      <c r="AM1582" s="17"/>
      <c r="AN1582" s="17"/>
      <c r="AO1582" s="17"/>
      <c r="AP1582" s="28" t="str">
        <f t="shared" si="467"/>
        <v>20222</v>
      </c>
      <c r="AQ1582" s="28" t="str">
        <f t="shared" si="468"/>
        <v>20222RMB</v>
      </c>
      <c r="AR1582" s="206" t="str">
        <f t="shared" si="469"/>
        <v>YAMAHA_Mounter</v>
      </c>
      <c r="AS1582" s="22">
        <f t="shared" si="470"/>
        <v>2</v>
      </c>
      <c r="AT1582" s="24" t="str">
        <f t="shared" si="471"/>
        <v>0-3 months</v>
      </c>
      <c r="AU1582" s="22" t="s">
        <v>3751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3"/>
        <v>1</v>
      </c>
      <c r="Z1583" s="18">
        <f t="shared" si="472"/>
        <v>13240000</v>
      </c>
      <c r="AA1583" s="13">
        <v>7.0000000000000007E-2</v>
      </c>
      <c r="AB1583" s="21">
        <f t="shared" si="456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58"/>
        <v>499582152.5142017</v>
      </c>
      <c r="AJ1583" s="19">
        <f t="shared" si="459"/>
        <v>59520528.679470733</v>
      </c>
      <c r="AK1583" s="20">
        <f t="shared" si="466"/>
        <v>0.11914062257814291</v>
      </c>
      <c r="AL1583" s="17"/>
      <c r="AM1583" s="17"/>
      <c r="AN1583" s="17"/>
      <c r="AO1583" s="17"/>
      <c r="AP1583" s="28" t="str">
        <f t="shared" si="467"/>
        <v>CancelCancel</v>
      </c>
      <c r="AQ1583" s="28" t="str">
        <f t="shared" si="468"/>
        <v>CancelCancelJPY</v>
      </c>
      <c r="AR1583" s="206" t="str">
        <f t="shared" si="469"/>
        <v>YAMAHA_Mounter</v>
      </c>
      <c r="AS1583" s="22" t="str">
        <f t="shared" si="470"/>
        <v/>
      </c>
      <c r="AT1583" s="24" t="str">
        <f t="shared" si="471"/>
        <v/>
      </c>
      <c r="AU1583" s="22" t="s">
        <v>3751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3"/>
        <v>1</v>
      </c>
      <c r="Z1584" s="18">
        <f t="shared" si="472"/>
        <v>8000000</v>
      </c>
      <c r="AA1584" s="13">
        <v>7.0000000000000007E-2</v>
      </c>
      <c r="AB1584" s="21">
        <f t="shared" si="456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58"/>
        <v>499582152.5142017</v>
      </c>
      <c r="AJ1584" s="19">
        <f t="shared" si="459"/>
        <v>59520528.679470733</v>
      </c>
      <c r="AK1584" s="20">
        <f t="shared" si="466"/>
        <v>0.11914062257814291</v>
      </c>
      <c r="AL1584" s="17"/>
      <c r="AM1584" s="17"/>
      <c r="AN1584" s="17"/>
      <c r="AO1584" s="17"/>
      <c r="AP1584" s="28" t="str">
        <f t="shared" si="467"/>
        <v>CancelCancel</v>
      </c>
      <c r="AQ1584" s="28" t="str">
        <f t="shared" si="468"/>
        <v>CancelCancelJPY</v>
      </c>
      <c r="AR1584" s="206" t="str">
        <f t="shared" si="469"/>
        <v>YAMAHA_Mounter</v>
      </c>
      <c r="AS1584" s="22" t="str">
        <f t="shared" si="470"/>
        <v/>
      </c>
      <c r="AT1584" s="24" t="str">
        <f t="shared" si="471"/>
        <v/>
      </c>
      <c r="AU1584" s="22" t="s">
        <v>3745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3"/>
        <v>1.13</v>
      </c>
      <c r="Z1585" s="18">
        <f t="shared" si="472"/>
        <v>285000</v>
      </c>
      <c r="AA1585" s="13">
        <v>1.105</v>
      </c>
      <c r="AB1585" s="21">
        <f t="shared" si="456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58"/>
        <v>13640480.497522123</v>
      </c>
      <c r="AJ1585" s="19">
        <f t="shared" si="459"/>
        <v>1928605.8020906283</v>
      </c>
      <c r="AK1585" s="20">
        <f t="shared" si="466"/>
        <v>0.1413884065477731</v>
      </c>
      <c r="AL1585" s="17"/>
      <c r="AM1585" s="17"/>
      <c r="AN1585" s="17"/>
      <c r="AO1585" s="17"/>
      <c r="AP1585" s="28" t="str">
        <f t="shared" si="467"/>
        <v>20236</v>
      </c>
      <c r="AQ1585" s="28" t="str">
        <f t="shared" si="468"/>
        <v>20236RMB</v>
      </c>
      <c r="AR1585" s="206" t="str">
        <f t="shared" si="469"/>
        <v>YAMAHA_Mounter</v>
      </c>
      <c r="AS1585" s="22">
        <f t="shared" si="470"/>
        <v>1</v>
      </c>
      <c r="AT1585" s="24" t="str">
        <f t="shared" si="471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3"/>
        <v>1.13</v>
      </c>
      <c r="Z1586" s="18">
        <f t="shared" si="472"/>
        <v>285000</v>
      </c>
      <c r="AA1586" s="13">
        <v>1.07</v>
      </c>
      <c r="AB1586" s="21">
        <f t="shared" si="456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58"/>
        <v>11730565.00042478</v>
      </c>
      <c r="AJ1586" s="19">
        <f t="shared" si="459"/>
        <v>1439625.5685810833</v>
      </c>
      <c r="AK1586" s="20">
        <f t="shared" si="466"/>
        <v>0.12272431622253084</v>
      </c>
      <c r="AL1586" s="17"/>
      <c r="AM1586" s="17"/>
      <c r="AN1586" s="17"/>
      <c r="AO1586" s="17"/>
      <c r="AP1586" s="28" t="str">
        <f t="shared" si="467"/>
        <v>202311</v>
      </c>
      <c r="AQ1586" s="28" t="str">
        <f t="shared" si="468"/>
        <v>202311RMB</v>
      </c>
      <c r="AR1586" s="206" t="str">
        <f t="shared" si="469"/>
        <v>YAMAHA_Mounter</v>
      </c>
      <c r="AS1586" s="22">
        <f t="shared" si="470"/>
        <v>6</v>
      </c>
      <c r="AT1586" s="24" t="str">
        <f t="shared" si="471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2"/>
        <v>601800</v>
      </c>
      <c r="AA1587" s="13">
        <v>1.18</v>
      </c>
      <c r="AB1587" s="21">
        <f t="shared" si="456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58"/>
        <v>29946107.503386207</v>
      </c>
      <c r="AJ1587" s="19">
        <f t="shared" si="459"/>
        <v>3987206.4954923098</v>
      </c>
      <c r="AK1587" s="20">
        <f t="shared" si="46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7"/>
        <v>20187</v>
      </c>
      <c r="AQ1587" s="28" t="str">
        <f t="shared" si="468"/>
        <v>20187RMB</v>
      </c>
      <c r="AR1587" s="206" t="str">
        <f t="shared" si="469"/>
        <v>YAMAHA_Mounter</v>
      </c>
      <c r="AS1587" s="22">
        <f t="shared" si="470"/>
        <v>5</v>
      </c>
      <c r="AT1587" s="24" t="str">
        <f t="shared" si="471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2"/>
        <v>1861774</v>
      </c>
      <c r="AA1588" s="13">
        <v>1.18</v>
      </c>
      <c r="AB1588" s="21">
        <f t="shared" si="456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58"/>
        <v>29946107.503386207</v>
      </c>
      <c r="AJ1588" s="19">
        <f t="shared" si="459"/>
        <v>3987206.4954923098</v>
      </c>
      <c r="AK1588" s="20">
        <f t="shared" si="466"/>
        <v>0.13314606898547499</v>
      </c>
      <c r="AL1588" s="17"/>
      <c r="AM1588" s="17"/>
      <c r="AN1588" s="17"/>
      <c r="AO1588" s="17"/>
      <c r="AP1588" s="28" t="str">
        <f t="shared" si="467"/>
        <v>20187</v>
      </c>
      <c r="AQ1588" s="28" t="str">
        <f t="shared" si="468"/>
        <v>20187RMB</v>
      </c>
      <c r="AR1588" s="206" t="str">
        <f t="shared" si="469"/>
        <v>YAMAHA_Mounter</v>
      </c>
      <c r="AS1588" s="22">
        <f t="shared" si="470"/>
        <v>2</v>
      </c>
      <c r="AT1588" s="24" t="str">
        <f t="shared" si="471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2"/>
        <v>1907200</v>
      </c>
      <c r="AA1589" s="13">
        <v>1.23</v>
      </c>
      <c r="AB1589" s="21">
        <f t="shared" si="456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58"/>
        <v>29288201.603076916</v>
      </c>
      <c r="AJ1589" s="19">
        <f t="shared" si="459"/>
        <v>3870159.1769246152</v>
      </c>
      <c r="AK1589" s="20">
        <f t="shared" si="466"/>
        <v>0.13214055370740244</v>
      </c>
      <c r="AL1589" s="17"/>
      <c r="AM1589" s="17"/>
      <c r="AN1589" s="17"/>
      <c r="AO1589" s="17"/>
      <c r="AP1589" s="28" t="str">
        <f t="shared" si="467"/>
        <v>20184</v>
      </c>
      <c r="AQ1589" s="28" t="str">
        <f t="shared" si="468"/>
        <v>20184RMB</v>
      </c>
      <c r="AR1589" s="206" t="str">
        <f t="shared" si="469"/>
        <v>YAMAHA_Mounter</v>
      </c>
      <c r="AS1589" s="22" t="str">
        <f t="shared" si="470"/>
        <v/>
      </c>
      <c r="AT1589" s="24" t="str">
        <f t="shared" si="471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2"/>
        <v>675821.4</v>
      </c>
      <c r="AA1590" s="13">
        <v>1.123</v>
      </c>
      <c r="AB1590" s="21">
        <f t="shared" ref="AB1590:AB1653" si="474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58"/>
        <v>499582152.5142017</v>
      </c>
      <c r="AJ1590" s="19">
        <f t="shared" si="459"/>
        <v>59520528.679470733</v>
      </c>
      <c r="AK1590" s="20">
        <f t="shared" si="466"/>
        <v>0.11914062257814291</v>
      </c>
      <c r="AL1590" s="17"/>
      <c r="AM1590" s="17"/>
      <c r="AN1590" s="17"/>
      <c r="AO1590" s="17"/>
      <c r="AP1590" s="28" t="str">
        <f t="shared" si="467"/>
        <v>CancelCancel</v>
      </c>
      <c r="AQ1590" s="28" t="str">
        <f t="shared" si="468"/>
        <v>CancelCancelRMB</v>
      </c>
      <c r="AR1590" s="206" t="str">
        <f t="shared" si="469"/>
        <v>YAMAHA_Mounter</v>
      </c>
      <c r="AS1590" s="22" t="str">
        <f t="shared" si="470"/>
        <v/>
      </c>
      <c r="AT1590" s="24" t="str">
        <f t="shared" si="471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2"/>
        <v>1700000</v>
      </c>
      <c r="AA1591" s="13">
        <v>1.1599999999999999</v>
      </c>
      <c r="AB1591" s="21">
        <f t="shared" si="474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58"/>
        <v>14593788.187146019</v>
      </c>
      <c r="AJ1591" s="19">
        <f t="shared" si="459"/>
        <v>1868647.7321969916</v>
      </c>
      <c r="AK1591" s="20">
        <f t="shared" si="466"/>
        <v>0.12804404916900652</v>
      </c>
      <c r="AL1591" s="17"/>
      <c r="AM1591" s="17"/>
      <c r="AN1591" s="17"/>
      <c r="AO1591" s="17" t="s">
        <v>880</v>
      </c>
      <c r="AP1591" s="28" t="str">
        <f t="shared" si="467"/>
        <v>20195</v>
      </c>
      <c r="AQ1591" s="28" t="str">
        <f t="shared" si="468"/>
        <v>20195RMB</v>
      </c>
      <c r="AR1591" s="206" t="str">
        <f t="shared" si="469"/>
        <v>YAMAHA_Mounter</v>
      </c>
      <c r="AS1591" s="22">
        <f t="shared" si="470"/>
        <v>2</v>
      </c>
      <c r="AT1591" s="24" t="str">
        <f t="shared" si="471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2"/>
        <v>1410000</v>
      </c>
      <c r="AA1592" s="13">
        <v>1.1599999999999999</v>
      </c>
      <c r="AB1592" s="21">
        <f t="shared" si="474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58"/>
        <v>14593788.187146019</v>
      </c>
      <c r="AJ1592" s="19">
        <f t="shared" si="459"/>
        <v>1868647.7321969916</v>
      </c>
      <c r="AK1592" s="20">
        <f t="shared" si="466"/>
        <v>0.12804404916900652</v>
      </c>
      <c r="AL1592" s="17"/>
      <c r="AM1592" s="17"/>
      <c r="AN1592" s="17"/>
      <c r="AO1592" s="17" t="s">
        <v>880</v>
      </c>
      <c r="AP1592" s="28" t="str">
        <f t="shared" si="467"/>
        <v>20195</v>
      </c>
      <c r="AQ1592" s="28" t="str">
        <f t="shared" si="468"/>
        <v>20195RMB</v>
      </c>
      <c r="AR1592" s="206" t="str">
        <f t="shared" si="469"/>
        <v>YAMAHA_Mounter</v>
      </c>
      <c r="AS1592" s="22">
        <f t="shared" si="470"/>
        <v>2</v>
      </c>
      <c r="AT1592" s="24" t="str">
        <f t="shared" si="471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2"/>
        <v>754000</v>
      </c>
      <c r="AA1593" s="13">
        <v>1.135</v>
      </c>
      <c r="AB1593" s="21">
        <f t="shared" si="474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58"/>
        <v>28177779.013274338</v>
      </c>
      <c r="AJ1593" s="19">
        <f t="shared" si="459"/>
        <v>4727216.6376190251</v>
      </c>
      <c r="AK1593" s="20">
        <f t="shared" si="466"/>
        <v>0.1677639900359808</v>
      </c>
      <c r="AL1593" s="17"/>
      <c r="AM1593" s="17"/>
      <c r="AN1593" s="17"/>
      <c r="AO1593" s="17"/>
      <c r="AP1593" s="28" t="str">
        <f t="shared" si="467"/>
        <v>20235</v>
      </c>
      <c r="AQ1593" s="28" t="str">
        <f t="shared" si="468"/>
        <v>20235RMB</v>
      </c>
      <c r="AR1593" s="206" t="str">
        <f t="shared" si="469"/>
        <v>YAMAHA_Mounter</v>
      </c>
      <c r="AS1593" s="22">
        <f t="shared" si="470"/>
        <v>3</v>
      </c>
      <c r="AT1593" s="24" t="str">
        <f t="shared" si="471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2"/>
        <v>754000</v>
      </c>
      <c r="AA1594" s="13">
        <v>1.135</v>
      </c>
      <c r="AB1594" s="21">
        <f t="shared" si="474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58"/>
        <v>28177779.013274338</v>
      </c>
      <c r="AJ1594" s="19">
        <f t="shared" si="459"/>
        <v>4727216.6376190251</v>
      </c>
      <c r="AK1594" s="20">
        <f t="shared" si="466"/>
        <v>0.1677639900359808</v>
      </c>
      <c r="AL1594" s="17"/>
      <c r="AM1594" s="17"/>
      <c r="AN1594" s="17"/>
      <c r="AO1594" s="17"/>
      <c r="AP1594" s="28" t="str">
        <f t="shared" si="467"/>
        <v>20235</v>
      </c>
      <c r="AQ1594" s="28" t="str">
        <f t="shared" si="468"/>
        <v>20235RMB</v>
      </c>
      <c r="AR1594" s="206" t="str">
        <f t="shared" si="469"/>
        <v>YAMAHA_Mounter</v>
      </c>
      <c r="AS1594" s="22">
        <f t="shared" si="470"/>
        <v>3</v>
      </c>
      <c r="AT1594" s="24" t="str">
        <f t="shared" si="471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2"/>
        <v>800000</v>
      </c>
      <c r="AA1595" s="13">
        <v>1.135</v>
      </c>
      <c r="AB1595" s="21">
        <f t="shared" si="474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58"/>
        <v>28177779.013274338</v>
      </c>
      <c r="AJ1595" s="19">
        <f t="shared" si="459"/>
        <v>4727216.6376190251</v>
      </c>
      <c r="AK1595" s="20">
        <f t="shared" si="466"/>
        <v>0.1677639900359808</v>
      </c>
      <c r="AL1595" s="17"/>
      <c r="AM1595" s="17"/>
      <c r="AN1595" s="17"/>
      <c r="AO1595" s="17"/>
      <c r="AP1595" s="28" t="str">
        <f t="shared" si="467"/>
        <v>20235</v>
      </c>
      <c r="AQ1595" s="28" t="str">
        <f t="shared" si="468"/>
        <v>20235RMB</v>
      </c>
      <c r="AR1595" s="206" t="str">
        <f t="shared" si="469"/>
        <v>YAMAHA_Mounter</v>
      </c>
      <c r="AS1595" s="22">
        <f t="shared" si="470"/>
        <v>3</v>
      </c>
      <c r="AT1595" s="24" t="str">
        <f t="shared" si="471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2"/>
        <v>800000</v>
      </c>
      <c r="AA1596" s="13">
        <v>1.135</v>
      </c>
      <c r="AB1596" s="21">
        <f t="shared" si="474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58"/>
        <v>28177779.013274338</v>
      </c>
      <c r="AJ1596" s="19">
        <f t="shared" si="459"/>
        <v>4727216.6376190251</v>
      </c>
      <c r="AK1596" s="20">
        <f t="shared" si="466"/>
        <v>0.1677639900359808</v>
      </c>
      <c r="AL1596" s="17"/>
      <c r="AM1596" s="17"/>
      <c r="AN1596" s="17"/>
      <c r="AO1596" s="17"/>
      <c r="AP1596" s="28" t="str">
        <f t="shared" si="467"/>
        <v>20235</v>
      </c>
      <c r="AQ1596" s="28" t="str">
        <f t="shared" si="468"/>
        <v>20235RMB</v>
      </c>
      <c r="AR1596" s="206" t="str">
        <f t="shared" si="469"/>
        <v>YAMAHA_Mounter</v>
      </c>
      <c r="AS1596" s="22">
        <f t="shared" si="470"/>
        <v>3</v>
      </c>
      <c r="AT1596" s="24" t="str">
        <f t="shared" si="471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2"/>
        <v>615000</v>
      </c>
      <c r="AA1597" s="13">
        <v>1.18</v>
      </c>
      <c r="AB1597" s="21">
        <f t="shared" si="474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58"/>
        <v>29946107.503386207</v>
      </c>
      <c r="AJ1597" s="19">
        <f t="shared" si="459"/>
        <v>3987206.4954923098</v>
      </c>
      <c r="AK1597" s="20">
        <f t="shared" si="466"/>
        <v>0.13314606898547499</v>
      </c>
      <c r="AL1597" s="17"/>
      <c r="AM1597" s="17"/>
      <c r="AN1597" s="17"/>
      <c r="AO1597" s="17"/>
      <c r="AP1597" s="28" t="str">
        <f t="shared" si="467"/>
        <v>20187</v>
      </c>
      <c r="AQ1597" s="28" t="str">
        <f t="shared" si="468"/>
        <v>20187RMB</v>
      </c>
      <c r="AR1597" s="206" t="str">
        <f t="shared" si="469"/>
        <v>YAMAHA_Mounter</v>
      </c>
      <c r="AS1597" s="22">
        <f t="shared" si="470"/>
        <v>1</v>
      </c>
      <c r="AT1597" s="24" t="str">
        <f t="shared" si="471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2"/>
        <v>1088000</v>
      </c>
      <c r="AA1598" s="13">
        <v>1.18</v>
      </c>
      <c r="AB1598" s="21">
        <f t="shared" si="474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58"/>
        <v>29946107.503386207</v>
      </c>
      <c r="AJ1598" s="19">
        <f t="shared" si="459"/>
        <v>3987206.4954923098</v>
      </c>
      <c r="AK1598" s="20">
        <f t="shared" si="466"/>
        <v>0.13314606898547499</v>
      </c>
      <c r="AL1598" s="17"/>
      <c r="AM1598" s="17"/>
      <c r="AN1598" s="17"/>
      <c r="AO1598" s="17"/>
      <c r="AP1598" s="28" t="str">
        <f t="shared" si="467"/>
        <v>20187</v>
      </c>
      <c r="AQ1598" s="28" t="str">
        <f t="shared" si="468"/>
        <v>20187RMB</v>
      </c>
      <c r="AR1598" s="206" t="str">
        <f t="shared" si="469"/>
        <v>YAMAHA_Mounter</v>
      </c>
      <c r="AS1598" s="22">
        <f t="shared" si="470"/>
        <v>2</v>
      </c>
      <c r="AT1598" s="24" t="str">
        <f t="shared" si="471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2"/>
        <v>598000</v>
      </c>
      <c r="AA1599" s="13">
        <v>1.18</v>
      </c>
      <c r="AB1599" s="21">
        <f t="shared" si="474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58"/>
        <v>43684091.636631854</v>
      </c>
      <c r="AJ1599" s="19">
        <f t="shared" si="459"/>
        <v>6483951.8242071122</v>
      </c>
      <c r="AK1599" s="20">
        <f t="shared" si="466"/>
        <v>0.14842821680123736</v>
      </c>
      <c r="AL1599" s="17"/>
      <c r="AM1599" s="17"/>
      <c r="AN1599" s="17"/>
      <c r="AO1599" s="17"/>
      <c r="AP1599" s="28" t="str">
        <f t="shared" si="467"/>
        <v>20214</v>
      </c>
      <c r="AQ1599" s="28" t="str">
        <f t="shared" si="468"/>
        <v>20214RMB</v>
      </c>
      <c r="AR1599" s="206" t="str">
        <f t="shared" si="469"/>
        <v>YAMAHA_Mounter</v>
      </c>
      <c r="AS1599" s="22">
        <f t="shared" si="470"/>
        <v>2</v>
      </c>
      <c r="AT1599" s="24" t="str">
        <f t="shared" si="471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2"/>
        <v>800000</v>
      </c>
      <c r="AA1600" s="13">
        <v>1.18</v>
      </c>
      <c r="AB1600" s="21">
        <f t="shared" si="474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58"/>
        <v>43684091.636631854</v>
      </c>
      <c r="AJ1600" s="19">
        <f t="shared" si="459"/>
        <v>6483951.8242071122</v>
      </c>
      <c r="AK1600" s="20">
        <f t="shared" si="466"/>
        <v>0.14842821680123736</v>
      </c>
      <c r="AL1600" s="17"/>
      <c r="AM1600" s="17"/>
      <c r="AN1600" s="17"/>
      <c r="AO1600" s="17"/>
      <c r="AP1600" s="28" t="str">
        <f t="shared" si="467"/>
        <v>20214</v>
      </c>
      <c r="AQ1600" s="28" t="str">
        <f t="shared" si="468"/>
        <v>20214RMB</v>
      </c>
      <c r="AR1600" s="206" t="str">
        <f t="shared" si="469"/>
        <v>YAMAHA_Mounter</v>
      </c>
      <c r="AS1600" s="22">
        <f t="shared" si="470"/>
        <v>2</v>
      </c>
      <c r="AT1600" s="24" t="str">
        <f t="shared" si="471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2"/>
        <v>11000000</v>
      </c>
      <c r="AA1601" s="13">
        <v>5.0999999999999997E-2</v>
      </c>
      <c r="AB1601" s="21">
        <f t="shared" si="474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58"/>
        <v>27308925.887079656</v>
      </c>
      <c r="AJ1601" s="27">
        <f t="shared" si="459"/>
        <v>3319273.860338124</v>
      </c>
      <c r="AK1601" s="28">
        <f t="shared" si="466"/>
        <v>0.12154538314919709</v>
      </c>
      <c r="AL1601" s="24"/>
      <c r="AM1601" s="24"/>
      <c r="AN1601" s="24"/>
      <c r="AO1601" s="24"/>
      <c r="AP1601" s="28" t="str">
        <f t="shared" si="467"/>
        <v>20246</v>
      </c>
      <c r="AQ1601" s="28" t="str">
        <f t="shared" si="468"/>
        <v>20246JPY</v>
      </c>
      <c r="AR1601" s="206" t="str">
        <f t="shared" si="469"/>
        <v>YAMAHA_Mounter</v>
      </c>
      <c r="AS1601" s="22">
        <f t="shared" si="470"/>
        <v>3</v>
      </c>
      <c r="AT1601" s="24" t="str">
        <f t="shared" si="471"/>
        <v>0-3 months</v>
      </c>
      <c r="AU1601" s="22" t="s">
        <v>3745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2"/>
        <v>11000000</v>
      </c>
      <c r="AA1602" s="13">
        <v>5.0999999999999997E-2</v>
      </c>
      <c r="AB1602" s="21">
        <f t="shared" si="474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75">IF(P1602="C66 SERVICE","",SUMIFS(AB:AB,F:F,F1602,G:G,G1602,E:E,E1602))</f>
        <v>27308925.887079656</v>
      </c>
      <c r="AJ1602" s="27">
        <f t="shared" ref="AJ1602:AJ1665" si="476">IF(P1602="C66 SERVICE","",SUMIFS(AC:AC,F:F,F1602,G:G,G1602,E:E,E1602))</f>
        <v>3319273.860338124</v>
      </c>
      <c r="AK1602" s="28">
        <f t="shared" si="466"/>
        <v>0.12154538314919709</v>
      </c>
      <c r="AL1602" s="24"/>
      <c r="AM1602" s="24"/>
      <c r="AN1602" s="24"/>
      <c r="AO1602" s="24"/>
      <c r="AP1602" s="28" t="str">
        <f t="shared" si="467"/>
        <v>20246</v>
      </c>
      <c r="AQ1602" s="28" t="str">
        <f t="shared" si="468"/>
        <v>20246JPY</v>
      </c>
      <c r="AR1602" s="206" t="str">
        <f t="shared" si="469"/>
        <v>YAMAHA_Mounter</v>
      </c>
      <c r="AS1602" s="22">
        <f t="shared" si="470"/>
        <v>3</v>
      </c>
      <c r="AT1602" s="24" t="str">
        <f t="shared" si="471"/>
        <v>0-3 months</v>
      </c>
      <c r="AU1602" s="22" t="s">
        <v>3745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6">
        <v>11000000</v>
      </c>
      <c r="Y1603" s="31" t="str">
        <f>IF(W1603="","",IF(W1603="RMB","1.13", "1"))</f>
        <v>1</v>
      </c>
      <c r="Z1603" s="18">
        <f t="shared" si="472"/>
        <v>11000000</v>
      </c>
      <c r="AA1603" s="13">
        <v>5.0999999999999997E-2</v>
      </c>
      <c r="AB1603" s="21">
        <f t="shared" si="474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75"/>
        <v>27308925.887079656</v>
      </c>
      <c r="AJ1603" s="27">
        <f t="shared" si="476"/>
        <v>3319273.860338124</v>
      </c>
      <c r="AK1603" s="28">
        <f t="shared" si="466"/>
        <v>0.12154538314919709</v>
      </c>
      <c r="AL1603" s="24"/>
      <c r="AM1603" s="24"/>
      <c r="AN1603" s="24"/>
      <c r="AO1603" s="24"/>
      <c r="AP1603" s="28" t="str">
        <f t="shared" si="467"/>
        <v>20246</v>
      </c>
      <c r="AQ1603" s="28" t="str">
        <f t="shared" si="468"/>
        <v>20246JPY</v>
      </c>
      <c r="AR1603" s="206" t="str">
        <f t="shared" si="469"/>
        <v>YAMAHA_Mounter</v>
      </c>
      <c r="AS1603" s="22">
        <f t="shared" si="470"/>
        <v>3</v>
      </c>
      <c r="AT1603" s="24" t="str">
        <f t="shared" si="471"/>
        <v>0-3 months</v>
      </c>
      <c r="AU1603" s="22" t="s">
        <v>3745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2"/>
        <v>663000</v>
      </c>
      <c r="AA1604" s="22">
        <v>1.095</v>
      </c>
      <c r="AB1604" s="21">
        <f t="shared" si="474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75"/>
        <v>10271727.486725664</v>
      </c>
      <c r="AJ1604" s="27">
        <f t="shared" si="476"/>
        <v>1227228.7260761063</v>
      </c>
      <c r="AK1604" s="28">
        <f t="shared" si="466"/>
        <v>0.11947637120066472</v>
      </c>
      <c r="AL1604" s="24"/>
      <c r="AM1604" s="24"/>
      <c r="AN1604" s="24"/>
      <c r="AO1604" s="24"/>
      <c r="AP1604" s="28" t="str">
        <f t="shared" si="467"/>
        <v>202312</v>
      </c>
      <c r="AQ1604" s="28" t="str">
        <f t="shared" si="468"/>
        <v>202312RMB</v>
      </c>
      <c r="AR1604" s="206" t="str">
        <f t="shared" si="469"/>
        <v>YAMAHA_Mounter</v>
      </c>
      <c r="AS1604" s="22">
        <f t="shared" si="470"/>
        <v>0</v>
      </c>
      <c r="AT1604" s="24" t="str">
        <f t="shared" si="471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2"/>
        <v>760000</v>
      </c>
      <c r="AA1605" s="13">
        <v>1.1499999999999999</v>
      </c>
      <c r="AB1605" s="21">
        <f t="shared" si="474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75"/>
        <v>26492741.106427077</v>
      </c>
      <c r="AJ1605" s="19">
        <f t="shared" si="476"/>
        <v>3348032.1325698122</v>
      </c>
      <c r="AK1605" s="20">
        <f t="shared" si="466"/>
        <v>0.12637545201985867</v>
      </c>
      <c r="AL1605" s="17"/>
      <c r="AM1605" s="17"/>
      <c r="AN1605" s="17"/>
      <c r="AO1605" s="17"/>
      <c r="AP1605" s="28" t="str">
        <f t="shared" si="467"/>
        <v>20189</v>
      </c>
      <c r="AQ1605" s="28" t="str">
        <f t="shared" si="468"/>
        <v>20189RMB</v>
      </c>
      <c r="AR1605" s="206" t="str">
        <f t="shared" si="469"/>
        <v>YAMAHA_Mounter</v>
      </c>
      <c r="AS1605" s="22">
        <f t="shared" si="470"/>
        <v>1</v>
      </c>
      <c r="AT1605" s="24" t="str">
        <f t="shared" si="471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2"/>
        <v>640000</v>
      </c>
      <c r="AA1606" s="13">
        <v>1.1499999999999999</v>
      </c>
      <c r="AB1606" s="21">
        <f t="shared" si="474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75"/>
        <v>26492741.106427077</v>
      </c>
      <c r="AJ1606" s="19">
        <f t="shared" si="476"/>
        <v>3348032.1325698122</v>
      </c>
      <c r="AK1606" s="20">
        <f t="shared" ref="AK1606:AK1669" si="483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4">IF(F1606="","",F1606&amp;G1606)</f>
        <v>20189</v>
      </c>
      <c r="AQ1606" s="28" t="str">
        <f t="shared" ref="AQ1606:AQ1669" si="485">IF(W1606="","",F1606&amp;G1606&amp;W1606)</f>
        <v>20189RMB</v>
      </c>
      <c r="AR1606" s="206" t="str">
        <f t="shared" ref="AR1606:AR1669" si="486">IFERROR(IF(AND(M1606="YAMAHA", R1606="C28"), "YAMAHA_Non_Mounter", IF(AND(M1606="YAMAHA", R1606="C49"), "YAMAHA_Mounter", M1606)),"")</f>
        <v>YAMAHA_Mounter</v>
      </c>
      <c r="AS1606" s="22">
        <f t="shared" ref="AS1606:AS1669" si="487">IFERROR(IF(OR(G1606="TBA", G1606=""), "", DATEDIF(DATE(B1606, C1606, 1), DATE(F1606, G1606, 1), "M")),"")</f>
        <v>3</v>
      </c>
      <c r="AT1606" s="24" t="str">
        <f t="shared" ref="AT1606:AT1669" si="488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2"/>
        <v>980000</v>
      </c>
      <c r="AA1607" s="13">
        <v>1.095</v>
      </c>
      <c r="AB1607" s="21">
        <f t="shared" si="474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75"/>
        <v>28065694.408805311</v>
      </c>
      <c r="AJ1607" s="19">
        <f t="shared" si="476"/>
        <v>4157433.2906989697</v>
      </c>
      <c r="AK1607" s="20">
        <f t="shared" si="483"/>
        <v>0.14813220831602228</v>
      </c>
      <c r="AL1607" s="17"/>
      <c r="AM1607" s="17"/>
      <c r="AN1607" s="17"/>
      <c r="AO1607" s="17"/>
      <c r="AP1607" s="28" t="str">
        <f t="shared" si="484"/>
        <v>20205</v>
      </c>
      <c r="AQ1607" s="28" t="str">
        <f t="shared" si="485"/>
        <v>20205RMB</v>
      </c>
      <c r="AR1607" s="206" t="str">
        <f t="shared" si="486"/>
        <v>YAMAHA_Mounter</v>
      </c>
      <c r="AS1607" s="22">
        <f t="shared" si="487"/>
        <v>0</v>
      </c>
      <c r="AT1607" s="24" t="str">
        <f t="shared" si="488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2"/>
        <v>870600</v>
      </c>
      <c r="AA1608" s="13">
        <v>1.23</v>
      </c>
      <c r="AB1608" s="21">
        <f t="shared" si="474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75"/>
        <v>29288201.603076916</v>
      </c>
      <c r="AJ1608" s="19">
        <f t="shared" si="476"/>
        <v>3870159.1769246152</v>
      </c>
      <c r="AK1608" s="20">
        <f t="shared" si="483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4"/>
        <v>20184</v>
      </c>
      <c r="AQ1608" s="28" t="str">
        <f t="shared" si="485"/>
        <v>20184RMB</v>
      </c>
      <c r="AR1608" s="206" t="str">
        <f t="shared" si="486"/>
        <v>YAMAHA_Mounter</v>
      </c>
      <c r="AS1608" s="22">
        <f t="shared" si="487"/>
        <v>0</v>
      </c>
      <c r="AT1608" s="24" t="str">
        <f t="shared" si="488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2"/>
        <v>851500</v>
      </c>
      <c r="AA1609" s="13">
        <v>1.135</v>
      </c>
      <c r="AB1609" s="21">
        <f t="shared" si="474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75"/>
        <v>21386017.707964607</v>
      </c>
      <c r="AJ1609" s="19">
        <f t="shared" si="476"/>
        <v>2238764.3265707968</v>
      </c>
      <c r="AK1609" s="20">
        <f t="shared" si="483"/>
        <v>0.10468355339185161</v>
      </c>
      <c r="AL1609" s="17"/>
      <c r="AM1609" s="17"/>
      <c r="AN1609" s="17"/>
      <c r="AO1609" s="17"/>
      <c r="AP1609" s="28" t="str">
        <f t="shared" si="484"/>
        <v>20198</v>
      </c>
      <c r="AQ1609" s="28" t="str">
        <f t="shared" si="485"/>
        <v>20198RMB</v>
      </c>
      <c r="AR1609" s="206" t="str">
        <f t="shared" si="486"/>
        <v>YAMAHA_Mounter</v>
      </c>
      <c r="AS1609" s="22">
        <f t="shared" si="487"/>
        <v>0</v>
      </c>
      <c r="AT1609" s="24" t="str">
        <f t="shared" si="488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89">IF(X1610="","",X1610*MAX(O1610,N1610))</f>
        <v>677000</v>
      </c>
      <c r="AA1610" s="13">
        <v>1.155</v>
      </c>
      <c r="AB1610" s="21">
        <f t="shared" si="474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75"/>
        <v>44078731.611185849</v>
      </c>
      <c r="AJ1610" s="19">
        <f t="shared" si="476"/>
        <v>5508173.2163771465</v>
      </c>
      <c r="AK1610" s="20">
        <f t="shared" si="483"/>
        <v>0.12496215328889679</v>
      </c>
      <c r="AL1610" s="17"/>
      <c r="AM1610" s="17"/>
      <c r="AN1610" s="17"/>
      <c r="AO1610" s="17"/>
      <c r="AP1610" s="28" t="str">
        <f t="shared" si="484"/>
        <v>202011</v>
      </c>
      <c r="AQ1610" s="28" t="str">
        <f t="shared" si="485"/>
        <v>202011RMB</v>
      </c>
      <c r="AR1610" s="206" t="str">
        <f t="shared" si="486"/>
        <v>YAMAHA_Mounter</v>
      </c>
      <c r="AS1610" s="22">
        <f t="shared" si="487"/>
        <v>2</v>
      </c>
      <c r="AT1610" s="24" t="str">
        <f t="shared" si="488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89"/>
        <v>350000</v>
      </c>
      <c r="AA1611" s="13">
        <v>1.0900000000000001</v>
      </c>
      <c r="AB1611" s="21">
        <f t="shared" si="474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75"/>
        <v>10524262.405309737</v>
      </c>
      <c r="AJ1611" s="19">
        <f t="shared" si="476"/>
        <v>1479050.9527127435</v>
      </c>
      <c r="AK1611" s="20">
        <f t="shared" si="483"/>
        <v>0.14053725532028996</v>
      </c>
      <c r="AL1611" s="17"/>
      <c r="AM1611" s="17"/>
      <c r="AN1611" s="17"/>
      <c r="AO1611" s="17"/>
      <c r="AP1611" s="28" t="str">
        <f t="shared" si="484"/>
        <v>20242</v>
      </c>
      <c r="AQ1611" s="28" t="str">
        <f t="shared" si="485"/>
        <v>20242RMB</v>
      </c>
      <c r="AR1611" s="206" t="str">
        <f t="shared" si="486"/>
        <v>YAMAHA_Non_Mounter</v>
      </c>
      <c r="AS1611" s="22">
        <f t="shared" si="487"/>
        <v>3</v>
      </c>
      <c r="AT1611" s="24" t="str">
        <f t="shared" si="488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6">
        <v>11000000</v>
      </c>
      <c r="Y1612" s="31" t="str">
        <f>IF(W1612="","",IF(W1612="RMB","1.13", "1"))</f>
        <v>1</v>
      </c>
      <c r="Z1612" s="18">
        <f t="shared" si="489"/>
        <v>11000000</v>
      </c>
      <c r="AA1612" s="13">
        <v>5.0999999999999997E-2</v>
      </c>
      <c r="AB1612" s="21">
        <f t="shared" si="474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75"/>
        <v>27308925.887079656</v>
      </c>
      <c r="AJ1612" s="27">
        <f t="shared" si="476"/>
        <v>3319273.860338124</v>
      </c>
      <c r="AK1612" s="28">
        <f t="shared" si="483"/>
        <v>0.12154538314919709</v>
      </c>
      <c r="AL1612" s="24"/>
      <c r="AM1612" s="24"/>
      <c r="AN1612" s="24"/>
      <c r="AO1612" s="24"/>
      <c r="AP1612" s="28" t="str">
        <f t="shared" si="484"/>
        <v>20246</v>
      </c>
      <c r="AQ1612" s="28" t="str">
        <f t="shared" si="485"/>
        <v>20246JPY</v>
      </c>
      <c r="AR1612" s="206" t="str">
        <f t="shared" si="486"/>
        <v>YAMAHA_Mounter</v>
      </c>
      <c r="AS1612" s="22">
        <f t="shared" si="487"/>
        <v>3</v>
      </c>
      <c r="AT1612" s="24" t="str">
        <f t="shared" si="488"/>
        <v>0-3 months</v>
      </c>
      <c r="AU1612" s="22" t="s">
        <v>3745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89"/>
        <v>9652900</v>
      </c>
      <c r="AA1613" s="13">
        <v>5.0999999999999997E-2</v>
      </c>
      <c r="AB1613" s="21">
        <f t="shared" si="474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75"/>
        <v>27308925.887079656</v>
      </c>
      <c r="AJ1613" s="27">
        <f t="shared" si="476"/>
        <v>3319273.860338124</v>
      </c>
      <c r="AK1613" s="28">
        <f t="shared" si="483"/>
        <v>0.12154538314919709</v>
      </c>
      <c r="AL1613" s="24"/>
      <c r="AM1613" s="24"/>
      <c r="AN1613" s="24"/>
      <c r="AO1613" s="24"/>
      <c r="AP1613" s="28" t="str">
        <f t="shared" si="484"/>
        <v>20246</v>
      </c>
      <c r="AQ1613" s="28" t="str">
        <f t="shared" si="485"/>
        <v>20246JPY</v>
      </c>
      <c r="AR1613" s="206" t="str">
        <f t="shared" si="486"/>
        <v>YAMAHA_Mounter</v>
      </c>
      <c r="AS1613" s="22">
        <f t="shared" si="487"/>
        <v>3</v>
      </c>
      <c r="AT1613" s="24" t="str">
        <f t="shared" si="488"/>
        <v>0-3 months</v>
      </c>
      <c r="AU1613" s="22" t="s">
        <v>3745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89"/>
        <v>560000</v>
      </c>
      <c r="AA1614" s="13">
        <v>1.135</v>
      </c>
      <c r="AB1614" s="21">
        <f t="shared" si="474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75"/>
        <v>15948576.102654871</v>
      </c>
      <c r="AJ1614" s="19">
        <f t="shared" si="476"/>
        <v>2739848.7004853105</v>
      </c>
      <c r="AK1614" s="20">
        <f t="shared" si="483"/>
        <v>0.17179268436567344</v>
      </c>
      <c r="AL1614" s="17"/>
      <c r="AM1614" s="17"/>
      <c r="AN1614" s="17"/>
      <c r="AO1614" s="17"/>
      <c r="AP1614" s="28" t="str">
        <f t="shared" si="484"/>
        <v>20229</v>
      </c>
      <c r="AQ1614" s="28" t="str">
        <f t="shared" si="485"/>
        <v>20229RMB</v>
      </c>
      <c r="AR1614" s="206" t="str">
        <f t="shared" si="486"/>
        <v>YAMAHA_Mounter</v>
      </c>
      <c r="AS1614" s="22">
        <f t="shared" si="487"/>
        <v>1</v>
      </c>
      <c r="AT1614" s="24" t="str">
        <f t="shared" si="488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89"/>
        <v>570000</v>
      </c>
      <c r="AA1615" s="13">
        <v>1.23</v>
      </c>
      <c r="AB1615" s="21">
        <f t="shared" si="474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75"/>
        <v>29288201.603076916</v>
      </c>
      <c r="AJ1615" s="19">
        <f t="shared" si="476"/>
        <v>3870159.1769246152</v>
      </c>
      <c r="AK1615" s="20">
        <f t="shared" si="483"/>
        <v>0.13214055370740244</v>
      </c>
      <c r="AL1615" s="17"/>
      <c r="AM1615" s="17"/>
      <c r="AN1615" s="17"/>
      <c r="AO1615" s="17"/>
      <c r="AP1615" s="28" t="str">
        <f t="shared" si="484"/>
        <v>20184</v>
      </c>
      <c r="AQ1615" s="28" t="str">
        <f t="shared" si="485"/>
        <v>20184RMB</v>
      </c>
      <c r="AR1615" s="206" t="str">
        <f t="shared" si="486"/>
        <v>HELLER</v>
      </c>
      <c r="AS1615" s="22">
        <f t="shared" si="487"/>
        <v>1</v>
      </c>
      <c r="AT1615" s="24" t="str">
        <f t="shared" si="488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89"/>
        <v>380000</v>
      </c>
      <c r="AA1616" s="13">
        <v>1.175</v>
      </c>
      <c r="AB1616" s="21">
        <f t="shared" si="474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75"/>
        <v>48763143.537654862</v>
      </c>
      <c r="AJ1616" s="19">
        <f t="shared" si="476"/>
        <v>5924029.9702154724</v>
      </c>
      <c r="AK1616" s="20">
        <f t="shared" si="483"/>
        <v>0.1214858095774925</v>
      </c>
      <c r="AL1616" s="17"/>
      <c r="AM1616" s="17"/>
      <c r="AN1616" s="17"/>
      <c r="AO1616" s="17"/>
      <c r="AP1616" s="28" t="str">
        <f t="shared" si="484"/>
        <v>202012</v>
      </c>
      <c r="AQ1616" s="28" t="str">
        <f t="shared" si="485"/>
        <v>202012RMB</v>
      </c>
      <c r="AR1616" s="206" t="str">
        <f t="shared" si="486"/>
        <v>HELLER</v>
      </c>
      <c r="AS1616" s="22">
        <f t="shared" si="487"/>
        <v>2</v>
      </c>
      <c r="AT1616" s="24" t="str">
        <f t="shared" si="488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89"/>
        <v>380000</v>
      </c>
      <c r="AA1617" s="13">
        <v>1.2</v>
      </c>
      <c r="AB1617" s="21">
        <f t="shared" si="474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75"/>
        <v>47458373.787610628</v>
      </c>
      <c r="AJ1617" s="19">
        <f t="shared" si="476"/>
        <v>7436880.1411522133</v>
      </c>
      <c r="AK1617" s="20">
        <f t="shared" si="483"/>
        <v>0.15670322321692506</v>
      </c>
      <c r="AL1617" s="17"/>
      <c r="AM1617" s="17"/>
      <c r="AN1617" s="17"/>
      <c r="AO1617" s="17"/>
      <c r="AP1617" s="28" t="str">
        <f t="shared" si="484"/>
        <v>20218</v>
      </c>
      <c r="AQ1617" s="28" t="str">
        <f t="shared" si="485"/>
        <v>20218RMB</v>
      </c>
      <c r="AR1617" s="206" t="str">
        <f t="shared" si="486"/>
        <v>HELLER</v>
      </c>
      <c r="AS1617" s="22">
        <f t="shared" si="487"/>
        <v>3</v>
      </c>
      <c r="AT1617" s="24" t="str">
        <f t="shared" si="488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89"/>
        <v>560000</v>
      </c>
      <c r="AA1618" s="13">
        <v>1.135</v>
      </c>
      <c r="AB1618" s="21">
        <f t="shared" si="474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75"/>
        <v>15948576.102654871</v>
      </c>
      <c r="AJ1618" s="19">
        <f t="shared" si="476"/>
        <v>2739848.7004853105</v>
      </c>
      <c r="AK1618" s="20">
        <f t="shared" si="483"/>
        <v>0.17179268436567344</v>
      </c>
      <c r="AL1618" s="17"/>
      <c r="AM1618" s="17"/>
      <c r="AN1618" s="17"/>
      <c r="AO1618" s="17"/>
      <c r="AP1618" s="28" t="str">
        <f t="shared" si="484"/>
        <v>20229</v>
      </c>
      <c r="AQ1618" s="28" t="str">
        <f t="shared" si="485"/>
        <v>20229RMB</v>
      </c>
      <c r="AR1618" s="206" t="str">
        <f t="shared" si="486"/>
        <v>YAMAHA_Mounter</v>
      </c>
      <c r="AS1618" s="22">
        <f t="shared" si="487"/>
        <v>1</v>
      </c>
      <c r="AT1618" s="24" t="str">
        <f t="shared" si="488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89"/>
        <v>585000</v>
      </c>
      <c r="AA1619" s="13">
        <v>1.1299999999999999</v>
      </c>
      <c r="AB1619" s="21">
        <f t="shared" si="474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75"/>
        <v>47907808.356810622</v>
      </c>
      <c r="AJ1619" s="19">
        <f t="shared" si="476"/>
        <v>6027384.8806384448</v>
      </c>
      <c r="AK1619" s="20">
        <f t="shared" si="483"/>
        <v>0.12581216063459488</v>
      </c>
      <c r="AL1619" s="17"/>
      <c r="AM1619" s="17"/>
      <c r="AN1619" s="17"/>
      <c r="AO1619" s="17"/>
      <c r="AP1619" s="28" t="str">
        <f t="shared" si="484"/>
        <v>20209</v>
      </c>
      <c r="AQ1619" s="28" t="str">
        <f t="shared" si="485"/>
        <v>20209RMB</v>
      </c>
      <c r="AR1619" s="206" t="str">
        <f t="shared" si="486"/>
        <v>YAMAHA_Mounter</v>
      </c>
      <c r="AS1619" s="22">
        <f t="shared" si="487"/>
        <v>1</v>
      </c>
      <c r="AT1619" s="24" t="str">
        <f t="shared" si="488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89"/>
        <v>585000</v>
      </c>
      <c r="AA1620" s="13">
        <v>1.1299999999999999</v>
      </c>
      <c r="AB1620" s="21">
        <f t="shared" si="474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75"/>
        <v>47907808.356810622</v>
      </c>
      <c r="AJ1620" s="19">
        <f t="shared" si="476"/>
        <v>6027384.8806384448</v>
      </c>
      <c r="AK1620" s="20">
        <f t="shared" si="483"/>
        <v>0.12581216063459488</v>
      </c>
      <c r="AL1620" s="17"/>
      <c r="AM1620" s="17"/>
      <c r="AN1620" s="17"/>
      <c r="AO1620" s="17"/>
      <c r="AP1620" s="28" t="str">
        <f t="shared" si="484"/>
        <v>20209</v>
      </c>
      <c r="AQ1620" s="28" t="str">
        <f t="shared" si="485"/>
        <v>20209RMB</v>
      </c>
      <c r="AR1620" s="206" t="str">
        <f t="shared" si="486"/>
        <v>YAMAHA_Mounter</v>
      </c>
      <c r="AS1620" s="22">
        <f t="shared" si="487"/>
        <v>1</v>
      </c>
      <c r="AT1620" s="24" t="str">
        <f t="shared" si="488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89"/>
        <v>500000</v>
      </c>
      <c r="AA1621" s="13">
        <v>1.23</v>
      </c>
      <c r="AB1621" s="21">
        <f t="shared" si="474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75"/>
        <v>24398045.86045352</v>
      </c>
      <c r="AJ1621" s="19">
        <f t="shared" si="476"/>
        <v>3478417.4064663448</v>
      </c>
      <c r="AK1621" s="20">
        <f t="shared" si="483"/>
        <v>0.14256950849102498</v>
      </c>
      <c r="AL1621" s="17"/>
      <c r="AM1621" s="17"/>
      <c r="AN1621" s="17"/>
      <c r="AO1621" s="17" t="s">
        <v>224</v>
      </c>
      <c r="AP1621" s="28" t="str">
        <f t="shared" si="484"/>
        <v>20186</v>
      </c>
      <c r="AQ1621" s="28" t="str">
        <f t="shared" si="485"/>
        <v>20186RMB</v>
      </c>
      <c r="AR1621" s="206" t="str">
        <f t="shared" si="486"/>
        <v>YAMAHA_Mounter</v>
      </c>
      <c r="AS1621" s="22">
        <f t="shared" si="487"/>
        <v>2</v>
      </c>
      <c r="AT1621" s="24" t="str">
        <f t="shared" si="488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89"/>
        <v>650000</v>
      </c>
      <c r="AA1622" s="13">
        <v>1.1299999999999999</v>
      </c>
      <c r="AB1622" s="21">
        <f t="shared" si="474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75"/>
        <v>33543315.897345133</v>
      </c>
      <c r="AJ1622" s="19">
        <f t="shared" si="476"/>
        <v>4706169.3252984071</v>
      </c>
      <c r="AK1622" s="20">
        <f t="shared" si="483"/>
        <v>0.14030125523967318</v>
      </c>
      <c r="AL1622" s="17"/>
      <c r="AM1622" s="17"/>
      <c r="AN1622" s="17"/>
      <c r="AO1622" s="17"/>
      <c r="AP1622" s="28" t="str">
        <f t="shared" si="484"/>
        <v>20233</v>
      </c>
      <c r="AQ1622" s="28" t="str">
        <f t="shared" si="485"/>
        <v>20233RMB</v>
      </c>
      <c r="AR1622" s="206" t="str">
        <f t="shared" si="486"/>
        <v>YAMAHA_Mounter</v>
      </c>
      <c r="AS1622" s="22">
        <f t="shared" si="487"/>
        <v>0</v>
      </c>
      <c r="AT1622" s="24" t="str">
        <f t="shared" si="488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89"/>
        <v>9225000</v>
      </c>
      <c r="AA1623" s="13">
        <v>6.25E-2</v>
      </c>
      <c r="AB1623" s="21">
        <f t="shared" si="474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75"/>
        <v>499582152.5142017</v>
      </c>
      <c r="AJ1623" s="19">
        <f t="shared" si="476"/>
        <v>59520528.679470733</v>
      </c>
      <c r="AK1623" s="20">
        <f t="shared" si="483"/>
        <v>0.11914062257814291</v>
      </c>
      <c r="AL1623" s="17"/>
      <c r="AM1623" s="17"/>
      <c r="AN1623" s="17"/>
      <c r="AO1623" s="17"/>
      <c r="AP1623" s="28" t="str">
        <f t="shared" si="484"/>
        <v>CancelCANCEL</v>
      </c>
      <c r="AQ1623" s="28" t="str">
        <f t="shared" si="485"/>
        <v>CancelCANCELJPY</v>
      </c>
      <c r="AR1623" s="206" t="str">
        <f t="shared" si="486"/>
        <v>YAMAHA_Mounter</v>
      </c>
      <c r="AS1623" s="22" t="str">
        <f t="shared" si="487"/>
        <v/>
      </c>
      <c r="AT1623" s="24" t="str">
        <f t="shared" si="488"/>
        <v/>
      </c>
      <c r="AU1623" s="22" t="s">
        <v>3745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89"/>
        <v>9225000</v>
      </c>
      <c r="AA1624" s="13">
        <v>6.25E-2</v>
      </c>
      <c r="AB1624" s="21">
        <f t="shared" si="474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75"/>
        <v>499582152.5142017</v>
      </c>
      <c r="AJ1624" s="19">
        <f t="shared" si="476"/>
        <v>59520528.679470733</v>
      </c>
      <c r="AK1624" s="20">
        <f t="shared" si="483"/>
        <v>0.11914062257814291</v>
      </c>
      <c r="AL1624" s="17"/>
      <c r="AM1624" s="17"/>
      <c r="AN1624" s="17"/>
      <c r="AO1624" s="17"/>
      <c r="AP1624" s="28" t="str">
        <f t="shared" si="484"/>
        <v>CancelCANCEL</v>
      </c>
      <c r="AQ1624" s="28" t="str">
        <f t="shared" si="485"/>
        <v>CancelCANCELJPY</v>
      </c>
      <c r="AR1624" s="206" t="str">
        <f t="shared" si="486"/>
        <v>YAMAHA_Mounter</v>
      </c>
      <c r="AS1624" s="22" t="str">
        <f t="shared" si="487"/>
        <v/>
      </c>
      <c r="AT1624" s="24" t="str">
        <f t="shared" si="488"/>
        <v/>
      </c>
      <c r="AU1624" s="22" t="s">
        <v>3745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89"/>
        <v>979433</v>
      </c>
      <c r="AA1625" s="13">
        <v>1.175</v>
      </c>
      <c r="AB1625" s="21">
        <f t="shared" si="474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75"/>
        <v>35682787.057522126</v>
      </c>
      <c r="AJ1625" s="19">
        <f t="shared" si="476"/>
        <v>5833368.3789623892</v>
      </c>
      <c r="AK1625" s="20">
        <f t="shared" si="483"/>
        <v>0.16347849649632912</v>
      </c>
      <c r="AL1625" s="17"/>
      <c r="AM1625" s="17"/>
      <c r="AN1625" s="17"/>
      <c r="AO1625" s="17"/>
      <c r="AP1625" s="28" t="str">
        <f t="shared" si="484"/>
        <v>20226</v>
      </c>
      <c r="AQ1625" s="28" t="str">
        <f t="shared" si="485"/>
        <v>20226RMB</v>
      </c>
      <c r="AR1625" s="206" t="str">
        <f t="shared" si="486"/>
        <v>YAMAHA_Mounter</v>
      </c>
      <c r="AS1625" s="22">
        <f t="shared" si="487"/>
        <v>4</v>
      </c>
      <c r="AT1625" s="24" t="str">
        <f t="shared" si="488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89"/>
        <v>752000</v>
      </c>
      <c r="AA1626" s="13">
        <v>1.135</v>
      </c>
      <c r="AB1626" s="21">
        <f t="shared" si="474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75"/>
        <v>31296887.037898075</v>
      </c>
      <c r="AJ1626" s="19">
        <f t="shared" si="476"/>
        <v>3588873.9502021763</v>
      </c>
      <c r="AK1626" s="20">
        <f t="shared" si="483"/>
        <v>0.11467191436184473</v>
      </c>
      <c r="AL1626" s="17"/>
      <c r="AM1626" s="17"/>
      <c r="AN1626" s="17"/>
      <c r="AO1626" s="17"/>
      <c r="AP1626" s="28" t="str">
        <f t="shared" si="484"/>
        <v>20196</v>
      </c>
      <c r="AQ1626" s="28" t="str">
        <f t="shared" si="485"/>
        <v>20196RMB</v>
      </c>
      <c r="AR1626" s="206" t="str">
        <f t="shared" si="486"/>
        <v>YAMAHA_Mounter</v>
      </c>
      <c r="AS1626" s="22">
        <f t="shared" si="487"/>
        <v>2</v>
      </c>
      <c r="AT1626" s="24" t="str">
        <f t="shared" si="488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9"/>
        <v>550000</v>
      </c>
      <c r="AA1627" s="13">
        <v>1.08</v>
      </c>
      <c r="AB1627" s="21">
        <f t="shared" si="474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75"/>
        <v>31017966.201968137</v>
      </c>
      <c r="AJ1627" s="19">
        <f t="shared" si="476"/>
        <v>4704250.3347305888</v>
      </c>
      <c r="AK1627" s="20">
        <f t="shared" si="483"/>
        <v>0.15166211427595458</v>
      </c>
      <c r="AL1627" s="17"/>
      <c r="AM1627" s="17"/>
      <c r="AN1627" s="17"/>
      <c r="AO1627" s="17"/>
      <c r="AP1627" s="28" t="str">
        <f t="shared" si="484"/>
        <v>202211</v>
      </c>
      <c r="AQ1627" s="28" t="str">
        <f t="shared" si="485"/>
        <v>202211RMB</v>
      </c>
      <c r="AR1627" s="206" t="str">
        <f t="shared" si="486"/>
        <v>YAMAHA_Mounter</v>
      </c>
      <c r="AS1627" s="22">
        <f t="shared" si="487"/>
        <v>0</v>
      </c>
      <c r="AT1627" s="24" t="str">
        <f t="shared" si="488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0"/>
        <v>1.13</v>
      </c>
      <c r="Z1628" s="18">
        <f t="shared" si="489"/>
        <v>1000000</v>
      </c>
      <c r="AA1628" s="13">
        <v>1.22</v>
      </c>
      <c r="AB1628" s="21">
        <f t="shared" si="474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75"/>
        <v>46600814.041769907</v>
      </c>
      <c r="AJ1628" s="19">
        <f t="shared" si="476"/>
        <v>5956366.3435927071</v>
      </c>
      <c r="AK1628" s="20">
        <f t="shared" si="483"/>
        <v>0.1278167874546958</v>
      </c>
      <c r="AL1628" s="17"/>
      <c r="AM1628" s="17"/>
      <c r="AN1628" s="17"/>
      <c r="AO1628" s="17"/>
      <c r="AP1628" s="28" t="str">
        <f t="shared" si="484"/>
        <v>20224</v>
      </c>
      <c r="AQ1628" s="28" t="str">
        <f t="shared" si="485"/>
        <v>20224RMB</v>
      </c>
      <c r="AR1628" s="206" t="str">
        <f t="shared" si="486"/>
        <v>YAMAHA_Mounter</v>
      </c>
      <c r="AS1628" s="22">
        <f t="shared" si="487"/>
        <v>2</v>
      </c>
      <c r="AT1628" s="24" t="str">
        <f t="shared" si="488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0"/>
        <v>1.13</v>
      </c>
      <c r="Z1629" s="18">
        <f t="shared" si="489"/>
        <v>810000</v>
      </c>
      <c r="AA1629" s="13">
        <v>1.22</v>
      </c>
      <c r="AB1629" s="21">
        <f t="shared" si="474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75"/>
        <v>46600814.041769907</v>
      </c>
      <c r="AJ1629" s="19">
        <f t="shared" si="476"/>
        <v>5956366.3435927071</v>
      </c>
      <c r="AK1629" s="20">
        <f t="shared" si="483"/>
        <v>0.1278167874546958</v>
      </c>
      <c r="AL1629" s="17"/>
      <c r="AM1629" s="17"/>
      <c r="AN1629" s="17"/>
      <c r="AO1629" s="17"/>
      <c r="AP1629" s="28" t="str">
        <f t="shared" si="484"/>
        <v>20224</v>
      </c>
      <c r="AQ1629" s="28" t="str">
        <f t="shared" si="485"/>
        <v>20224RMB</v>
      </c>
      <c r="AR1629" s="206" t="str">
        <f t="shared" si="486"/>
        <v>YAMAHA_Mounter</v>
      </c>
      <c r="AS1629" s="22">
        <f t="shared" si="487"/>
        <v>2</v>
      </c>
      <c r="AT1629" s="24" t="str">
        <f t="shared" si="488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0"/>
        <v>1</v>
      </c>
      <c r="Z1630" s="18">
        <f t="shared" si="489"/>
        <v>8835532</v>
      </c>
      <c r="AA1630" s="13">
        <v>7.17E-2</v>
      </c>
      <c r="AB1630" s="21">
        <f t="shared" si="474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75"/>
        <v>43684091.636631854</v>
      </c>
      <c r="AJ1630" s="19">
        <f t="shared" si="476"/>
        <v>6483951.8242071122</v>
      </c>
      <c r="AK1630" s="20">
        <f t="shared" si="483"/>
        <v>0.14842821680123736</v>
      </c>
      <c r="AL1630" s="17"/>
      <c r="AM1630" s="17"/>
      <c r="AN1630" s="17"/>
      <c r="AO1630" s="17"/>
      <c r="AP1630" s="28" t="str">
        <f t="shared" si="484"/>
        <v>20214</v>
      </c>
      <c r="AQ1630" s="28" t="str">
        <f t="shared" si="485"/>
        <v>20214JPY</v>
      </c>
      <c r="AR1630" s="206" t="str">
        <f t="shared" si="486"/>
        <v>YAMAHA_Mounter</v>
      </c>
      <c r="AS1630" s="22">
        <f t="shared" si="487"/>
        <v>3</v>
      </c>
      <c r="AT1630" s="24" t="str">
        <f t="shared" si="488"/>
        <v>0-3 months</v>
      </c>
      <c r="AU1630" s="22" t="s">
        <v>3745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0"/>
        <v>1</v>
      </c>
      <c r="Z1631" s="18">
        <f t="shared" si="489"/>
        <v>7600000</v>
      </c>
      <c r="AA1631" s="13">
        <v>6.25E-2</v>
      </c>
      <c r="AB1631" s="21">
        <f t="shared" si="474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75"/>
        <v>499582152.5142017</v>
      </c>
      <c r="AJ1631" s="19">
        <f t="shared" si="476"/>
        <v>59520528.679470733</v>
      </c>
      <c r="AK1631" s="20">
        <f t="shared" si="483"/>
        <v>0.11914062257814291</v>
      </c>
      <c r="AL1631" s="17"/>
      <c r="AM1631" s="17"/>
      <c r="AN1631" s="17"/>
      <c r="AO1631" s="17"/>
      <c r="AP1631" s="28" t="str">
        <f t="shared" si="484"/>
        <v>CancelCancel</v>
      </c>
      <c r="AQ1631" s="28" t="str">
        <f t="shared" si="485"/>
        <v>CancelCancelJPY</v>
      </c>
      <c r="AR1631" s="206" t="str">
        <f t="shared" si="486"/>
        <v>YAMAHA_Mounter</v>
      </c>
      <c r="AS1631" s="22" t="str">
        <f t="shared" si="487"/>
        <v/>
      </c>
      <c r="AT1631" s="24" t="str">
        <f t="shared" si="488"/>
        <v/>
      </c>
      <c r="AU1631" s="22" t="s">
        <v>3745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0"/>
        <v>1.13</v>
      </c>
      <c r="Z1632" s="18">
        <f t="shared" si="489"/>
        <v>500000</v>
      </c>
      <c r="AA1632" s="13">
        <v>1.095</v>
      </c>
      <c r="AB1632" s="21">
        <f t="shared" si="474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75"/>
        <v>30033846.584070798</v>
      </c>
      <c r="AJ1632" s="19">
        <f t="shared" si="476"/>
        <v>3534936.4750884958</v>
      </c>
      <c r="AK1632" s="20">
        <f t="shared" si="483"/>
        <v>0.11769842618039268</v>
      </c>
      <c r="AL1632" s="17"/>
      <c r="AM1632" s="17"/>
      <c r="AN1632" s="17"/>
      <c r="AO1632" s="17"/>
      <c r="AP1632" s="28" t="str">
        <f t="shared" si="484"/>
        <v>TBATBA</v>
      </c>
      <c r="AQ1632" s="28" t="str">
        <f t="shared" si="485"/>
        <v>TBATBARMB</v>
      </c>
      <c r="AR1632" s="206" t="str">
        <f t="shared" si="486"/>
        <v>YAMAHA_Mounter</v>
      </c>
      <c r="AS1632" s="22" t="str">
        <f t="shared" si="487"/>
        <v/>
      </c>
      <c r="AT1632" s="24" t="str">
        <f t="shared" si="488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89"/>
        <v>1000000</v>
      </c>
      <c r="AA1633" s="13">
        <v>1.1299999999999999</v>
      </c>
      <c r="AB1633" s="21">
        <f t="shared" si="474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75"/>
        <v>499582152.5142017</v>
      </c>
      <c r="AJ1633" s="19">
        <f t="shared" si="476"/>
        <v>59520528.679470733</v>
      </c>
      <c r="AK1633" s="20">
        <f t="shared" si="483"/>
        <v>0.11914062257814291</v>
      </c>
      <c r="AL1633" s="17"/>
      <c r="AM1633" s="17"/>
      <c r="AN1633" s="17"/>
      <c r="AO1633" s="17"/>
      <c r="AP1633" s="28" t="str">
        <f t="shared" si="484"/>
        <v>CancelCancel</v>
      </c>
      <c r="AQ1633" s="28" t="str">
        <f t="shared" si="485"/>
        <v>CancelCancelRMB</v>
      </c>
      <c r="AR1633" s="206" t="str">
        <f t="shared" si="486"/>
        <v>YAMAHA_Mounter</v>
      </c>
      <c r="AS1633" s="22" t="str">
        <f t="shared" si="487"/>
        <v/>
      </c>
      <c r="AT1633" s="24" t="str">
        <f t="shared" si="488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89"/>
        <v>550000</v>
      </c>
      <c r="AA1634" s="13">
        <v>1.1299999999999999</v>
      </c>
      <c r="AB1634" s="21">
        <f t="shared" si="474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75"/>
        <v>499582152.5142017</v>
      </c>
      <c r="AJ1634" s="19">
        <f t="shared" si="476"/>
        <v>59520528.679470733</v>
      </c>
      <c r="AK1634" s="20">
        <f t="shared" si="483"/>
        <v>0.11914062257814291</v>
      </c>
      <c r="AL1634" s="17"/>
      <c r="AM1634" s="17"/>
      <c r="AN1634" s="17"/>
      <c r="AO1634" s="17"/>
      <c r="AP1634" s="28" t="str">
        <f t="shared" si="484"/>
        <v>CancelCancel</v>
      </c>
      <c r="AQ1634" s="28" t="str">
        <f t="shared" si="485"/>
        <v>CancelCancelRMB</v>
      </c>
      <c r="AR1634" s="206" t="str">
        <f t="shared" si="486"/>
        <v>YAMAHA_Mounter</v>
      </c>
      <c r="AS1634" s="22" t="str">
        <f t="shared" si="487"/>
        <v/>
      </c>
      <c r="AT1634" s="24" t="str">
        <f t="shared" si="488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89"/>
        <v>588550</v>
      </c>
      <c r="AA1635" s="13">
        <v>1.1299999999999999</v>
      </c>
      <c r="AB1635" s="21">
        <f t="shared" si="474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75"/>
        <v>499582152.5142017</v>
      </c>
      <c r="AJ1635" s="19">
        <f t="shared" si="476"/>
        <v>59520528.679470733</v>
      </c>
      <c r="AK1635" s="20">
        <f t="shared" si="483"/>
        <v>0.11914062257814291</v>
      </c>
      <c r="AL1635" s="17"/>
      <c r="AM1635" s="17"/>
      <c r="AN1635" s="17"/>
      <c r="AO1635" s="17"/>
      <c r="AP1635" s="28" t="str">
        <f t="shared" si="484"/>
        <v>CancelCancel</v>
      </c>
      <c r="AQ1635" s="28" t="str">
        <f t="shared" si="485"/>
        <v>CancelCancelRMB</v>
      </c>
      <c r="AR1635" s="206" t="str">
        <f t="shared" si="486"/>
        <v>YAMAHA_Mounter</v>
      </c>
      <c r="AS1635" s="22" t="str">
        <f t="shared" si="487"/>
        <v/>
      </c>
      <c r="AT1635" s="24" t="str">
        <f t="shared" si="488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89"/>
        <v>588550</v>
      </c>
      <c r="AA1636" s="13">
        <v>1.1299999999999999</v>
      </c>
      <c r="AB1636" s="21">
        <f t="shared" si="474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75"/>
        <v>499582152.5142017</v>
      </c>
      <c r="AJ1636" s="19">
        <f t="shared" si="476"/>
        <v>59520528.679470733</v>
      </c>
      <c r="AK1636" s="20">
        <f t="shared" si="483"/>
        <v>0.11914062257814291</v>
      </c>
      <c r="AL1636" s="17"/>
      <c r="AM1636" s="17"/>
      <c r="AN1636" s="17"/>
      <c r="AO1636" s="17"/>
      <c r="AP1636" s="28" t="str">
        <f t="shared" si="484"/>
        <v>CancelCancel</v>
      </c>
      <c r="AQ1636" s="28" t="str">
        <f t="shared" si="485"/>
        <v>CancelCancelRMB</v>
      </c>
      <c r="AR1636" s="206" t="str">
        <f t="shared" si="486"/>
        <v>YAMAHA_Mounter</v>
      </c>
      <c r="AS1636" s="22" t="str">
        <f t="shared" si="487"/>
        <v/>
      </c>
      <c r="AT1636" s="24" t="str">
        <f t="shared" si="488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89"/>
        <v>820000</v>
      </c>
      <c r="AA1637" s="13">
        <v>1.135</v>
      </c>
      <c r="AB1637" s="21">
        <f t="shared" si="474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75"/>
        <v>21386017.707964607</v>
      </c>
      <c r="AJ1637" s="19">
        <f t="shared" si="476"/>
        <v>2238764.3265707968</v>
      </c>
      <c r="AK1637" s="20">
        <f t="shared" si="483"/>
        <v>0.10468355339185161</v>
      </c>
      <c r="AL1637" s="17"/>
      <c r="AM1637" s="17"/>
      <c r="AN1637" s="17"/>
      <c r="AO1637" s="17"/>
      <c r="AP1637" s="28" t="str">
        <f t="shared" si="484"/>
        <v>20198</v>
      </c>
      <c r="AQ1637" s="28" t="str">
        <f t="shared" si="485"/>
        <v>20198RMB</v>
      </c>
      <c r="AR1637" s="206" t="str">
        <f t="shared" si="486"/>
        <v>YAMAHA_Mounter</v>
      </c>
      <c r="AS1637" s="22">
        <f t="shared" si="487"/>
        <v>0</v>
      </c>
      <c r="AT1637" s="24" t="str">
        <f t="shared" si="488"/>
        <v>0-3 months</v>
      </c>
      <c r="AU1637" s="22" t="s">
        <v>3744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89"/>
        <v>570000</v>
      </c>
      <c r="AA1638" s="13">
        <v>1.089</v>
      </c>
      <c r="AB1638" s="21">
        <f t="shared" si="474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75"/>
        <v>29183109.05575221</v>
      </c>
      <c r="AJ1638" s="19">
        <f t="shared" si="476"/>
        <v>3741266.5648721238</v>
      </c>
      <c r="AK1638" s="20">
        <f t="shared" si="483"/>
        <v>0.12819972531798121</v>
      </c>
      <c r="AL1638" s="17"/>
      <c r="AM1638" s="17"/>
      <c r="AN1638" s="17"/>
      <c r="AO1638" s="17"/>
      <c r="AP1638" s="28" t="str">
        <f t="shared" si="484"/>
        <v>20206</v>
      </c>
      <c r="AQ1638" s="28" t="str">
        <f t="shared" si="485"/>
        <v>20206RMB</v>
      </c>
      <c r="AR1638" s="206" t="str">
        <f t="shared" si="486"/>
        <v>YAMAHA_Mounter</v>
      </c>
      <c r="AS1638" s="22">
        <f t="shared" si="487"/>
        <v>1</v>
      </c>
      <c r="AT1638" s="24" t="str">
        <f t="shared" si="488"/>
        <v>0-3 months</v>
      </c>
      <c r="AU1638" s="22" t="s">
        <v>3744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89"/>
        <v>7367500</v>
      </c>
      <c r="AA1639" s="13">
        <v>7.3599999999999999E-2</v>
      </c>
      <c r="AB1639" s="21">
        <f t="shared" si="474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75"/>
        <v>33477255.428389374</v>
      </c>
      <c r="AJ1639" s="19">
        <f t="shared" si="476"/>
        <v>4578663.362915583</v>
      </c>
      <c r="AK1639" s="20">
        <f t="shared" si="483"/>
        <v>0.13676937682988152</v>
      </c>
      <c r="AL1639" s="17"/>
      <c r="AM1639" s="17"/>
      <c r="AN1639" s="17"/>
      <c r="AO1639" s="17"/>
      <c r="AP1639" s="28" t="str">
        <f t="shared" si="484"/>
        <v>20204</v>
      </c>
      <c r="AQ1639" s="28" t="str">
        <f t="shared" si="485"/>
        <v>20204JPY</v>
      </c>
      <c r="AR1639" s="206" t="str">
        <f t="shared" si="486"/>
        <v>YAMAHA_Mounter</v>
      </c>
      <c r="AS1639" s="22">
        <f t="shared" si="487"/>
        <v>1</v>
      </c>
      <c r="AT1639" s="24" t="str">
        <f t="shared" si="488"/>
        <v>0-3 months</v>
      </c>
      <c r="AU1639" s="22" t="s">
        <v>3745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89"/>
        <v>7367500</v>
      </c>
      <c r="AA1640" s="13">
        <v>7.3599999999999999E-2</v>
      </c>
      <c r="AB1640" s="21">
        <f t="shared" si="474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75"/>
        <v>33477255.428389374</v>
      </c>
      <c r="AJ1640" s="19">
        <f t="shared" si="476"/>
        <v>4578663.362915583</v>
      </c>
      <c r="AK1640" s="20">
        <f t="shared" si="483"/>
        <v>0.13676937682988152</v>
      </c>
      <c r="AL1640" s="17"/>
      <c r="AM1640" s="17"/>
      <c r="AN1640" s="17"/>
      <c r="AO1640" s="17"/>
      <c r="AP1640" s="28" t="str">
        <f t="shared" si="484"/>
        <v>20204</v>
      </c>
      <c r="AQ1640" s="28" t="str">
        <f t="shared" si="485"/>
        <v>20204JPY</v>
      </c>
      <c r="AR1640" s="206" t="str">
        <f t="shared" si="486"/>
        <v>YAMAHA_Mounter</v>
      </c>
      <c r="AS1640" s="22">
        <f t="shared" si="487"/>
        <v>1</v>
      </c>
      <c r="AT1640" s="24" t="str">
        <f t="shared" si="488"/>
        <v>0-3 months</v>
      </c>
      <c r="AU1640" s="22" t="s">
        <v>3745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89"/>
        <v>7367500</v>
      </c>
      <c r="AA1641" s="13">
        <v>7.3599999999999999E-2</v>
      </c>
      <c r="AB1641" s="21">
        <f t="shared" si="474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75"/>
        <v>33477255.428389374</v>
      </c>
      <c r="AJ1641" s="19">
        <f t="shared" si="476"/>
        <v>4578663.362915583</v>
      </c>
      <c r="AK1641" s="20">
        <f t="shared" si="483"/>
        <v>0.13676937682988152</v>
      </c>
      <c r="AL1641" s="17"/>
      <c r="AM1641" s="17"/>
      <c r="AN1641" s="17"/>
      <c r="AO1641" s="17"/>
      <c r="AP1641" s="28" t="str">
        <f t="shared" si="484"/>
        <v>20204</v>
      </c>
      <c r="AQ1641" s="28" t="str">
        <f t="shared" si="485"/>
        <v>20204JPY</v>
      </c>
      <c r="AR1641" s="206" t="str">
        <f t="shared" si="486"/>
        <v>YAMAHA_Mounter</v>
      </c>
      <c r="AS1641" s="22">
        <f t="shared" si="487"/>
        <v>1</v>
      </c>
      <c r="AT1641" s="24" t="str">
        <f t="shared" si="488"/>
        <v>0-3 months</v>
      </c>
      <c r="AU1641" s="22" t="s">
        <v>3745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89"/>
        <v>7367500</v>
      </c>
      <c r="AA1642" s="13">
        <v>7.3599999999999999E-2</v>
      </c>
      <c r="AB1642" s="21">
        <f t="shared" si="474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75"/>
        <v>33477255.428389374</v>
      </c>
      <c r="AJ1642" s="19">
        <f t="shared" si="476"/>
        <v>4578663.362915583</v>
      </c>
      <c r="AK1642" s="20">
        <f t="shared" si="483"/>
        <v>0.13676937682988152</v>
      </c>
      <c r="AL1642" s="17"/>
      <c r="AM1642" s="17"/>
      <c r="AN1642" s="17"/>
      <c r="AO1642" s="17"/>
      <c r="AP1642" s="28" t="str">
        <f t="shared" si="484"/>
        <v>20204</v>
      </c>
      <c r="AQ1642" s="28" t="str">
        <f t="shared" si="485"/>
        <v>20204JPY</v>
      </c>
      <c r="AR1642" s="206" t="str">
        <f t="shared" si="486"/>
        <v>YAMAHA_Mounter</v>
      </c>
      <c r="AS1642" s="22">
        <f t="shared" si="487"/>
        <v>1</v>
      </c>
      <c r="AT1642" s="24" t="str">
        <f t="shared" si="488"/>
        <v>0-3 months</v>
      </c>
      <c r="AU1642" s="22" t="s">
        <v>3745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89"/>
        <v>815000</v>
      </c>
      <c r="AA1643" s="13">
        <v>1.1299999999999999</v>
      </c>
      <c r="AB1643" s="21">
        <f t="shared" si="474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75"/>
        <v>47907808.356810622</v>
      </c>
      <c r="AJ1643" s="19">
        <f t="shared" si="476"/>
        <v>6027384.8806384448</v>
      </c>
      <c r="AK1643" s="20">
        <f t="shared" si="483"/>
        <v>0.12581216063459488</v>
      </c>
      <c r="AL1643" s="17"/>
      <c r="AM1643" s="17"/>
      <c r="AN1643" s="17"/>
      <c r="AO1643" s="17"/>
      <c r="AP1643" s="28" t="str">
        <f t="shared" si="484"/>
        <v>20209</v>
      </c>
      <c r="AQ1643" s="28" t="str">
        <f t="shared" si="485"/>
        <v>20209RMB</v>
      </c>
      <c r="AR1643" s="206" t="str">
        <f t="shared" si="486"/>
        <v>YAMAHA_Mounter</v>
      </c>
      <c r="AS1643" s="22">
        <f t="shared" si="487"/>
        <v>1</v>
      </c>
      <c r="AT1643" s="24" t="str">
        <f t="shared" si="488"/>
        <v>0-3 months</v>
      </c>
      <c r="AU1643" s="22" t="s">
        <v>3744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89"/>
        <v>815000</v>
      </c>
      <c r="AA1644" s="13">
        <v>1.1299999999999999</v>
      </c>
      <c r="AB1644" s="21">
        <f t="shared" si="474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75"/>
        <v>47907808.356810622</v>
      </c>
      <c r="AJ1644" s="19">
        <f t="shared" si="476"/>
        <v>6027384.8806384448</v>
      </c>
      <c r="AK1644" s="20">
        <f t="shared" si="483"/>
        <v>0.12581216063459488</v>
      </c>
      <c r="AL1644" s="17"/>
      <c r="AM1644" s="17"/>
      <c r="AN1644" s="17"/>
      <c r="AO1644" s="17"/>
      <c r="AP1644" s="28" t="str">
        <f t="shared" si="484"/>
        <v>20209</v>
      </c>
      <c r="AQ1644" s="28" t="str">
        <f t="shared" si="485"/>
        <v>20209RMB</v>
      </c>
      <c r="AR1644" s="206" t="str">
        <f t="shared" si="486"/>
        <v>YAMAHA_Mounter</v>
      </c>
      <c r="AS1644" s="22">
        <f t="shared" si="487"/>
        <v>1</v>
      </c>
      <c r="AT1644" s="24" t="str">
        <f t="shared" si="488"/>
        <v>0-3 months</v>
      </c>
      <c r="AU1644" s="22" t="s">
        <v>3744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89"/>
        <v>815000</v>
      </c>
      <c r="AA1645" s="13">
        <v>1.1299999999999999</v>
      </c>
      <c r="AB1645" s="21">
        <f t="shared" si="474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75"/>
        <v>47907808.356810622</v>
      </c>
      <c r="AJ1645" s="19">
        <f t="shared" si="476"/>
        <v>6027384.8806384448</v>
      </c>
      <c r="AK1645" s="20">
        <f t="shared" si="483"/>
        <v>0.12581216063459488</v>
      </c>
      <c r="AL1645" s="17"/>
      <c r="AM1645" s="17"/>
      <c r="AN1645" s="17"/>
      <c r="AO1645" s="17"/>
      <c r="AP1645" s="28" t="str">
        <f t="shared" si="484"/>
        <v>20209</v>
      </c>
      <c r="AQ1645" s="28" t="str">
        <f t="shared" si="485"/>
        <v>20209RMB</v>
      </c>
      <c r="AR1645" s="206" t="str">
        <f t="shared" si="486"/>
        <v>YAMAHA_Mounter</v>
      </c>
      <c r="AS1645" s="22">
        <f t="shared" si="487"/>
        <v>1</v>
      </c>
      <c r="AT1645" s="24" t="str">
        <f t="shared" si="488"/>
        <v>0-3 months</v>
      </c>
      <c r="AU1645" s="22" t="s">
        <v>3744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89"/>
        <v>815000</v>
      </c>
      <c r="AA1646" s="13">
        <v>1.1299999999999999</v>
      </c>
      <c r="AB1646" s="21">
        <f t="shared" si="474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75"/>
        <v>47907808.356810622</v>
      </c>
      <c r="AJ1646" s="19">
        <f t="shared" si="476"/>
        <v>6027384.8806384448</v>
      </c>
      <c r="AK1646" s="20">
        <f t="shared" si="483"/>
        <v>0.12581216063459488</v>
      </c>
      <c r="AL1646" s="17"/>
      <c r="AM1646" s="17"/>
      <c r="AN1646" s="17"/>
      <c r="AO1646" s="17"/>
      <c r="AP1646" s="28" t="str">
        <f t="shared" si="484"/>
        <v>20209</v>
      </c>
      <c r="AQ1646" s="28" t="str">
        <f t="shared" si="485"/>
        <v>20209RMB</v>
      </c>
      <c r="AR1646" s="206" t="str">
        <f t="shared" si="486"/>
        <v>YAMAHA_Mounter</v>
      </c>
      <c r="AS1646" s="22">
        <f t="shared" si="487"/>
        <v>1</v>
      </c>
      <c r="AT1646" s="24" t="str">
        <f t="shared" si="488"/>
        <v>0-3 months</v>
      </c>
      <c r="AU1646" s="22" t="s">
        <v>3744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1">IF(W1647="RMB","1.13", "1")</f>
        <v>1.13</v>
      </c>
      <c r="Z1647" s="18">
        <f t="shared" si="489"/>
        <v>544000</v>
      </c>
      <c r="AA1647" s="13">
        <v>1.2</v>
      </c>
      <c r="AB1647" s="21">
        <f t="shared" si="474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75"/>
        <v>10844605.840707963</v>
      </c>
      <c r="AJ1647" s="19">
        <f t="shared" si="476"/>
        <v>1523130.9860707966</v>
      </c>
      <c r="AK1647" s="20">
        <f t="shared" si="483"/>
        <v>0.14045056209911663</v>
      </c>
      <c r="AL1647" s="17"/>
      <c r="AM1647" s="17"/>
      <c r="AN1647" s="17"/>
      <c r="AO1647" s="17"/>
      <c r="AP1647" s="28" t="str">
        <f t="shared" si="484"/>
        <v>20219</v>
      </c>
      <c r="AQ1647" s="28" t="str">
        <f t="shared" si="485"/>
        <v>20219RMB</v>
      </c>
      <c r="AR1647" s="206" t="str">
        <f t="shared" si="486"/>
        <v>YAMAHA_Mounter</v>
      </c>
      <c r="AS1647" s="22">
        <f t="shared" si="487"/>
        <v>2</v>
      </c>
      <c r="AT1647" s="24" t="str">
        <f t="shared" si="488"/>
        <v>0-3 months</v>
      </c>
      <c r="AU1647" s="22" t="s">
        <v>3751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1"/>
        <v>1.13</v>
      </c>
      <c r="Z1648" s="18">
        <f t="shared" si="489"/>
        <v>544000</v>
      </c>
      <c r="AA1648" s="13">
        <v>1.2</v>
      </c>
      <c r="AB1648" s="21">
        <f t="shared" si="474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75"/>
        <v>10844605.840707963</v>
      </c>
      <c r="AJ1648" s="19">
        <f t="shared" si="476"/>
        <v>1523130.9860707966</v>
      </c>
      <c r="AK1648" s="20">
        <f t="shared" si="483"/>
        <v>0.14045056209911663</v>
      </c>
      <c r="AL1648" s="17"/>
      <c r="AM1648" s="17"/>
      <c r="AN1648" s="17"/>
      <c r="AO1648" s="17"/>
      <c r="AP1648" s="28" t="str">
        <f t="shared" si="484"/>
        <v>20219</v>
      </c>
      <c r="AQ1648" s="28" t="str">
        <f t="shared" si="485"/>
        <v>20219RMB</v>
      </c>
      <c r="AR1648" s="206" t="str">
        <f t="shared" si="486"/>
        <v>YAMAHA_Mounter</v>
      </c>
      <c r="AS1648" s="22">
        <f t="shared" si="487"/>
        <v>2</v>
      </c>
      <c r="AT1648" s="24" t="str">
        <f t="shared" si="488"/>
        <v>0-3 months</v>
      </c>
      <c r="AU1648" s="22" t="s">
        <v>3751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1"/>
        <v>1.13</v>
      </c>
      <c r="Z1649" s="18">
        <f t="shared" si="489"/>
        <v>544000</v>
      </c>
      <c r="AA1649" s="13">
        <v>1.2</v>
      </c>
      <c r="AB1649" s="21">
        <f t="shared" si="474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75"/>
        <v>10844605.840707963</v>
      </c>
      <c r="AJ1649" s="19">
        <f t="shared" si="476"/>
        <v>1523130.9860707966</v>
      </c>
      <c r="AK1649" s="20">
        <f t="shared" si="483"/>
        <v>0.14045056209911663</v>
      </c>
      <c r="AL1649" s="17"/>
      <c r="AM1649" s="17"/>
      <c r="AN1649" s="17"/>
      <c r="AO1649" s="17"/>
      <c r="AP1649" s="28" t="str">
        <f t="shared" si="484"/>
        <v>20219</v>
      </c>
      <c r="AQ1649" s="28" t="str">
        <f t="shared" si="485"/>
        <v>20219RMB</v>
      </c>
      <c r="AR1649" s="206" t="str">
        <f t="shared" si="486"/>
        <v>YAMAHA_Mounter</v>
      </c>
      <c r="AS1649" s="22">
        <f t="shared" si="487"/>
        <v>2</v>
      </c>
      <c r="AT1649" s="24" t="str">
        <f t="shared" si="488"/>
        <v>0-3 months</v>
      </c>
      <c r="AU1649" s="22" t="s">
        <v>3751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1"/>
        <v>1.13</v>
      </c>
      <c r="Z1650" s="18">
        <f t="shared" si="489"/>
        <v>544000</v>
      </c>
      <c r="AA1650" s="13">
        <v>1.2</v>
      </c>
      <c r="AB1650" s="21">
        <f t="shared" si="474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75"/>
        <v>10844605.840707963</v>
      </c>
      <c r="AJ1650" s="19">
        <f t="shared" si="476"/>
        <v>1523130.9860707966</v>
      </c>
      <c r="AK1650" s="20">
        <f t="shared" si="483"/>
        <v>0.14045056209911663</v>
      </c>
      <c r="AL1650" s="17"/>
      <c r="AM1650" s="17"/>
      <c r="AN1650" s="17"/>
      <c r="AO1650" s="17"/>
      <c r="AP1650" s="28" t="str">
        <f t="shared" si="484"/>
        <v>20219</v>
      </c>
      <c r="AQ1650" s="28" t="str">
        <f t="shared" si="485"/>
        <v>20219RMB</v>
      </c>
      <c r="AR1650" s="206" t="str">
        <f t="shared" si="486"/>
        <v>YAMAHA_Mounter</v>
      </c>
      <c r="AS1650" s="22">
        <f t="shared" si="487"/>
        <v>2</v>
      </c>
      <c r="AT1650" s="24" t="str">
        <f t="shared" si="488"/>
        <v>0-3 months</v>
      </c>
      <c r="AU1650" s="22" t="s">
        <v>3751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1"/>
        <v>1.13</v>
      </c>
      <c r="Z1651" s="18">
        <f t="shared" si="489"/>
        <v>747200</v>
      </c>
      <c r="AA1651" s="13">
        <v>1.22</v>
      </c>
      <c r="AB1651" s="21">
        <f t="shared" si="474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75"/>
        <v>46600814.041769907</v>
      </c>
      <c r="AJ1651" s="19">
        <f t="shared" si="476"/>
        <v>5956366.3435927071</v>
      </c>
      <c r="AK1651" s="20">
        <f t="shared" si="483"/>
        <v>0.1278167874546958</v>
      </c>
      <c r="AL1651" s="17"/>
      <c r="AM1651" s="17"/>
      <c r="AN1651" s="17"/>
      <c r="AO1651" s="17" t="s">
        <v>2148</v>
      </c>
      <c r="AP1651" s="28" t="str">
        <f t="shared" si="484"/>
        <v>20224</v>
      </c>
      <c r="AQ1651" s="28" t="str">
        <f t="shared" si="485"/>
        <v>20224RMB</v>
      </c>
      <c r="AR1651" s="206" t="str">
        <f t="shared" si="486"/>
        <v>YAMAHA_Mounter</v>
      </c>
      <c r="AS1651" s="22">
        <f t="shared" si="487"/>
        <v>3</v>
      </c>
      <c r="AT1651" s="24" t="str">
        <f t="shared" si="488"/>
        <v>0-3 months</v>
      </c>
      <c r="AU1651" s="22" t="s">
        <v>3751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1"/>
        <v>1.13</v>
      </c>
      <c r="Z1652" s="18">
        <f t="shared" si="489"/>
        <v>747200</v>
      </c>
      <c r="AA1652" s="13">
        <v>1.22</v>
      </c>
      <c r="AB1652" s="21">
        <f t="shared" si="474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75"/>
        <v>46600814.041769907</v>
      </c>
      <c r="AJ1652" s="19">
        <f t="shared" si="476"/>
        <v>5956366.3435927071</v>
      </c>
      <c r="AK1652" s="20">
        <f t="shared" si="483"/>
        <v>0.1278167874546958</v>
      </c>
      <c r="AL1652" s="17"/>
      <c r="AM1652" s="17"/>
      <c r="AN1652" s="17"/>
      <c r="AO1652" s="17" t="s">
        <v>2148</v>
      </c>
      <c r="AP1652" s="28" t="str">
        <f t="shared" si="484"/>
        <v>20224</v>
      </c>
      <c r="AQ1652" s="28" t="str">
        <f t="shared" si="485"/>
        <v>20224RMB</v>
      </c>
      <c r="AR1652" s="206" t="str">
        <f t="shared" si="486"/>
        <v>YAMAHA_Mounter</v>
      </c>
      <c r="AS1652" s="22">
        <f t="shared" si="487"/>
        <v>3</v>
      </c>
      <c r="AT1652" s="24" t="str">
        <f t="shared" si="488"/>
        <v>0-3 months</v>
      </c>
      <c r="AU1652" s="22" t="s">
        <v>3751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1"/>
        <v>1.13</v>
      </c>
      <c r="Z1653" s="18">
        <f t="shared" si="489"/>
        <v>747200</v>
      </c>
      <c r="AA1653" s="13">
        <v>1.22</v>
      </c>
      <c r="AB1653" s="21">
        <f t="shared" si="474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75"/>
        <v>46600814.041769907</v>
      </c>
      <c r="AJ1653" s="19">
        <f t="shared" si="476"/>
        <v>5956366.3435927071</v>
      </c>
      <c r="AK1653" s="20">
        <f t="shared" si="483"/>
        <v>0.1278167874546958</v>
      </c>
      <c r="AL1653" s="17"/>
      <c r="AM1653" s="17"/>
      <c r="AN1653" s="17"/>
      <c r="AO1653" s="17" t="s">
        <v>2148</v>
      </c>
      <c r="AP1653" s="28" t="str">
        <f t="shared" si="484"/>
        <v>20224</v>
      </c>
      <c r="AQ1653" s="28" t="str">
        <f t="shared" si="485"/>
        <v>20224RMB</v>
      </c>
      <c r="AR1653" s="206" t="str">
        <f t="shared" si="486"/>
        <v>YAMAHA_Mounter</v>
      </c>
      <c r="AS1653" s="22">
        <f t="shared" si="487"/>
        <v>3</v>
      </c>
      <c r="AT1653" s="24" t="str">
        <f t="shared" si="488"/>
        <v>0-3 months</v>
      </c>
      <c r="AU1653" s="22" t="s">
        <v>3751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1"/>
        <v>1.13</v>
      </c>
      <c r="Z1654" s="18">
        <f t="shared" si="489"/>
        <v>747200</v>
      </c>
      <c r="AA1654" s="13">
        <v>1.22</v>
      </c>
      <c r="AB1654" s="21">
        <f t="shared" ref="AB1654:AB1717" si="492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75"/>
        <v>46600814.041769907</v>
      </c>
      <c r="AJ1654" s="19">
        <f t="shared" si="476"/>
        <v>5956366.3435927071</v>
      </c>
      <c r="AK1654" s="20">
        <f t="shared" si="483"/>
        <v>0.1278167874546958</v>
      </c>
      <c r="AL1654" s="17"/>
      <c r="AM1654" s="17"/>
      <c r="AN1654" s="17"/>
      <c r="AO1654" s="17" t="s">
        <v>2148</v>
      </c>
      <c r="AP1654" s="28" t="str">
        <f t="shared" si="484"/>
        <v>20224</v>
      </c>
      <c r="AQ1654" s="28" t="str">
        <f t="shared" si="485"/>
        <v>20224RMB</v>
      </c>
      <c r="AR1654" s="206" t="str">
        <f t="shared" si="486"/>
        <v>YAMAHA_Mounter</v>
      </c>
      <c r="AS1654" s="22">
        <f t="shared" si="487"/>
        <v>3</v>
      </c>
      <c r="AT1654" s="24" t="str">
        <f t="shared" si="488"/>
        <v>0-3 months</v>
      </c>
      <c r="AU1654" s="22" t="s">
        <v>3751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1"/>
        <v>1.13</v>
      </c>
      <c r="Z1655" s="18">
        <f t="shared" si="489"/>
        <v>747200</v>
      </c>
      <c r="AA1655" s="13">
        <v>1.22</v>
      </c>
      <c r="AB1655" s="21">
        <f t="shared" si="492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75"/>
        <v>46600814.041769907</v>
      </c>
      <c r="AJ1655" s="19">
        <f t="shared" si="476"/>
        <v>5956366.3435927071</v>
      </c>
      <c r="AK1655" s="20">
        <f t="shared" si="483"/>
        <v>0.1278167874546958</v>
      </c>
      <c r="AL1655" s="17"/>
      <c r="AM1655" s="17"/>
      <c r="AN1655" s="17"/>
      <c r="AO1655" s="17" t="s">
        <v>2148</v>
      </c>
      <c r="AP1655" s="28" t="str">
        <f t="shared" si="484"/>
        <v>20224</v>
      </c>
      <c r="AQ1655" s="28" t="str">
        <f t="shared" si="485"/>
        <v>20224RMB</v>
      </c>
      <c r="AR1655" s="206" t="str">
        <f t="shared" si="486"/>
        <v>YAMAHA_Mounter</v>
      </c>
      <c r="AS1655" s="22">
        <f t="shared" si="487"/>
        <v>3</v>
      </c>
      <c r="AT1655" s="24" t="str">
        <f t="shared" si="488"/>
        <v>0-3 months</v>
      </c>
      <c r="AU1655" s="22" t="s">
        <v>3751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1"/>
        <v>1.13</v>
      </c>
      <c r="Z1656" s="18">
        <f t="shared" si="489"/>
        <v>710000</v>
      </c>
      <c r="AA1656" s="13">
        <v>1.105</v>
      </c>
      <c r="AB1656" s="21">
        <f t="shared" si="492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75"/>
        <v>13640480.497522123</v>
      </c>
      <c r="AJ1656" s="19">
        <f t="shared" si="476"/>
        <v>1928605.8020906283</v>
      </c>
      <c r="AK1656" s="20">
        <f t="shared" si="483"/>
        <v>0.1413884065477731</v>
      </c>
      <c r="AL1656" s="17"/>
      <c r="AM1656" s="17"/>
      <c r="AN1656" s="17"/>
      <c r="AO1656" s="17"/>
      <c r="AP1656" s="28" t="str">
        <f t="shared" si="484"/>
        <v>20236</v>
      </c>
      <c r="AQ1656" s="28" t="str">
        <f t="shared" si="485"/>
        <v>20236RMB</v>
      </c>
      <c r="AR1656" s="206" t="str">
        <f t="shared" si="486"/>
        <v>YAMAHA_Mounter</v>
      </c>
      <c r="AS1656" s="22">
        <f t="shared" si="487"/>
        <v>4</v>
      </c>
      <c r="AT1656" s="24" t="str">
        <f t="shared" si="488"/>
        <v>4-6 months</v>
      </c>
      <c r="AU1656" s="22" t="s">
        <v>3751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1"/>
        <v>1</v>
      </c>
      <c r="Z1657" s="18">
        <f t="shared" si="489"/>
        <v>13880000</v>
      </c>
      <c r="AA1657" s="13">
        <v>7.2800000000000004E-2</v>
      </c>
      <c r="AB1657" s="21">
        <f t="shared" si="492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75"/>
        <v>63006605.696460173</v>
      </c>
      <c r="AJ1657" s="19">
        <f t="shared" si="476"/>
        <v>8897485.660753984</v>
      </c>
      <c r="AK1657" s="20">
        <f t="shared" si="483"/>
        <v>0.141215124388995</v>
      </c>
      <c r="AL1657" s="17"/>
      <c r="AM1657" s="17"/>
      <c r="AN1657" s="17"/>
      <c r="AO1657" s="17"/>
      <c r="AP1657" s="28" t="str">
        <f t="shared" si="484"/>
        <v>20215</v>
      </c>
      <c r="AQ1657" s="28" t="str">
        <f t="shared" si="485"/>
        <v>20215JPY</v>
      </c>
      <c r="AR1657" s="206" t="str">
        <f t="shared" si="486"/>
        <v>YAMAHA_Non_Mounter</v>
      </c>
      <c r="AS1657" s="22">
        <f t="shared" si="487"/>
        <v>4</v>
      </c>
      <c r="AT1657" s="24" t="str">
        <f t="shared" si="488"/>
        <v>4-6 months</v>
      </c>
      <c r="AU1657" s="22" t="s">
        <v>3745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1"/>
        <v>1</v>
      </c>
      <c r="Z1658" s="18">
        <f t="shared" si="489"/>
        <v>7100000</v>
      </c>
      <c r="AA1658" s="13">
        <v>5.6099999999999997E-2</v>
      </c>
      <c r="AB1658" s="21">
        <f t="shared" si="492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75"/>
        <v>22953677.784070797</v>
      </c>
      <c r="AJ1658" s="19">
        <f t="shared" si="476"/>
        <v>4168706.6744155753</v>
      </c>
      <c r="AK1658" s="20">
        <f t="shared" si="483"/>
        <v>0.18161388835511752</v>
      </c>
      <c r="AL1658" s="17"/>
      <c r="AM1658" s="17"/>
      <c r="AN1658" s="17"/>
      <c r="AO1658" s="17"/>
      <c r="AP1658" s="28" t="str">
        <f t="shared" si="484"/>
        <v>20238</v>
      </c>
      <c r="AQ1658" s="28" t="str">
        <f t="shared" si="485"/>
        <v>20238JPY</v>
      </c>
      <c r="AR1658" s="206" t="str">
        <f t="shared" si="486"/>
        <v>YAMAHA_Mounter</v>
      </c>
      <c r="AS1658" s="22">
        <f t="shared" si="487"/>
        <v>1</v>
      </c>
      <c r="AT1658" s="24" t="str">
        <f t="shared" si="488"/>
        <v>0-3 months</v>
      </c>
      <c r="AU1658" s="22" t="s">
        <v>3745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1"/>
        <v>1</v>
      </c>
      <c r="Z1659" s="18">
        <f t="shared" si="489"/>
        <v>7100000</v>
      </c>
      <c r="AA1659" s="13">
        <v>5.6099999999999997E-2</v>
      </c>
      <c r="AB1659" s="21">
        <f t="shared" si="492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75"/>
        <v>22953677.784070797</v>
      </c>
      <c r="AJ1659" s="19">
        <f t="shared" si="476"/>
        <v>4168706.6744155753</v>
      </c>
      <c r="AK1659" s="20">
        <f t="shared" si="483"/>
        <v>0.18161388835511752</v>
      </c>
      <c r="AL1659" s="17"/>
      <c r="AM1659" s="17"/>
      <c r="AN1659" s="17"/>
      <c r="AO1659" s="17"/>
      <c r="AP1659" s="28" t="str">
        <f t="shared" si="484"/>
        <v>20238</v>
      </c>
      <c r="AQ1659" s="28" t="str">
        <f t="shared" si="485"/>
        <v>20238JPY</v>
      </c>
      <c r="AR1659" s="206" t="str">
        <f t="shared" si="486"/>
        <v>YAMAHA_Mounter</v>
      </c>
      <c r="AS1659" s="22">
        <f t="shared" si="487"/>
        <v>1</v>
      </c>
      <c r="AT1659" s="24" t="str">
        <f t="shared" si="488"/>
        <v>0-3 months</v>
      </c>
      <c r="AU1659" s="22" t="s">
        <v>3745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89"/>
        <v>1740000</v>
      </c>
      <c r="AA1660" s="13">
        <v>1.125</v>
      </c>
      <c r="AB1660" s="21">
        <f t="shared" si="492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75"/>
        <v>29840797.698275864</v>
      </c>
      <c r="AJ1660" s="19">
        <f t="shared" si="476"/>
        <v>3940167.6555448272</v>
      </c>
      <c r="AK1660" s="20">
        <f t="shared" si="483"/>
        <v>0.13203962224416277</v>
      </c>
      <c r="AL1660" s="17"/>
      <c r="AM1660" s="17"/>
      <c r="AN1660" s="17"/>
      <c r="AO1660" s="17"/>
      <c r="AP1660" s="28" t="str">
        <f t="shared" si="484"/>
        <v>201812</v>
      </c>
      <c r="AQ1660" s="28" t="str">
        <f t="shared" si="485"/>
        <v>201812RMB</v>
      </c>
      <c r="AR1660" s="206" t="str">
        <f t="shared" si="486"/>
        <v>YAMAHA_Mounter</v>
      </c>
      <c r="AS1660" s="22">
        <f t="shared" si="487"/>
        <v>2</v>
      </c>
      <c r="AT1660" s="24" t="str">
        <f t="shared" si="488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89"/>
        <v>2794040</v>
      </c>
      <c r="AA1661" s="13">
        <v>1.1599999999999999</v>
      </c>
      <c r="AB1661" s="21">
        <f t="shared" si="492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75"/>
        <v>32843736.557277881</v>
      </c>
      <c r="AJ1661" s="19">
        <f t="shared" si="476"/>
        <v>3921470.6822663117</v>
      </c>
      <c r="AK1661" s="20">
        <f t="shared" si="483"/>
        <v>0.11939782416131177</v>
      </c>
      <c r="AL1661" s="17"/>
      <c r="AM1661" s="17"/>
      <c r="AN1661" s="17"/>
      <c r="AO1661" s="17"/>
      <c r="AP1661" s="28" t="str">
        <f t="shared" si="484"/>
        <v>20194</v>
      </c>
      <c r="AQ1661" s="28" t="str">
        <f t="shared" si="485"/>
        <v>20194RMB</v>
      </c>
      <c r="AR1661" s="206" t="str">
        <f t="shared" si="486"/>
        <v>YAMAHA_Mounter</v>
      </c>
      <c r="AS1661" s="22">
        <f t="shared" si="487"/>
        <v>0</v>
      </c>
      <c r="AT1661" s="24" t="str">
        <f t="shared" si="488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89"/>
        <v>650000</v>
      </c>
      <c r="AA1662" s="13">
        <v>1.135</v>
      </c>
      <c r="AB1662" s="21">
        <f t="shared" si="492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75"/>
        <v>34015877.71150443</v>
      </c>
      <c r="AJ1662" s="19">
        <f t="shared" si="476"/>
        <v>4446292.375441948</v>
      </c>
      <c r="AK1662" s="20">
        <f t="shared" si="483"/>
        <v>0.13071226364205143</v>
      </c>
      <c r="AL1662" s="17"/>
      <c r="AM1662" s="17"/>
      <c r="AN1662" s="17"/>
      <c r="AO1662" s="17"/>
      <c r="AP1662" s="28" t="str">
        <f t="shared" si="484"/>
        <v>20197</v>
      </c>
      <c r="AQ1662" s="28" t="str">
        <f t="shared" si="485"/>
        <v>20197RMB</v>
      </c>
      <c r="AR1662" s="206" t="str">
        <f t="shared" si="486"/>
        <v>YAMAHA_Mounter</v>
      </c>
      <c r="AS1662" s="22">
        <f t="shared" si="487"/>
        <v>1</v>
      </c>
      <c r="AT1662" s="24" t="str">
        <f t="shared" si="488"/>
        <v>0-3 months</v>
      </c>
      <c r="AU1662" s="22" t="s">
        <v>3744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89"/>
        <v>650000</v>
      </c>
      <c r="AA1663" s="13">
        <v>1.135</v>
      </c>
      <c r="AB1663" s="21">
        <f t="shared" si="492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75"/>
        <v>34015877.71150443</v>
      </c>
      <c r="AJ1663" s="19">
        <f t="shared" si="476"/>
        <v>4446292.375441948</v>
      </c>
      <c r="AK1663" s="20">
        <f t="shared" si="483"/>
        <v>0.13071226364205143</v>
      </c>
      <c r="AL1663" s="17"/>
      <c r="AM1663" s="17"/>
      <c r="AN1663" s="17"/>
      <c r="AO1663" s="17"/>
      <c r="AP1663" s="28" t="str">
        <f t="shared" si="484"/>
        <v>20197</v>
      </c>
      <c r="AQ1663" s="28" t="str">
        <f t="shared" si="485"/>
        <v>20197RMB</v>
      </c>
      <c r="AR1663" s="206" t="str">
        <f t="shared" si="486"/>
        <v>YAMAHA_Mounter</v>
      </c>
      <c r="AS1663" s="22">
        <f t="shared" si="487"/>
        <v>1</v>
      </c>
      <c r="AT1663" s="24" t="str">
        <f t="shared" si="488"/>
        <v>0-3 months</v>
      </c>
      <c r="AU1663" s="22" t="s">
        <v>3744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89"/>
        <v>900000</v>
      </c>
      <c r="AA1664" s="13">
        <v>1.135</v>
      </c>
      <c r="AB1664" s="21">
        <f t="shared" si="492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75"/>
        <v>34015877.71150443</v>
      </c>
      <c r="AJ1664" s="19">
        <f t="shared" si="476"/>
        <v>4446292.375441948</v>
      </c>
      <c r="AK1664" s="20">
        <f t="shared" si="483"/>
        <v>0.13071226364205143</v>
      </c>
      <c r="AL1664" s="17"/>
      <c r="AM1664" s="17"/>
      <c r="AN1664" s="17"/>
      <c r="AO1664" s="17"/>
      <c r="AP1664" s="28" t="str">
        <f t="shared" si="484"/>
        <v>20197</v>
      </c>
      <c r="AQ1664" s="28" t="str">
        <f t="shared" si="485"/>
        <v>20197RMB</v>
      </c>
      <c r="AR1664" s="206" t="str">
        <f t="shared" si="486"/>
        <v>YAMAHA_Mounter</v>
      </c>
      <c r="AS1664" s="22">
        <f t="shared" si="487"/>
        <v>1</v>
      </c>
      <c r="AT1664" s="24" t="str">
        <f t="shared" si="488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89"/>
        <v>900000</v>
      </c>
      <c r="AA1665" s="13">
        <v>1.135</v>
      </c>
      <c r="AB1665" s="21">
        <f t="shared" si="492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75"/>
        <v>34015877.71150443</v>
      </c>
      <c r="AJ1665" s="19">
        <f t="shared" si="476"/>
        <v>4446292.375441948</v>
      </c>
      <c r="AK1665" s="20">
        <f t="shared" si="483"/>
        <v>0.13071226364205143</v>
      </c>
      <c r="AL1665" s="17"/>
      <c r="AM1665" s="17"/>
      <c r="AN1665" s="17"/>
      <c r="AO1665" s="17"/>
      <c r="AP1665" s="28" t="str">
        <f t="shared" si="484"/>
        <v>20197</v>
      </c>
      <c r="AQ1665" s="28" t="str">
        <f t="shared" si="485"/>
        <v>20197RMB</v>
      </c>
      <c r="AR1665" s="206" t="str">
        <f t="shared" si="486"/>
        <v>YAMAHA_Mounter</v>
      </c>
      <c r="AS1665" s="22">
        <f t="shared" si="487"/>
        <v>1</v>
      </c>
      <c r="AT1665" s="24" t="str">
        <f t="shared" si="488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89"/>
        <v>8600000</v>
      </c>
      <c r="AA1666" s="13">
        <v>6.2799999999999995E-2</v>
      </c>
      <c r="AB1666" s="21">
        <f t="shared" si="492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493">IF(P1666="C66 SERVICE","",SUMIFS(AB:AB,F:F,F1666,G:G,G1666,E:E,E1666))</f>
        <v>499582152.5142017</v>
      </c>
      <c r="AJ1666" s="19">
        <f t="shared" ref="AJ1666:AJ1729" si="494">IF(P1666="C66 SERVICE","",SUMIFS(AC:AC,F:F,F1666,G:G,G1666,E:E,E1666))</f>
        <v>59520528.679470733</v>
      </c>
      <c r="AK1666" s="20">
        <f t="shared" si="483"/>
        <v>0.11914062257814291</v>
      </c>
      <c r="AL1666" s="17"/>
      <c r="AM1666" s="17"/>
      <c r="AN1666" s="17"/>
      <c r="AO1666" s="17"/>
      <c r="AP1666" s="28" t="str">
        <f t="shared" si="484"/>
        <v>CancelCancel</v>
      </c>
      <c r="AQ1666" s="28" t="str">
        <f t="shared" si="485"/>
        <v>CancelCancelJPY</v>
      </c>
      <c r="AR1666" s="206" t="str">
        <f t="shared" si="486"/>
        <v>YAMAHA_Mounter</v>
      </c>
      <c r="AS1666" s="22" t="str">
        <f t="shared" si="487"/>
        <v/>
      </c>
      <c r="AT1666" s="24" t="str">
        <f t="shared" si="488"/>
        <v/>
      </c>
      <c r="AU1666" s="22" t="s">
        <v>3745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89"/>
        <v>590000</v>
      </c>
      <c r="AA1667" s="13">
        <v>1.095</v>
      </c>
      <c r="AB1667" s="21">
        <f t="shared" si="492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93"/>
        <v>37599388.802345134</v>
      </c>
      <c r="AJ1667" s="19">
        <f t="shared" si="494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6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  <c r="AU1667" s="22" t="s">
        <v>3744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89"/>
        <v>12270000</v>
      </c>
      <c r="AA1668" s="13">
        <v>6.9199999999999998E-2</v>
      </c>
      <c r="AB1668" s="21">
        <f t="shared" si="492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93"/>
        <v>26407088.359292038</v>
      </c>
      <c r="AJ1668" s="19">
        <f t="shared" si="494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6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89"/>
        <v>12270000</v>
      </c>
      <c r="AA1669" s="13">
        <v>6.25E-2</v>
      </c>
      <c r="AB1669" s="21">
        <f t="shared" si="492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93"/>
        <v>35682787.057522126</v>
      </c>
      <c r="AJ1669" s="19">
        <f t="shared" si="494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6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89"/>
        <v>12270000</v>
      </c>
      <c r="AA1670" s="13">
        <v>6.25E-2</v>
      </c>
      <c r="AB1670" s="21">
        <f t="shared" si="492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493"/>
        <v>35682787.057522126</v>
      </c>
      <c r="AJ1670" s="19">
        <f t="shared" si="494"/>
        <v>5833368.3789623892</v>
      </c>
      <c r="AK1670" s="20">
        <f t="shared" ref="AK1670:AK1733" si="501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2">IF(F1670="","",F1670&amp;G1670)</f>
        <v>20226</v>
      </c>
      <c r="AQ1670" s="28" t="str">
        <f t="shared" ref="AQ1670:AQ1733" si="503">IF(W1670="","",F1670&amp;G1670&amp;W1670)</f>
        <v>20226JPY</v>
      </c>
      <c r="AR1670" s="206" t="str">
        <f t="shared" ref="AR1670:AR1733" si="504">IFERROR(IF(AND(M1670="YAMAHA", R1670="C28"), "YAMAHA_Non_Mounter", IF(AND(M1670="YAMAHA", R1670="C49"), "YAMAHA_Mounter", M1670)),"")</f>
        <v>YAMAHA_Mounter</v>
      </c>
      <c r="AS1670" s="22">
        <f t="shared" ref="AS1670:AS1733" si="505">IFERROR(IF(OR(G1670="TBA", G1670=""), "", DATEDIF(DATE(B1670, C1670, 1), DATE(F1670, G1670, 1), "M")),"")</f>
        <v>12</v>
      </c>
      <c r="AT1670" s="24" t="str">
        <f t="shared" ref="AT1670:AT1733" si="506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89"/>
        <v>739000</v>
      </c>
      <c r="AA1671" s="13">
        <v>1.1399999999999999</v>
      </c>
      <c r="AB1671" s="21">
        <f t="shared" si="492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493"/>
        <v>30573205.452778768</v>
      </c>
      <c r="AJ1671" s="19">
        <f t="shared" si="494"/>
        <v>3790930.1683151261</v>
      </c>
      <c r="AK1671" s="20">
        <f t="shared" si="501"/>
        <v>0.12399518179964254</v>
      </c>
      <c r="AL1671" s="17"/>
      <c r="AM1671" s="17"/>
      <c r="AN1671" s="17"/>
      <c r="AO1671" s="17"/>
      <c r="AP1671" s="28" t="str">
        <f t="shared" si="502"/>
        <v>20234</v>
      </c>
      <c r="AQ1671" s="28" t="str">
        <f t="shared" si="503"/>
        <v>20234RMB</v>
      </c>
      <c r="AR1671" s="206" t="str">
        <f t="shared" si="504"/>
        <v>YAMAHA_Mounter</v>
      </c>
      <c r="AS1671" s="22">
        <f t="shared" si="505"/>
        <v>2</v>
      </c>
      <c r="AT1671" s="24" t="str">
        <f t="shared" si="506"/>
        <v>0-3 months</v>
      </c>
      <c r="AU1671" s="22" t="s">
        <v>3751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89"/>
        <v>8120000</v>
      </c>
      <c r="AA1672" s="22">
        <v>5.3100000000000001E-2</v>
      </c>
      <c r="AB1672" s="21">
        <f t="shared" si="492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93"/>
        <v>21241742.157380536</v>
      </c>
      <c r="AJ1672" s="27">
        <f t="shared" si="494"/>
        <v>2987081.1613773629</v>
      </c>
      <c r="AK1672" s="28">
        <f t="shared" si="501"/>
        <v>0.14062317201884914</v>
      </c>
      <c r="AL1672" s="24"/>
      <c r="AM1672" s="24"/>
      <c r="AN1672" s="24"/>
      <c r="AO1672" s="24"/>
      <c r="AP1672" s="28" t="str">
        <f t="shared" si="502"/>
        <v>20243</v>
      </c>
      <c r="AQ1672" s="28" t="str">
        <f t="shared" si="503"/>
        <v>20243JPY</v>
      </c>
      <c r="AR1672" s="206" t="str">
        <f t="shared" si="504"/>
        <v>YAMAHA_Mounter</v>
      </c>
      <c r="AS1672" s="22">
        <f t="shared" si="505"/>
        <v>1</v>
      </c>
      <c r="AT1672" s="24" t="str">
        <f t="shared" si="506"/>
        <v>0-3 months</v>
      </c>
      <c r="AU1672" s="22" t="s">
        <v>3745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89"/>
        <v>585200</v>
      </c>
      <c r="AA1673" s="13">
        <v>1.1950000000000001</v>
      </c>
      <c r="AB1673" s="21">
        <f t="shared" si="492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493"/>
        <v>499582152.5142017</v>
      </c>
      <c r="AJ1673" s="19">
        <f t="shared" si="494"/>
        <v>59520528.679470733</v>
      </c>
      <c r="AK1673" s="20">
        <f t="shared" si="501"/>
        <v>0.11914062257814291</v>
      </c>
      <c r="AL1673" s="17"/>
      <c r="AM1673" s="17"/>
      <c r="AN1673" s="17"/>
      <c r="AO1673" s="17" t="s">
        <v>2091</v>
      </c>
      <c r="AP1673" s="28" t="str">
        <f t="shared" si="502"/>
        <v>CancelCANCEL</v>
      </c>
      <c r="AQ1673" s="28" t="str">
        <f t="shared" si="503"/>
        <v>CancelCANCELRMB</v>
      </c>
      <c r="AR1673" s="206" t="str">
        <f t="shared" si="504"/>
        <v>YAMAHA_Mounter</v>
      </c>
      <c r="AS1673" s="22" t="str">
        <f t="shared" si="505"/>
        <v/>
      </c>
      <c r="AT1673" s="24" t="str">
        <f t="shared" si="506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7">IF(X1674="","",X1674*MAX(O1674,N1674))</f>
        <v>585200</v>
      </c>
      <c r="AA1674" s="13">
        <v>1.1950000000000001</v>
      </c>
      <c r="AB1674" s="21">
        <f t="shared" si="492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493"/>
        <v>499582152.5142017</v>
      </c>
      <c r="AJ1674" s="19">
        <f t="shared" si="494"/>
        <v>59520528.679470733</v>
      </c>
      <c r="AK1674" s="20">
        <f t="shared" si="501"/>
        <v>0.11914062257814291</v>
      </c>
      <c r="AL1674" s="17"/>
      <c r="AM1674" s="17"/>
      <c r="AN1674" s="17"/>
      <c r="AO1674" s="17" t="s">
        <v>2091</v>
      </c>
      <c r="AP1674" s="28" t="str">
        <f t="shared" si="502"/>
        <v>CancelCANCEL</v>
      </c>
      <c r="AQ1674" s="28" t="str">
        <f t="shared" si="503"/>
        <v>CancelCANCELRMB</v>
      </c>
      <c r="AR1674" s="206" t="str">
        <f t="shared" si="504"/>
        <v>YAMAHA_Mounter</v>
      </c>
      <c r="AS1674" s="22" t="str">
        <f t="shared" si="505"/>
        <v/>
      </c>
      <c r="AT1674" s="24" t="str">
        <f t="shared" si="506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7"/>
        <v>9800000</v>
      </c>
      <c r="AA1675" s="13">
        <v>7.2099999999999997E-2</v>
      </c>
      <c r="AB1675" s="21">
        <f t="shared" si="492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493"/>
        <v>26492741.106427077</v>
      </c>
      <c r="AJ1675" s="19">
        <f t="shared" si="494"/>
        <v>3348032.1325698122</v>
      </c>
      <c r="AK1675" s="20">
        <f t="shared" si="501"/>
        <v>0.12637545201985867</v>
      </c>
      <c r="AL1675" s="17"/>
      <c r="AM1675" s="17"/>
      <c r="AN1675" s="17"/>
      <c r="AO1675" s="17"/>
      <c r="AP1675" s="28" t="str">
        <f t="shared" si="502"/>
        <v>20189</v>
      </c>
      <c r="AQ1675" s="28" t="str">
        <f t="shared" si="503"/>
        <v>20189JPY</v>
      </c>
      <c r="AR1675" s="206" t="str">
        <f t="shared" si="504"/>
        <v>YAMAHA_Mounter</v>
      </c>
      <c r="AS1675" s="22">
        <f t="shared" si="505"/>
        <v>8</v>
      </c>
      <c r="AT1675" s="24" t="str">
        <f t="shared" si="506"/>
        <v>&gt; 6 months</v>
      </c>
      <c r="AU1675" s="22" t="s">
        <v>3745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7"/>
        <v>460000</v>
      </c>
      <c r="AA1676" s="13">
        <v>1.175</v>
      </c>
      <c r="AB1676" s="21">
        <f t="shared" si="492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493"/>
        <v>35682787.057522126</v>
      </c>
      <c r="AJ1676" s="19">
        <f t="shared" si="494"/>
        <v>5833368.3789623892</v>
      </c>
      <c r="AK1676" s="20">
        <f t="shared" si="501"/>
        <v>0.16347849649632912</v>
      </c>
      <c r="AL1676" s="17"/>
      <c r="AM1676" s="17"/>
      <c r="AN1676" s="17"/>
      <c r="AO1676" s="17"/>
      <c r="AP1676" s="28" t="str">
        <f t="shared" si="502"/>
        <v>20226</v>
      </c>
      <c r="AQ1676" s="28" t="str">
        <f t="shared" si="503"/>
        <v>20226RMB</v>
      </c>
      <c r="AR1676" s="206" t="str">
        <f t="shared" si="504"/>
        <v>YAMAHA_Mounter</v>
      </c>
      <c r="AS1676" s="22">
        <f t="shared" si="505"/>
        <v>0</v>
      </c>
      <c r="AT1676" s="24" t="str">
        <f t="shared" si="506"/>
        <v>0-3 months</v>
      </c>
      <c r="AU1676" s="22" t="s">
        <v>3751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7"/>
        <v>11000000</v>
      </c>
      <c r="AA1677" s="13">
        <v>7.3499999999999996E-2</v>
      </c>
      <c r="AB1677" s="21">
        <f t="shared" si="492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493"/>
        <v>26147030.909862842</v>
      </c>
      <c r="AJ1677" s="19">
        <f t="shared" si="494"/>
        <v>2743862.8630715334</v>
      </c>
      <c r="AK1677" s="20">
        <f t="shared" si="501"/>
        <v>0.10493974908778378</v>
      </c>
      <c r="AL1677" s="17"/>
      <c r="AM1677" s="17"/>
      <c r="AN1677" s="17"/>
      <c r="AO1677" s="17"/>
      <c r="AP1677" s="28" t="str">
        <f t="shared" si="502"/>
        <v>201911</v>
      </c>
      <c r="AQ1677" s="28" t="str">
        <f t="shared" si="503"/>
        <v>201911JPY</v>
      </c>
      <c r="AR1677" s="206" t="str">
        <f t="shared" si="504"/>
        <v>YAMAHA_Mounter</v>
      </c>
      <c r="AS1677" s="22">
        <f t="shared" si="505"/>
        <v>0</v>
      </c>
      <c r="AT1677" s="24" t="str">
        <f t="shared" si="506"/>
        <v>0-3 months</v>
      </c>
      <c r="AU1677" s="22" t="s">
        <v>3745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7"/>
        <v>12700000</v>
      </c>
      <c r="AA1678" s="13">
        <v>7.2800000000000004E-2</v>
      </c>
      <c r="AB1678" s="21">
        <f t="shared" si="492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493"/>
        <v>63006605.696460173</v>
      </c>
      <c r="AJ1678" s="19">
        <f t="shared" si="494"/>
        <v>8897485.660753984</v>
      </c>
      <c r="AK1678" s="20">
        <f t="shared" si="501"/>
        <v>0.141215124388995</v>
      </c>
      <c r="AL1678" s="17"/>
      <c r="AM1678" s="17"/>
      <c r="AN1678" s="17"/>
      <c r="AO1678" s="17"/>
      <c r="AP1678" s="28" t="str">
        <f t="shared" si="502"/>
        <v>20215</v>
      </c>
      <c r="AQ1678" s="28" t="str">
        <f t="shared" si="503"/>
        <v>20215JPY</v>
      </c>
      <c r="AR1678" s="206" t="str">
        <f t="shared" si="504"/>
        <v>YAMAHA_Mounter</v>
      </c>
      <c r="AS1678" s="22">
        <f t="shared" si="505"/>
        <v>3</v>
      </c>
      <c r="AT1678" s="24" t="str">
        <f t="shared" si="506"/>
        <v>0-3 months</v>
      </c>
      <c r="AU1678" s="22" t="s">
        <v>3745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7"/>
        <v>14000000</v>
      </c>
      <c r="AA1679" s="13">
        <v>7.0000000000000007E-2</v>
      </c>
      <c r="AB1679" s="21">
        <f t="shared" si="492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493"/>
        <v>29500529.005044252</v>
      </c>
      <c r="AJ1679" s="19">
        <f t="shared" si="494"/>
        <v>3253064.846231177</v>
      </c>
      <c r="AK1679" s="20">
        <f t="shared" si="501"/>
        <v>0.11027140718984871</v>
      </c>
      <c r="AL1679" s="17"/>
      <c r="AM1679" s="17"/>
      <c r="AN1679" s="17"/>
      <c r="AO1679" s="17"/>
      <c r="AP1679" s="28" t="str">
        <f t="shared" si="502"/>
        <v>202111</v>
      </c>
      <c r="AQ1679" s="28" t="str">
        <f t="shared" si="503"/>
        <v>202111JPY</v>
      </c>
      <c r="AR1679" s="206" t="str">
        <f t="shared" si="504"/>
        <v>YAMAHA_Mounter</v>
      </c>
      <c r="AS1679" s="22">
        <f t="shared" si="505"/>
        <v>3</v>
      </c>
      <c r="AT1679" s="24" t="str">
        <f t="shared" si="506"/>
        <v>0-3 months</v>
      </c>
      <c r="AU1679" s="22" t="s">
        <v>3745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7"/>
        <v>11998800</v>
      </c>
      <c r="AA1680" s="13">
        <v>7.3599999999999999E-2</v>
      </c>
      <c r="AB1680" s="21">
        <f t="shared" si="492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493"/>
        <v>499582152.5142017</v>
      </c>
      <c r="AJ1680" s="19">
        <f t="shared" si="494"/>
        <v>59520528.679470733</v>
      </c>
      <c r="AK1680" s="20">
        <f t="shared" si="501"/>
        <v>0.11914062257814291</v>
      </c>
      <c r="AL1680" s="17"/>
      <c r="AM1680" s="17"/>
      <c r="AN1680" s="17"/>
      <c r="AO1680" s="17"/>
      <c r="AP1680" s="28" t="str">
        <f t="shared" si="502"/>
        <v>CancelCancel</v>
      </c>
      <c r="AQ1680" s="28" t="str">
        <f t="shared" si="503"/>
        <v>CancelCancelJPY</v>
      </c>
      <c r="AR1680" s="206" t="str">
        <f t="shared" si="504"/>
        <v>YAMAHA_Mounter</v>
      </c>
      <c r="AS1680" s="22" t="str">
        <f t="shared" si="505"/>
        <v/>
      </c>
      <c r="AT1680" s="24" t="str">
        <f t="shared" si="506"/>
        <v/>
      </c>
      <c r="AU1680" s="22" t="s">
        <v>3745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7"/>
        <v>13500000</v>
      </c>
      <c r="AA1681" s="13">
        <v>7.0999999999999994E-2</v>
      </c>
      <c r="AB1681" s="21">
        <f t="shared" si="492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493"/>
        <v>15533177.71460177</v>
      </c>
      <c r="AJ1681" s="19">
        <f t="shared" si="494"/>
        <v>1819298.5437526547</v>
      </c>
      <c r="AK1681" s="20">
        <f t="shared" si="501"/>
        <v>0.11712339723265033</v>
      </c>
      <c r="AL1681" s="17"/>
      <c r="AM1681" s="17"/>
      <c r="AN1681" s="17"/>
      <c r="AO1681" s="17"/>
      <c r="AP1681" s="28" t="str">
        <f t="shared" si="502"/>
        <v>202110</v>
      </c>
      <c r="AQ1681" s="28" t="str">
        <f t="shared" si="503"/>
        <v>202110JPY</v>
      </c>
      <c r="AR1681" s="206" t="str">
        <f t="shared" si="504"/>
        <v>YAMAHA_Mounter</v>
      </c>
      <c r="AS1681" s="22">
        <f t="shared" si="505"/>
        <v>6</v>
      </c>
      <c r="AT1681" s="24" t="str">
        <f t="shared" si="506"/>
        <v>4-6 months</v>
      </c>
      <c r="AU1681" s="22" t="s">
        <v>3746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7"/>
        <v>8900000</v>
      </c>
      <c r="AA1682" s="13">
        <v>6.9199999999999998E-2</v>
      </c>
      <c r="AB1682" s="21">
        <f t="shared" si="492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493"/>
        <v>28726768.133805312</v>
      </c>
      <c r="AJ1682" s="19">
        <f t="shared" si="494"/>
        <v>3853638.1988864429</v>
      </c>
      <c r="AK1682" s="20">
        <f t="shared" si="501"/>
        <v>0.1341479898099476</v>
      </c>
      <c r="AL1682" s="17"/>
      <c r="AM1682" s="17"/>
      <c r="AN1682" s="17"/>
      <c r="AO1682" s="17"/>
      <c r="AP1682" s="28" t="str">
        <f t="shared" si="502"/>
        <v>20223</v>
      </c>
      <c r="AQ1682" s="28" t="str">
        <f t="shared" si="503"/>
        <v>20223JPY</v>
      </c>
      <c r="AR1682" s="206" t="str">
        <f t="shared" si="504"/>
        <v>YAMAHA_Mounter</v>
      </c>
      <c r="AS1682" s="22">
        <f t="shared" si="505"/>
        <v>11</v>
      </c>
      <c r="AT1682" s="24" t="str">
        <f t="shared" si="506"/>
        <v>&gt; 6 months</v>
      </c>
      <c r="AU1682" s="22" t="s">
        <v>3746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7"/>
        <v>18143760</v>
      </c>
      <c r="AA1683" s="13">
        <v>7.2300000000000003E-2</v>
      </c>
      <c r="AB1683" s="21">
        <f t="shared" si="492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493"/>
        <v>34109166.105589926</v>
      </c>
      <c r="AJ1683" s="19">
        <f t="shared" si="494"/>
        <v>4642032.7199573703</v>
      </c>
      <c r="AK1683" s="20">
        <f t="shared" si="501"/>
        <v>0.13609340977692849</v>
      </c>
      <c r="AL1683" s="17"/>
      <c r="AM1683" s="17"/>
      <c r="AN1683" s="17"/>
      <c r="AO1683" s="17"/>
      <c r="AP1683" s="28" t="str">
        <f t="shared" si="502"/>
        <v>20185</v>
      </c>
      <c r="AQ1683" s="28" t="str">
        <f t="shared" si="503"/>
        <v>20185JPY</v>
      </c>
      <c r="AR1683" s="206" t="str">
        <f t="shared" si="504"/>
        <v>YAMAHA_Mounter</v>
      </c>
      <c r="AS1683" s="22">
        <f t="shared" si="505"/>
        <v>2</v>
      </c>
      <c r="AT1683" s="24" t="str">
        <f t="shared" si="506"/>
        <v>0-3 months</v>
      </c>
      <c r="AU1683" s="22" t="s">
        <v>3745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7"/>
        <v>18143760</v>
      </c>
      <c r="AA1684" s="13">
        <v>7.3200000000000001E-2</v>
      </c>
      <c r="AB1684" s="21">
        <f t="shared" si="492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493"/>
        <v>499582152.5142017</v>
      </c>
      <c r="AJ1684" s="19">
        <f t="shared" si="494"/>
        <v>59520528.679470733</v>
      </c>
      <c r="AK1684" s="20">
        <f t="shared" si="501"/>
        <v>0.11914062257814291</v>
      </c>
      <c r="AL1684" s="17"/>
      <c r="AM1684" s="17"/>
      <c r="AN1684" s="17"/>
      <c r="AO1684" s="17"/>
      <c r="AP1684" s="28" t="str">
        <f t="shared" si="502"/>
        <v>CancelCancel</v>
      </c>
      <c r="AQ1684" s="28" t="str">
        <f t="shared" si="503"/>
        <v>CancelCancelJPY</v>
      </c>
      <c r="AR1684" s="206" t="str">
        <f t="shared" si="504"/>
        <v>YAMAHA_Mounter</v>
      </c>
      <c r="AS1684" s="22" t="str">
        <f t="shared" si="505"/>
        <v/>
      </c>
      <c r="AT1684" s="24" t="str">
        <f t="shared" si="506"/>
        <v/>
      </c>
      <c r="AU1684" s="22" t="s">
        <v>3745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7"/>
        <v>7100000</v>
      </c>
      <c r="AA1685" s="13">
        <v>7.5700000000000003E-2</v>
      </c>
      <c r="AB1685" s="21">
        <f t="shared" si="492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493"/>
        <v>31097187.02948761</v>
      </c>
      <c r="AJ1685" s="19">
        <f t="shared" si="494"/>
        <v>3892353.6644401965</v>
      </c>
      <c r="AK1685" s="20">
        <f t="shared" si="501"/>
        <v>0.12516738767237401</v>
      </c>
      <c r="AL1685" s="17"/>
      <c r="AM1685" s="17"/>
      <c r="AN1685" s="17"/>
      <c r="AO1685" s="17"/>
      <c r="AP1685" s="28" t="str">
        <f t="shared" si="502"/>
        <v>20212</v>
      </c>
      <c r="AQ1685" s="28" t="str">
        <f t="shared" si="503"/>
        <v>20212JPY</v>
      </c>
      <c r="AR1685" s="206" t="str">
        <f t="shared" si="504"/>
        <v>YAMAHA_Mounter</v>
      </c>
      <c r="AS1685" s="22">
        <f t="shared" si="505"/>
        <v>1</v>
      </c>
      <c r="AT1685" s="24" t="str">
        <f t="shared" si="506"/>
        <v>0-3 months</v>
      </c>
      <c r="AU1685" s="22" t="s">
        <v>3745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7"/>
        <v>10000000</v>
      </c>
      <c r="AA1686" s="13">
        <v>7.2300000000000003E-2</v>
      </c>
      <c r="AB1686" s="21">
        <f t="shared" si="492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493"/>
        <v>32843736.557277881</v>
      </c>
      <c r="AJ1686" s="19">
        <f t="shared" si="494"/>
        <v>3921470.6822663117</v>
      </c>
      <c r="AK1686" s="20">
        <f t="shared" si="501"/>
        <v>0.11939782416131177</v>
      </c>
      <c r="AL1686" s="17"/>
      <c r="AM1686" s="17"/>
      <c r="AN1686" s="17"/>
      <c r="AO1686" s="17"/>
      <c r="AP1686" s="28" t="str">
        <f t="shared" si="502"/>
        <v>20194</v>
      </c>
      <c r="AQ1686" s="28" t="str">
        <f t="shared" si="503"/>
        <v>20194JPY</v>
      </c>
      <c r="AR1686" s="206" t="str">
        <f t="shared" si="504"/>
        <v>YAMAHA_Mounter</v>
      </c>
      <c r="AS1686" s="22">
        <f t="shared" si="505"/>
        <v>1</v>
      </c>
      <c r="AT1686" s="24" t="str">
        <f t="shared" si="506"/>
        <v>0-3 months</v>
      </c>
      <c r="AU1686" s="22" t="s">
        <v>3745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7"/>
        <v>13000000</v>
      </c>
      <c r="AA1687" s="13">
        <v>7.2300000000000003E-2</v>
      </c>
      <c r="AB1687" s="21">
        <f t="shared" si="492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493"/>
        <v>32843736.557277881</v>
      </c>
      <c r="AJ1687" s="19">
        <f t="shared" si="494"/>
        <v>3921470.6822663117</v>
      </c>
      <c r="AK1687" s="20">
        <f t="shared" si="501"/>
        <v>0.11939782416131177</v>
      </c>
      <c r="AL1687" s="17"/>
      <c r="AM1687" s="17"/>
      <c r="AN1687" s="17"/>
      <c r="AO1687" s="17"/>
      <c r="AP1687" s="28" t="str">
        <f t="shared" si="502"/>
        <v>20194</v>
      </c>
      <c r="AQ1687" s="28" t="str">
        <f t="shared" si="503"/>
        <v>20194JPY</v>
      </c>
      <c r="AR1687" s="206" t="str">
        <f t="shared" si="504"/>
        <v>YAMAHA_Mounter</v>
      </c>
      <c r="AS1687" s="22">
        <f t="shared" si="505"/>
        <v>1</v>
      </c>
      <c r="AT1687" s="24" t="str">
        <f t="shared" si="506"/>
        <v>0-3 months</v>
      </c>
      <c r="AU1687" s="22" t="s">
        <v>3745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7"/>
        <v>1010000</v>
      </c>
      <c r="AA1688" s="13">
        <v>1.135</v>
      </c>
      <c r="AB1688" s="21">
        <f t="shared" si="492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493"/>
        <v>31296887.037898075</v>
      </c>
      <c r="AJ1688" s="19">
        <f t="shared" si="494"/>
        <v>3588873.9502021763</v>
      </c>
      <c r="AK1688" s="20">
        <f t="shared" si="501"/>
        <v>0.11467191436184473</v>
      </c>
      <c r="AL1688" s="17"/>
      <c r="AM1688" s="17"/>
      <c r="AN1688" s="17"/>
      <c r="AO1688" s="17"/>
      <c r="AP1688" s="28" t="str">
        <f t="shared" si="502"/>
        <v>20196</v>
      </c>
      <c r="AQ1688" s="28" t="str">
        <f t="shared" si="503"/>
        <v>20196RMB</v>
      </c>
      <c r="AR1688" s="206" t="str">
        <f t="shared" si="504"/>
        <v>YAMAHA_Mounter</v>
      </c>
      <c r="AS1688" s="22">
        <f t="shared" si="505"/>
        <v>0</v>
      </c>
      <c r="AT1688" s="24" t="str">
        <f t="shared" si="506"/>
        <v>0-3 months</v>
      </c>
      <c r="AU1688" s="22" t="s">
        <v>3744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7"/>
        <v>14200000</v>
      </c>
      <c r="AA1689" s="13">
        <v>7.17E-2</v>
      </c>
      <c r="AB1689" s="21">
        <f t="shared" si="492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493"/>
        <v>43684091.636631854</v>
      </c>
      <c r="AJ1689" s="19">
        <f t="shared" si="494"/>
        <v>6483951.8242071122</v>
      </c>
      <c r="AK1689" s="20">
        <f t="shared" si="501"/>
        <v>0.14842821680123736</v>
      </c>
      <c r="AL1689" s="17"/>
      <c r="AM1689" s="17"/>
      <c r="AN1689" s="17"/>
      <c r="AO1689" s="17"/>
      <c r="AP1689" s="28" t="str">
        <f t="shared" si="502"/>
        <v>20214</v>
      </c>
      <c r="AQ1689" s="28" t="str">
        <f t="shared" si="503"/>
        <v>20214JPY</v>
      </c>
      <c r="AR1689" s="206" t="str">
        <f t="shared" si="504"/>
        <v>YAMAHA_Mounter</v>
      </c>
      <c r="AS1689" s="22">
        <f t="shared" si="505"/>
        <v>2</v>
      </c>
      <c r="AT1689" s="24" t="str">
        <f t="shared" si="506"/>
        <v>0-3 months</v>
      </c>
      <c r="AU1689" s="22" t="s">
        <v>3745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7"/>
        <v>11200000</v>
      </c>
      <c r="AA1690" s="13">
        <v>5.7799999999999997E-2</v>
      </c>
      <c r="AB1690" s="21">
        <f t="shared" si="492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493"/>
        <v>15948576.102654871</v>
      </c>
      <c r="AJ1690" s="19">
        <f t="shared" si="494"/>
        <v>2739848.7004853105</v>
      </c>
      <c r="AK1690" s="20">
        <f t="shared" si="501"/>
        <v>0.17179268436567344</v>
      </c>
      <c r="AL1690" s="17"/>
      <c r="AM1690" s="17"/>
      <c r="AN1690" s="17"/>
      <c r="AO1690" s="17"/>
      <c r="AP1690" s="28" t="str">
        <f t="shared" si="502"/>
        <v>20229</v>
      </c>
      <c r="AQ1690" s="28" t="str">
        <f t="shared" si="503"/>
        <v>20229JPY</v>
      </c>
      <c r="AR1690" s="206" t="str">
        <f t="shared" si="504"/>
        <v>YAMAHA_Mounter</v>
      </c>
      <c r="AS1690" s="22">
        <f t="shared" si="505"/>
        <v>8</v>
      </c>
      <c r="AT1690" s="24" t="str">
        <f t="shared" si="506"/>
        <v>&gt; 6 months</v>
      </c>
      <c r="AU1690" s="22" t="s">
        <v>3745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7"/>
        <v>720000</v>
      </c>
      <c r="AA1691" s="13">
        <v>1.135</v>
      </c>
      <c r="AB1691" s="21">
        <f t="shared" si="492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493"/>
        <v>34015877.71150443</v>
      </c>
      <c r="AJ1691" s="19">
        <f t="shared" si="494"/>
        <v>4446292.375441948</v>
      </c>
      <c r="AK1691" s="20">
        <f t="shared" si="501"/>
        <v>0.13071226364205143</v>
      </c>
      <c r="AL1691" s="17"/>
      <c r="AM1691" s="17"/>
      <c r="AN1691" s="17"/>
      <c r="AO1691" s="17"/>
      <c r="AP1691" s="28" t="str">
        <f t="shared" si="502"/>
        <v>20197</v>
      </c>
      <c r="AQ1691" s="28" t="str">
        <f t="shared" si="503"/>
        <v>20197RMB</v>
      </c>
      <c r="AR1691" s="206" t="str">
        <f t="shared" si="504"/>
        <v>YAMAHA_Mounter</v>
      </c>
      <c r="AS1691" s="22">
        <f t="shared" si="505"/>
        <v>2</v>
      </c>
      <c r="AT1691" s="24" t="str">
        <f t="shared" si="506"/>
        <v>0-3 months</v>
      </c>
      <c r="AU1691" s="22" t="s">
        <v>3744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7"/>
        <v>11327150</v>
      </c>
      <c r="AA1692" s="13">
        <v>7.2099999999999997E-2</v>
      </c>
      <c r="AB1692" s="21">
        <f t="shared" si="492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493"/>
        <v>26754147.763010349</v>
      </c>
      <c r="AJ1692" s="19">
        <f t="shared" si="494"/>
        <v>3429137.9965357962</v>
      </c>
      <c r="AK1692" s="20">
        <f t="shared" si="501"/>
        <v>0.12817220069617921</v>
      </c>
      <c r="AL1692" s="17"/>
      <c r="AM1692" s="17"/>
      <c r="AN1692" s="17"/>
      <c r="AO1692" s="17"/>
      <c r="AP1692" s="28" t="str">
        <f t="shared" si="502"/>
        <v>20188</v>
      </c>
      <c r="AQ1692" s="28" t="str">
        <f t="shared" si="503"/>
        <v>20188JPY</v>
      </c>
      <c r="AR1692" s="206" t="str">
        <f t="shared" si="504"/>
        <v>YAMAHA_Mounter</v>
      </c>
      <c r="AS1692" s="22">
        <f t="shared" si="505"/>
        <v>18</v>
      </c>
      <c r="AT1692" s="24" t="str">
        <f t="shared" si="506"/>
        <v>&gt; 6 months</v>
      </c>
      <c r="AU1692" s="22" t="s">
        <v>3745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08">IF(W1693="RMB","1.13", "1")</f>
        <v>1</v>
      </c>
      <c r="Z1693" s="18">
        <f t="shared" si="507"/>
        <v>13000000</v>
      </c>
      <c r="AA1693" s="13">
        <v>7.17E-2</v>
      </c>
      <c r="AB1693" s="21">
        <f t="shared" si="492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493"/>
        <v>41443303.53761062</v>
      </c>
      <c r="AJ1693" s="19">
        <f t="shared" si="494"/>
        <v>6194988.76643031</v>
      </c>
      <c r="AK1693" s="20">
        <f t="shared" si="501"/>
        <v>0.1494810557466355</v>
      </c>
      <c r="AL1693" s="17"/>
      <c r="AM1693" s="17"/>
      <c r="AN1693" s="17"/>
      <c r="AO1693" s="17"/>
      <c r="AP1693" s="28" t="str">
        <f t="shared" si="502"/>
        <v>20217</v>
      </c>
      <c r="AQ1693" s="28" t="str">
        <f t="shared" si="503"/>
        <v>20217JPY</v>
      </c>
      <c r="AR1693" s="206" t="str">
        <f t="shared" si="504"/>
        <v>YAMAHA_Mounter</v>
      </c>
      <c r="AS1693" s="22">
        <f t="shared" si="505"/>
        <v>4</v>
      </c>
      <c r="AT1693" s="24" t="str">
        <f t="shared" si="506"/>
        <v>4-6 months</v>
      </c>
      <c r="AU1693" s="22" t="s">
        <v>3745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08"/>
        <v>1</v>
      </c>
      <c r="Z1694" s="18">
        <f t="shared" si="507"/>
        <v>9200000</v>
      </c>
      <c r="AA1694" s="13">
        <v>7.17E-2</v>
      </c>
      <c r="AB1694" s="21">
        <f t="shared" si="492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493"/>
        <v>41443303.53761062</v>
      </c>
      <c r="AJ1694" s="19">
        <f t="shared" si="494"/>
        <v>6194988.76643031</v>
      </c>
      <c r="AK1694" s="20">
        <f t="shared" si="501"/>
        <v>0.1494810557466355</v>
      </c>
      <c r="AL1694" s="17"/>
      <c r="AM1694" s="17"/>
      <c r="AN1694" s="17"/>
      <c r="AO1694" s="17"/>
      <c r="AP1694" s="28" t="str">
        <f t="shared" si="502"/>
        <v>20217</v>
      </c>
      <c r="AQ1694" s="28" t="str">
        <f t="shared" si="503"/>
        <v>20217JPY</v>
      </c>
      <c r="AR1694" s="206" t="str">
        <f t="shared" si="504"/>
        <v>YAMAHA_Mounter</v>
      </c>
      <c r="AS1694" s="22">
        <f t="shared" si="505"/>
        <v>4</v>
      </c>
      <c r="AT1694" s="24" t="str">
        <f t="shared" si="506"/>
        <v>4-6 months</v>
      </c>
      <c r="AU1694" s="22" t="s">
        <v>3745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08"/>
        <v>1</v>
      </c>
      <c r="Z1695" s="18">
        <f t="shared" si="507"/>
        <v>14300000</v>
      </c>
      <c r="AA1695" s="13">
        <v>6.54E-2</v>
      </c>
      <c r="AB1695" s="21">
        <f t="shared" si="492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493"/>
        <v>46600814.041769907</v>
      </c>
      <c r="AJ1695" s="19">
        <f t="shared" si="494"/>
        <v>5956366.3435927071</v>
      </c>
      <c r="AK1695" s="20">
        <f t="shared" si="501"/>
        <v>0.1278167874546958</v>
      </c>
      <c r="AL1695" s="17"/>
      <c r="AM1695" s="17"/>
      <c r="AN1695" s="17"/>
      <c r="AO1695" s="17"/>
      <c r="AP1695" s="28" t="str">
        <f t="shared" si="502"/>
        <v>20224</v>
      </c>
      <c r="AQ1695" s="28" t="str">
        <f t="shared" si="503"/>
        <v>20224JPY</v>
      </c>
      <c r="AR1695" s="206" t="str">
        <f t="shared" si="504"/>
        <v>YAMAHA_Mounter</v>
      </c>
      <c r="AS1695" s="22">
        <f t="shared" si="505"/>
        <v>6</v>
      </c>
      <c r="AT1695" s="24" t="str">
        <f t="shared" si="506"/>
        <v>4-6 months</v>
      </c>
      <c r="AU1695" s="22" t="s">
        <v>3745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08"/>
        <v>1</v>
      </c>
      <c r="Z1696" s="18">
        <f t="shared" si="507"/>
        <v>9393000</v>
      </c>
      <c r="AA1696" s="13">
        <v>6.2799999999999995E-2</v>
      </c>
      <c r="AB1696" s="21">
        <f t="shared" si="492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493"/>
        <v>44014086.982070789</v>
      </c>
      <c r="AJ1696" s="19">
        <f t="shared" si="494"/>
        <v>6419974.0221889298</v>
      </c>
      <c r="AK1696" s="20">
        <f t="shared" si="501"/>
        <v>0.14586180158193709</v>
      </c>
      <c r="AL1696" s="17"/>
      <c r="AM1696" s="17"/>
      <c r="AN1696" s="17"/>
      <c r="AO1696" s="17"/>
      <c r="AP1696" s="28" t="str">
        <f t="shared" si="502"/>
        <v>20225</v>
      </c>
      <c r="AQ1696" s="28" t="str">
        <f t="shared" si="503"/>
        <v>20225JPY</v>
      </c>
      <c r="AR1696" s="206" t="str">
        <f t="shared" si="504"/>
        <v>YAMAHA_Mounter</v>
      </c>
      <c r="AS1696" s="22">
        <f t="shared" si="505"/>
        <v>1</v>
      </c>
      <c r="AT1696" s="24" t="str">
        <f t="shared" si="506"/>
        <v>0-3 months</v>
      </c>
      <c r="AU1696" s="22" t="s">
        <v>3745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08"/>
        <v>1</v>
      </c>
      <c r="Z1697" s="18">
        <f t="shared" si="507"/>
        <v>9393000</v>
      </c>
      <c r="AA1697" s="13">
        <v>6.2799999999999995E-2</v>
      </c>
      <c r="AB1697" s="21">
        <f t="shared" si="492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493"/>
        <v>44014086.982070789</v>
      </c>
      <c r="AJ1697" s="19">
        <f t="shared" si="494"/>
        <v>6419974.0221889298</v>
      </c>
      <c r="AK1697" s="20">
        <f t="shared" si="501"/>
        <v>0.14586180158193709</v>
      </c>
      <c r="AL1697" s="17"/>
      <c r="AM1697" s="17"/>
      <c r="AN1697" s="17"/>
      <c r="AO1697" s="17"/>
      <c r="AP1697" s="28" t="str">
        <f t="shared" si="502"/>
        <v>20225</v>
      </c>
      <c r="AQ1697" s="28" t="str">
        <f t="shared" si="503"/>
        <v>20225JPY</v>
      </c>
      <c r="AR1697" s="206" t="str">
        <f t="shared" si="504"/>
        <v>YAMAHA_Mounter</v>
      </c>
      <c r="AS1697" s="22">
        <f t="shared" si="505"/>
        <v>1</v>
      </c>
      <c r="AT1697" s="24" t="str">
        <f t="shared" si="506"/>
        <v>0-3 months</v>
      </c>
      <c r="AU1697" s="22" t="s">
        <v>3745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08"/>
        <v>1.13</v>
      </c>
      <c r="Z1698" s="18">
        <f t="shared" si="507"/>
        <v>550000</v>
      </c>
      <c r="AA1698" s="13">
        <v>1.1000000000000001</v>
      </c>
      <c r="AB1698" s="21">
        <f t="shared" si="492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493"/>
        <v>499582152.5142017</v>
      </c>
      <c r="AJ1698" s="19">
        <f t="shared" si="494"/>
        <v>59520528.679470733</v>
      </c>
      <c r="AK1698" s="20">
        <f t="shared" si="501"/>
        <v>0.11914062257814291</v>
      </c>
      <c r="AL1698" s="17"/>
      <c r="AM1698" s="17"/>
      <c r="AN1698" s="17"/>
      <c r="AO1698" s="17"/>
      <c r="AP1698" s="28" t="str">
        <f t="shared" si="502"/>
        <v>CancelCancel</v>
      </c>
      <c r="AQ1698" s="28" t="str">
        <f t="shared" si="503"/>
        <v>CancelCancelRMB</v>
      </c>
      <c r="AR1698" s="206" t="str">
        <f t="shared" si="504"/>
        <v>YAMAHA_Mounter</v>
      </c>
      <c r="AS1698" s="22" t="str">
        <f t="shared" si="505"/>
        <v/>
      </c>
      <c r="AT1698" s="24" t="str">
        <f t="shared" si="506"/>
        <v/>
      </c>
      <c r="AU1698" s="22" t="s">
        <v>3751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08"/>
        <v>1.13</v>
      </c>
      <c r="Z1699" s="18">
        <f t="shared" si="507"/>
        <v>1000000</v>
      </c>
      <c r="AA1699" s="13">
        <v>1.1000000000000001</v>
      </c>
      <c r="AB1699" s="21">
        <f t="shared" si="492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493"/>
        <v>499582152.5142017</v>
      </c>
      <c r="AJ1699" s="19">
        <f t="shared" si="494"/>
        <v>59520528.679470733</v>
      </c>
      <c r="AK1699" s="20">
        <f t="shared" si="501"/>
        <v>0.11914062257814291</v>
      </c>
      <c r="AL1699" s="17"/>
      <c r="AM1699" s="17"/>
      <c r="AN1699" s="17"/>
      <c r="AO1699" s="17"/>
      <c r="AP1699" s="28" t="str">
        <f t="shared" si="502"/>
        <v>CancelCancel</v>
      </c>
      <c r="AQ1699" s="28" t="str">
        <f t="shared" si="503"/>
        <v>CancelCancelRMB</v>
      </c>
      <c r="AR1699" s="206" t="str">
        <f t="shared" si="504"/>
        <v>YAMAHA_Mounter</v>
      </c>
      <c r="AS1699" s="22" t="str">
        <f t="shared" si="505"/>
        <v/>
      </c>
      <c r="AT1699" s="24" t="str">
        <f t="shared" si="506"/>
        <v/>
      </c>
      <c r="AU1699" s="22" t="s">
        <v>3751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08"/>
        <v>1.13</v>
      </c>
      <c r="Z1700" s="18">
        <f t="shared" si="507"/>
        <v>778000</v>
      </c>
      <c r="AA1700" s="13">
        <v>1.081</v>
      </c>
      <c r="AB1700" s="21">
        <f t="shared" si="492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493"/>
        <v>15951056.41591504</v>
      </c>
      <c r="AJ1700" s="19">
        <f t="shared" si="494"/>
        <v>1966354.6022462982</v>
      </c>
      <c r="AK1700" s="20">
        <f t="shared" si="501"/>
        <v>0.12327425538313459</v>
      </c>
      <c r="AL1700" s="17"/>
      <c r="AM1700" s="17"/>
      <c r="AN1700" s="17"/>
      <c r="AO1700" s="17"/>
      <c r="AP1700" s="28" t="str">
        <f t="shared" si="502"/>
        <v>20237</v>
      </c>
      <c r="AQ1700" s="28" t="str">
        <f t="shared" si="503"/>
        <v>20237RMB</v>
      </c>
      <c r="AR1700" s="206" t="str">
        <f t="shared" si="504"/>
        <v>YAMAHA_Mounter</v>
      </c>
      <c r="AS1700" s="22">
        <f t="shared" si="505"/>
        <v>1</v>
      </c>
      <c r="AT1700" s="24" t="str">
        <f t="shared" si="506"/>
        <v>0-3 months</v>
      </c>
      <c r="AU1700" s="22" t="s">
        <v>3751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7"/>
        <v>643012</v>
      </c>
      <c r="AA1701" s="13">
        <v>1.089</v>
      </c>
      <c r="AB1701" s="21">
        <f t="shared" si="492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493"/>
        <v>29183109.05575221</v>
      </c>
      <c r="AJ1701" s="19">
        <f t="shared" si="494"/>
        <v>3741266.5648721238</v>
      </c>
      <c r="AK1701" s="20">
        <f t="shared" si="501"/>
        <v>0.12819972531798121</v>
      </c>
      <c r="AL1701" s="17"/>
      <c r="AM1701" s="17"/>
      <c r="AN1701" s="17"/>
      <c r="AO1701" s="17"/>
      <c r="AP1701" s="28" t="str">
        <f t="shared" si="502"/>
        <v>20206</v>
      </c>
      <c r="AQ1701" s="28" t="str">
        <f t="shared" si="503"/>
        <v>20206RMB</v>
      </c>
      <c r="AR1701" s="206" t="str">
        <f t="shared" si="504"/>
        <v>YAMAHA_Mounter</v>
      </c>
      <c r="AS1701" s="22">
        <f t="shared" si="505"/>
        <v>2</v>
      </c>
      <c r="AT1701" s="24" t="str">
        <f t="shared" si="506"/>
        <v>0-3 months</v>
      </c>
      <c r="AU1701" s="22" t="s">
        <v>3744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7"/>
        <v>13193000</v>
      </c>
      <c r="AA1702" s="13">
        <v>7.2800000000000004E-2</v>
      </c>
      <c r="AB1702" s="21">
        <f t="shared" si="492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493"/>
        <v>63006605.696460173</v>
      </c>
      <c r="AJ1702" s="19">
        <f t="shared" si="494"/>
        <v>8897485.660753984</v>
      </c>
      <c r="AK1702" s="20">
        <f t="shared" si="501"/>
        <v>0.141215124388995</v>
      </c>
      <c r="AL1702" s="17"/>
      <c r="AM1702" s="17"/>
      <c r="AN1702" s="17"/>
      <c r="AO1702" s="17"/>
      <c r="AP1702" s="28" t="str">
        <f t="shared" si="502"/>
        <v>20215</v>
      </c>
      <c r="AQ1702" s="28" t="str">
        <f t="shared" si="503"/>
        <v>20215JPY</v>
      </c>
      <c r="AR1702" s="206" t="str">
        <f t="shared" si="504"/>
        <v>YAMAHA_Mounter</v>
      </c>
      <c r="AS1702" s="22">
        <f t="shared" si="505"/>
        <v>2</v>
      </c>
      <c r="AT1702" s="24" t="str">
        <f t="shared" si="506"/>
        <v>0-3 months</v>
      </c>
      <c r="AU1702" s="22" t="s">
        <v>3745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7"/>
        <v>12000000</v>
      </c>
      <c r="AA1703" s="13">
        <v>5.4199999999999998E-2</v>
      </c>
      <c r="AB1703" s="21">
        <f t="shared" si="492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493"/>
        <v>499582152.5142017</v>
      </c>
      <c r="AJ1703" s="19">
        <f t="shared" si="494"/>
        <v>59520528.679470733</v>
      </c>
      <c r="AK1703" s="20">
        <f t="shared" si="501"/>
        <v>0.11914062257814291</v>
      </c>
      <c r="AL1703" s="17"/>
      <c r="AM1703" s="17"/>
      <c r="AN1703" s="17"/>
      <c r="AO1703" s="17"/>
      <c r="AP1703" s="28" t="str">
        <f t="shared" si="502"/>
        <v>CancelCancel</v>
      </c>
      <c r="AQ1703" s="28" t="str">
        <f t="shared" si="503"/>
        <v>CancelCancelJPY</v>
      </c>
      <c r="AR1703" s="206" t="str">
        <f t="shared" si="504"/>
        <v>YAMAHA_Mounter</v>
      </c>
      <c r="AS1703" s="22" t="str">
        <f t="shared" si="505"/>
        <v/>
      </c>
      <c r="AT1703" s="24" t="str">
        <f t="shared" si="506"/>
        <v/>
      </c>
      <c r="AU1703" s="22" t="s">
        <v>3745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7"/>
        <v>575000</v>
      </c>
      <c r="AA1704" s="13">
        <v>1.18</v>
      </c>
      <c r="AB1704" s="21">
        <f t="shared" si="492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493"/>
        <v>499582152.5142017</v>
      </c>
      <c r="AJ1704" s="19">
        <f t="shared" si="494"/>
        <v>59520528.679470733</v>
      </c>
      <c r="AK1704" s="20">
        <f t="shared" si="501"/>
        <v>0.11914062257814291</v>
      </c>
      <c r="AL1704" s="17"/>
      <c r="AM1704" s="17"/>
      <c r="AN1704" s="17"/>
      <c r="AO1704" s="17"/>
      <c r="AP1704" s="28" t="str">
        <f t="shared" si="502"/>
        <v>CancelCANCEL</v>
      </c>
      <c r="AQ1704" s="28" t="str">
        <f t="shared" si="503"/>
        <v>CancelCANCELRMB</v>
      </c>
      <c r="AR1704" s="206" t="str">
        <f t="shared" si="504"/>
        <v>YAMAHA_Mounter</v>
      </c>
      <c r="AS1704" s="22" t="str">
        <f t="shared" si="505"/>
        <v/>
      </c>
      <c r="AT1704" s="24" t="str">
        <f t="shared" si="506"/>
        <v/>
      </c>
      <c r="AU1704" s="22" t="s">
        <v>3751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7"/>
        <v>575000</v>
      </c>
      <c r="AA1705" s="13">
        <v>1.18</v>
      </c>
      <c r="AB1705" s="21">
        <f t="shared" si="492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493"/>
        <v>499582152.5142017</v>
      </c>
      <c r="AJ1705" s="19">
        <f t="shared" si="494"/>
        <v>59520528.679470733</v>
      </c>
      <c r="AK1705" s="20">
        <f t="shared" si="501"/>
        <v>0.11914062257814291</v>
      </c>
      <c r="AL1705" s="17"/>
      <c r="AM1705" s="17"/>
      <c r="AN1705" s="17"/>
      <c r="AO1705" s="17"/>
      <c r="AP1705" s="28" t="str">
        <f t="shared" si="502"/>
        <v>CancelCANCEL</v>
      </c>
      <c r="AQ1705" s="28" t="str">
        <f t="shared" si="503"/>
        <v>CancelCANCELRMB</v>
      </c>
      <c r="AR1705" s="206" t="str">
        <f t="shared" si="504"/>
        <v>YAMAHA_Mounter</v>
      </c>
      <c r="AS1705" s="22" t="str">
        <f t="shared" si="505"/>
        <v/>
      </c>
      <c r="AT1705" s="24" t="str">
        <f t="shared" si="506"/>
        <v/>
      </c>
      <c r="AU1705" s="22" t="s">
        <v>3751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7"/>
        <v>575000</v>
      </c>
      <c r="AA1706" s="13">
        <v>1.18</v>
      </c>
      <c r="AB1706" s="21">
        <f t="shared" si="492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493"/>
        <v>499582152.5142017</v>
      </c>
      <c r="AJ1706" s="19">
        <f t="shared" si="494"/>
        <v>59520528.679470733</v>
      </c>
      <c r="AK1706" s="20">
        <f t="shared" si="501"/>
        <v>0.11914062257814291</v>
      </c>
      <c r="AL1706" s="17"/>
      <c r="AM1706" s="17"/>
      <c r="AN1706" s="17"/>
      <c r="AO1706" s="17"/>
      <c r="AP1706" s="28" t="str">
        <f t="shared" si="502"/>
        <v>CancelCANCEL</v>
      </c>
      <c r="AQ1706" s="28" t="str">
        <f t="shared" si="503"/>
        <v>CancelCANCELRMB</v>
      </c>
      <c r="AR1706" s="206" t="str">
        <f t="shared" si="504"/>
        <v>YAMAHA_Mounter</v>
      </c>
      <c r="AS1706" s="22" t="str">
        <f t="shared" si="505"/>
        <v/>
      </c>
      <c r="AT1706" s="24" t="str">
        <f t="shared" si="506"/>
        <v/>
      </c>
      <c r="AU1706" s="22" t="s">
        <v>3751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7"/>
        <v>575000</v>
      </c>
      <c r="AA1707" s="13">
        <v>1.18</v>
      </c>
      <c r="AB1707" s="21">
        <f t="shared" si="492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493"/>
        <v>499582152.5142017</v>
      </c>
      <c r="AJ1707" s="19">
        <f t="shared" si="494"/>
        <v>59520528.679470733</v>
      </c>
      <c r="AK1707" s="20">
        <f t="shared" si="501"/>
        <v>0.11914062257814291</v>
      </c>
      <c r="AL1707" s="17"/>
      <c r="AM1707" s="17"/>
      <c r="AN1707" s="17"/>
      <c r="AO1707" s="17"/>
      <c r="AP1707" s="28" t="str">
        <f t="shared" si="502"/>
        <v>CancelCANCEL</v>
      </c>
      <c r="AQ1707" s="28" t="str">
        <f t="shared" si="503"/>
        <v>CancelCANCELRMB</v>
      </c>
      <c r="AR1707" s="206" t="str">
        <f t="shared" si="504"/>
        <v>YAMAHA_Mounter</v>
      </c>
      <c r="AS1707" s="22" t="str">
        <f t="shared" si="505"/>
        <v/>
      </c>
      <c r="AT1707" s="24" t="str">
        <f t="shared" si="506"/>
        <v/>
      </c>
      <c r="AU1707" s="22" t="s">
        <v>3751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7"/>
        <v>12042200</v>
      </c>
      <c r="AA1708" s="13">
        <v>7.3400000000000007E-2</v>
      </c>
      <c r="AB1708" s="21">
        <f t="shared" si="492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493"/>
        <v>34109166.105589926</v>
      </c>
      <c r="AJ1708" s="19">
        <f t="shared" si="494"/>
        <v>4642032.7199573703</v>
      </c>
      <c r="AK1708" s="20">
        <f t="shared" si="501"/>
        <v>0.13609340977692849</v>
      </c>
      <c r="AL1708" s="17"/>
      <c r="AM1708" s="17"/>
      <c r="AN1708" s="17"/>
      <c r="AO1708" s="17"/>
      <c r="AP1708" s="28" t="str">
        <f t="shared" si="502"/>
        <v>20185</v>
      </c>
      <c r="AQ1708" s="28" t="str">
        <f t="shared" si="503"/>
        <v>20185JPY</v>
      </c>
      <c r="AR1708" s="206" t="str">
        <f t="shared" si="504"/>
        <v>YAMAHA_Mounter</v>
      </c>
      <c r="AS1708" s="22">
        <f t="shared" si="505"/>
        <v>4</v>
      </c>
      <c r="AT1708" s="24" t="str">
        <f t="shared" si="506"/>
        <v>4-6 months</v>
      </c>
      <c r="AU1708" s="22" t="s">
        <v>3745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7"/>
        <v>50000</v>
      </c>
      <c r="AA1709" s="13">
        <v>7.8</v>
      </c>
      <c r="AB1709" s="21">
        <f t="shared" si="492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493"/>
        <v>27318180.088495575</v>
      </c>
      <c r="AJ1709" s="19">
        <f t="shared" si="494"/>
        <v>3014099.212353982</v>
      </c>
      <c r="AK1709" s="20">
        <f t="shared" si="501"/>
        <v>0.11033308963444827</v>
      </c>
      <c r="AL1709" s="17"/>
      <c r="AM1709" s="17"/>
      <c r="AN1709" s="17"/>
      <c r="AO1709" s="17"/>
      <c r="AP1709" s="28" t="str">
        <f t="shared" si="502"/>
        <v>201912</v>
      </c>
      <c r="AQ1709" s="28" t="str">
        <f t="shared" si="503"/>
        <v>201912USD</v>
      </c>
      <c r="AR1709" s="206" t="str">
        <f t="shared" si="504"/>
        <v>HELLER</v>
      </c>
      <c r="AS1709" s="22">
        <f t="shared" si="505"/>
        <v>1</v>
      </c>
      <c r="AT1709" s="24" t="str">
        <f t="shared" si="506"/>
        <v>0-3 months</v>
      </c>
      <c r="AU1709" s="22" t="s">
        <v>3746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7"/>
        <v>59000</v>
      </c>
      <c r="AA1710" s="13">
        <v>7.8</v>
      </c>
      <c r="AB1710" s="21">
        <f t="shared" si="492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493"/>
        <v>37969334.083628319</v>
      </c>
      <c r="AJ1710" s="19">
        <f t="shared" si="494"/>
        <v>5097226.4551657084</v>
      </c>
      <c r="AK1710" s="20">
        <f t="shared" si="501"/>
        <v>0.13424587441904964</v>
      </c>
      <c r="AL1710" s="17"/>
      <c r="AM1710" s="17"/>
      <c r="AN1710" s="17"/>
      <c r="AO1710" s="17"/>
      <c r="AP1710" s="28" t="str">
        <f t="shared" si="502"/>
        <v>20208</v>
      </c>
      <c r="AQ1710" s="28" t="str">
        <f t="shared" si="503"/>
        <v>20208USD</v>
      </c>
      <c r="AR1710" s="206" t="str">
        <f t="shared" si="504"/>
        <v>LOCAL SUPPLIER</v>
      </c>
      <c r="AS1710" s="22">
        <f t="shared" si="505"/>
        <v>1</v>
      </c>
      <c r="AT1710" s="24" t="str">
        <f t="shared" si="506"/>
        <v>0-3 months</v>
      </c>
      <c r="AU1710" s="22" t="s">
        <v>3746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7"/>
        <v>48000</v>
      </c>
      <c r="AA1711" s="13">
        <v>7.8</v>
      </c>
      <c r="AB1711" s="21">
        <f t="shared" si="492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493"/>
        <v>63006605.696460173</v>
      </c>
      <c r="AJ1711" s="19">
        <f t="shared" si="494"/>
        <v>8897485.660753984</v>
      </c>
      <c r="AK1711" s="20">
        <f t="shared" si="501"/>
        <v>0.141215124388995</v>
      </c>
      <c r="AL1711" s="17"/>
      <c r="AM1711" s="17"/>
      <c r="AN1711" s="17"/>
      <c r="AO1711" s="17"/>
      <c r="AP1711" s="28" t="str">
        <f t="shared" si="502"/>
        <v>20215</v>
      </c>
      <c r="AQ1711" s="28" t="str">
        <f t="shared" si="503"/>
        <v>20215USD</v>
      </c>
      <c r="AR1711" s="206" t="str">
        <f t="shared" si="504"/>
        <v>HELLER</v>
      </c>
      <c r="AS1711" s="22">
        <f t="shared" si="505"/>
        <v>2</v>
      </c>
      <c r="AT1711" s="24" t="str">
        <f t="shared" si="506"/>
        <v>0-3 months</v>
      </c>
      <c r="AU1711" s="22" t="s">
        <v>3746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7"/>
        <v>50000</v>
      </c>
      <c r="AA1712" s="13">
        <v>7.8</v>
      </c>
      <c r="AB1712" s="21">
        <f t="shared" si="492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493"/>
        <v>30573205.452778768</v>
      </c>
      <c r="AJ1712" s="19">
        <f t="shared" si="494"/>
        <v>3790930.1683151261</v>
      </c>
      <c r="AK1712" s="20">
        <f t="shared" si="501"/>
        <v>0.12399518179964254</v>
      </c>
      <c r="AL1712" s="17"/>
      <c r="AM1712" s="17"/>
      <c r="AN1712" s="17"/>
      <c r="AO1712" s="17"/>
      <c r="AP1712" s="28" t="str">
        <f t="shared" si="502"/>
        <v>20234</v>
      </c>
      <c r="AQ1712" s="28" t="str">
        <f t="shared" si="503"/>
        <v>20234USD</v>
      </c>
      <c r="AR1712" s="206" t="str">
        <f t="shared" si="504"/>
        <v>HELLER</v>
      </c>
      <c r="AS1712" s="22">
        <f t="shared" si="505"/>
        <v>3</v>
      </c>
      <c r="AT1712" s="24" t="str">
        <f t="shared" si="506"/>
        <v>0-3 months</v>
      </c>
      <c r="AU1712" s="22" t="s">
        <v>3746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7"/>
        <v>50000</v>
      </c>
      <c r="AA1713" s="13">
        <v>7.8</v>
      </c>
      <c r="AB1713" s="21">
        <f t="shared" si="492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493"/>
        <v>15951056.41591504</v>
      </c>
      <c r="AJ1713" s="19">
        <f t="shared" si="494"/>
        <v>1966354.6022462982</v>
      </c>
      <c r="AK1713" s="20">
        <f t="shared" si="501"/>
        <v>0.12327425538313459</v>
      </c>
      <c r="AL1713" s="17"/>
      <c r="AM1713" s="17"/>
      <c r="AN1713" s="17"/>
      <c r="AO1713" s="17"/>
      <c r="AP1713" s="28" t="str">
        <f t="shared" si="502"/>
        <v>20237</v>
      </c>
      <c r="AQ1713" s="28" t="str">
        <f t="shared" si="503"/>
        <v>20237USD</v>
      </c>
      <c r="AR1713" s="206" t="str">
        <f t="shared" si="504"/>
        <v>HELLER</v>
      </c>
      <c r="AS1713" s="22">
        <f t="shared" si="505"/>
        <v>6</v>
      </c>
      <c r="AT1713" s="24" t="str">
        <f t="shared" si="506"/>
        <v>4-6 months</v>
      </c>
      <c r="AU1713" s="22" t="s">
        <v>3746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7"/>
        <v>50000</v>
      </c>
      <c r="AA1714" s="13">
        <v>7.8</v>
      </c>
      <c r="AB1714" s="21">
        <f t="shared" si="492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493"/>
        <v>15951056.41591504</v>
      </c>
      <c r="AJ1714" s="19">
        <f t="shared" si="494"/>
        <v>1966354.6022462982</v>
      </c>
      <c r="AK1714" s="20">
        <f t="shared" si="501"/>
        <v>0.12327425538313459</v>
      </c>
      <c r="AL1714" s="17"/>
      <c r="AM1714" s="17"/>
      <c r="AN1714" s="17"/>
      <c r="AO1714" s="17"/>
      <c r="AP1714" s="28" t="str">
        <f t="shared" si="502"/>
        <v>20237</v>
      </c>
      <c r="AQ1714" s="28" t="str">
        <f t="shared" si="503"/>
        <v>20237USD</v>
      </c>
      <c r="AR1714" s="206" t="str">
        <f t="shared" si="504"/>
        <v>HELLER</v>
      </c>
      <c r="AS1714" s="22">
        <f t="shared" si="505"/>
        <v>6</v>
      </c>
      <c r="AT1714" s="24" t="str">
        <f t="shared" si="506"/>
        <v>4-6 months</v>
      </c>
      <c r="AU1714" s="22" t="s">
        <v>3746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7"/>
        <v>9350000</v>
      </c>
      <c r="AA1715" s="13">
        <v>7.3499999999999996E-2</v>
      </c>
      <c r="AB1715" s="21">
        <f t="shared" si="492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493"/>
        <v>16455710.386637932</v>
      </c>
      <c r="AJ1715" s="19">
        <f t="shared" si="494"/>
        <v>2150644.6466930606</v>
      </c>
      <c r="AK1715" s="20">
        <f t="shared" si="501"/>
        <v>0.13069290818580451</v>
      </c>
      <c r="AL1715" s="17"/>
      <c r="AM1715" s="17"/>
      <c r="AN1715" s="17"/>
      <c r="AO1715" s="17"/>
      <c r="AP1715" s="28" t="str">
        <f t="shared" si="502"/>
        <v>20192</v>
      </c>
      <c r="AQ1715" s="28" t="str">
        <f t="shared" si="503"/>
        <v>20192JPY</v>
      </c>
      <c r="AR1715" s="206" t="str">
        <f t="shared" si="504"/>
        <v>YAMAHA_Mounter</v>
      </c>
      <c r="AS1715" s="22">
        <f t="shared" si="505"/>
        <v>1</v>
      </c>
      <c r="AT1715" s="24" t="str">
        <f t="shared" si="506"/>
        <v>0-3 months</v>
      </c>
      <c r="AU1715" s="22" t="s">
        <v>3746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7"/>
        <v>9350000</v>
      </c>
      <c r="AA1716" s="13">
        <v>7.3499999999999996E-2</v>
      </c>
      <c r="AB1716" s="21">
        <f t="shared" si="492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493"/>
        <v>16455710.386637932</v>
      </c>
      <c r="AJ1716" s="19">
        <f t="shared" si="494"/>
        <v>2150644.6466930606</v>
      </c>
      <c r="AK1716" s="20">
        <f t="shared" si="501"/>
        <v>0.13069290818580451</v>
      </c>
      <c r="AL1716" s="17"/>
      <c r="AM1716" s="17"/>
      <c r="AN1716" s="17"/>
      <c r="AO1716" s="17"/>
      <c r="AP1716" s="28" t="str">
        <f t="shared" si="502"/>
        <v>20192</v>
      </c>
      <c r="AQ1716" s="28" t="str">
        <f t="shared" si="503"/>
        <v>20192JPY</v>
      </c>
      <c r="AR1716" s="206" t="str">
        <f t="shared" si="504"/>
        <v>YAMAHA_Mounter</v>
      </c>
      <c r="AS1716" s="22">
        <f t="shared" si="505"/>
        <v>1</v>
      </c>
      <c r="AT1716" s="24" t="str">
        <f t="shared" si="506"/>
        <v>0-3 months</v>
      </c>
      <c r="AU1716" s="22" t="s">
        <v>3746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7"/>
        <v>9350000</v>
      </c>
      <c r="AA1717" s="13">
        <v>7.2300000000000003E-2</v>
      </c>
      <c r="AB1717" s="21">
        <f t="shared" si="492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493"/>
        <v>499582152.5142017</v>
      </c>
      <c r="AJ1717" s="19">
        <f t="shared" si="494"/>
        <v>59520528.679470733</v>
      </c>
      <c r="AK1717" s="20">
        <f t="shared" si="501"/>
        <v>0.11914062257814291</v>
      </c>
      <c r="AL1717" s="17"/>
      <c r="AM1717" s="17"/>
      <c r="AN1717" s="17"/>
      <c r="AO1717" s="17"/>
      <c r="AP1717" s="28" t="str">
        <f t="shared" si="502"/>
        <v>CancelCancel</v>
      </c>
      <c r="AQ1717" s="28" t="str">
        <f t="shared" si="503"/>
        <v>CancelCancelJPY</v>
      </c>
      <c r="AR1717" s="206" t="str">
        <f t="shared" si="504"/>
        <v>YAMAHA_Mounter</v>
      </c>
      <c r="AS1717" s="22" t="str">
        <f t="shared" si="505"/>
        <v/>
      </c>
      <c r="AT1717" s="24" t="str">
        <f t="shared" si="506"/>
        <v/>
      </c>
      <c r="AU1717" s="22" t="s">
        <v>3746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7"/>
        <v>9350000</v>
      </c>
      <c r="AA1718" s="13">
        <v>7.2300000000000003E-2</v>
      </c>
      <c r="AB1718" s="21">
        <f t="shared" ref="AB1718:AB1781" si="509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493"/>
        <v>499582152.5142017</v>
      </c>
      <c r="AJ1718" s="19">
        <f t="shared" si="494"/>
        <v>59520528.679470733</v>
      </c>
      <c r="AK1718" s="20">
        <f t="shared" si="501"/>
        <v>0.11914062257814291</v>
      </c>
      <c r="AL1718" s="17"/>
      <c r="AM1718" s="17"/>
      <c r="AN1718" s="17"/>
      <c r="AO1718" s="17"/>
      <c r="AP1718" s="28" t="str">
        <f t="shared" si="502"/>
        <v>CancelCancel</v>
      </c>
      <c r="AQ1718" s="28" t="str">
        <f t="shared" si="503"/>
        <v>CancelCancelJPY</v>
      </c>
      <c r="AR1718" s="206" t="str">
        <f t="shared" si="504"/>
        <v>YAMAHA_Mounter</v>
      </c>
      <c r="AS1718" s="22" t="str">
        <f t="shared" si="505"/>
        <v/>
      </c>
      <c r="AT1718" s="24" t="str">
        <f t="shared" si="506"/>
        <v/>
      </c>
      <c r="AU1718" s="22" t="s">
        <v>3746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7"/>
        <v>9350000</v>
      </c>
      <c r="AA1719" s="13">
        <v>7.2300000000000003E-2</v>
      </c>
      <c r="AB1719" s="21">
        <f t="shared" si="509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493"/>
        <v>499582152.5142017</v>
      </c>
      <c r="AJ1719" s="19">
        <f t="shared" si="494"/>
        <v>59520528.679470733</v>
      </c>
      <c r="AK1719" s="20">
        <f t="shared" si="501"/>
        <v>0.11914062257814291</v>
      </c>
      <c r="AL1719" s="17"/>
      <c r="AM1719" s="17"/>
      <c r="AN1719" s="17"/>
      <c r="AO1719" s="17"/>
      <c r="AP1719" s="28" t="str">
        <f t="shared" si="502"/>
        <v>CancelCancel</v>
      </c>
      <c r="AQ1719" s="28" t="str">
        <f t="shared" si="503"/>
        <v>CancelCancelJPY</v>
      </c>
      <c r="AR1719" s="206" t="str">
        <f t="shared" si="504"/>
        <v>YAMAHA_Mounter</v>
      </c>
      <c r="AS1719" s="22" t="str">
        <f t="shared" si="505"/>
        <v/>
      </c>
      <c r="AT1719" s="24" t="str">
        <f t="shared" si="506"/>
        <v/>
      </c>
      <c r="AU1719" s="22" t="s">
        <v>3746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7"/>
        <v>9350000</v>
      </c>
      <c r="AA1720" s="13">
        <v>7.2300000000000003E-2</v>
      </c>
      <c r="AB1720" s="21">
        <f t="shared" si="509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493"/>
        <v>499582152.5142017</v>
      </c>
      <c r="AJ1720" s="19">
        <f t="shared" si="494"/>
        <v>59520528.679470733</v>
      </c>
      <c r="AK1720" s="20">
        <f t="shared" si="501"/>
        <v>0.11914062257814291</v>
      </c>
      <c r="AL1720" s="17"/>
      <c r="AM1720" s="17"/>
      <c r="AN1720" s="17"/>
      <c r="AO1720" s="17"/>
      <c r="AP1720" s="28" t="str">
        <f t="shared" si="502"/>
        <v>CancelCancel</v>
      </c>
      <c r="AQ1720" s="28" t="str">
        <f t="shared" si="503"/>
        <v>CancelCancelJPY</v>
      </c>
      <c r="AR1720" s="206" t="str">
        <f t="shared" si="504"/>
        <v>YAMAHA_Mounter</v>
      </c>
      <c r="AS1720" s="22" t="str">
        <f t="shared" si="505"/>
        <v/>
      </c>
      <c r="AT1720" s="24" t="str">
        <f t="shared" si="506"/>
        <v/>
      </c>
      <c r="AU1720" s="22" t="s">
        <v>3746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7"/>
        <v>9350000</v>
      </c>
      <c r="AA1721" s="13">
        <v>7.2300000000000003E-2</v>
      </c>
      <c r="AB1721" s="21">
        <f t="shared" si="509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493"/>
        <v>499582152.5142017</v>
      </c>
      <c r="AJ1721" s="19">
        <f t="shared" si="494"/>
        <v>59520528.679470733</v>
      </c>
      <c r="AK1721" s="20">
        <f t="shared" si="501"/>
        <v>0.11914062257814291</v>
      </c>
      <c r="AL1721" s="17"/>
      <c r="AM1721" s="17"/>
      <c r="AN1721" s="17"/>
      <c r="AO1721" s="17"/>
      <c r="AP1721" s="28" t="str">
        <f t="shared" si="502"/>
        <v>CancelCancel</v>
      </c>
      <c r="AQ1721" s="28" t="str">
        <f t="shared" si="503"/>
        <v>CancelCancelJPY</v>
      </c>
      <c r="AR1721" s="206" t="str">
        <f t="shared" si="504"/>
        <v>YAMAHA_Mounter</v>
      </c>
      <c r="AS1721" s="22" t="str">
        <f t="shared" si="505"/>
        <v/>
      </c>
      <c r="AT1721" s="24" t="str">
        <f t="shared" si="506"/>
        <v/>
      </c>
      <c r="AU1721" s="22" t="s">
        <v>3746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7"/>
        <v>9350000</v>
      </c>
      <c r="AA1722" s="13">
        <v>7.2300000000000003E-2</v>
      </c>
      <c r="AB1722" s="21">
        <f t="shared" si="509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493"/>
        <v>499582152.5142017</v>
      </c>
      <c r="AJ1722" s="19">
        <f t="shared" si="494"/>
        <v>59520528.679470733</v>
      </c>
      <c r="AK1722" s="20">
        <f t="shared" si="501"/>
        <v>0.11914062257814291</v>
      </c>
      <c r="AL1722" s="17"/>
      <c r="AM1722" s="17"/>
      <c r="AN1722" s="17"/>
      <c r="AO1722" s="17"/>
      <c r="AP1722" s="28" t="str">
        <f t="shared" si="502"/>
        <v>CancelCancel</v>
      </c>
      <c r="AQ1722" s="28" t="str">
        <f t="shared" si="503"/>
        <v>CancelCancelJPY</v>
      </c>
      <c r="AR1722" s="206" t="str">
        <f t="shared" si="504"/>
        <v>YAMAHA_Mounter</v>
      </c>
      <c r="AS1722" s="22" t="str">
        <f t="shared" si="505"/>
        <v/>
      </c>
      <c r="AT1722" s="24" t="str">
        <f t="shared" si="506"/>
        <v/>
      </c>
      <c r="AU1722" s="22" t="s">
        <v>3746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7"/>
        <v>260000</v>
      </c>
      <c r="AA1723" s="13">
        <v>1.1499999999999999</v>
      </c>
      <c r="AB1723" s="21">
        <f t="shared" si="509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493"/>
        <v>16455710.386637932</v>
      </c>
      <c r="AJ1723" s="19">
        <f t="shared" si="494"/>
        <v>2150644.6466930606</v>
      </c>
      <c r="AK1723" s="20">
        <f t="shared" si="501"/>
        <v>0.13069290818580451</v>
      </c>
      <c r="AL1723" s="17"/>
      <c r="AM1723" s="17"/>
      <c r="AN1723" s="17"/>
      <c r="AO1723" s="17"/>
      <c r="AP1723" s="28" t="str">
        <f t="shared" si="502"/>
        <v>20192</v>
      </c>
      <c r="AQ1723" s="28" t="str">
        <f t="shared" si="503"/>
        <v>20192RMB</v>
      </c>
      <c r="AR1723" s="206" t="str">
        <f t="shared" si="504"/>
        <v>HELLER</v>
      </c>
      <c r="AS1723" s="22">
        <f t="shared" si="505"/>
        <v>1</v>
      </c>
      <c r="AT1723" s="24" t="str">
        <f t="shared" si="506"/>
        <v>0-3 months</v>
      </c>
      <c r="AU1723" s="22" t="s">
        <v>3744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7"/>
        <v>9652900</v>
      </c>
      <c r="AA1724" s="13">
        <v>5.0999999999999997E-2</v>
      </c>
      <c r="AB1724" s="21">
        <f t="shared" si="509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493"/>
        <v>27308925.887079656</v>
      </c>
      <c r="AJ1724" s="27">
        <f t="shared" si="494"/>
        <v>3319273.860338124</v>
      </c>
      <c r="AK1724" s="28">
        <f t="shared" si="501"/>
        <v>0.12154538314919709</v>
      </c>
      <c r="AL1724" s="24"/>
      <c r="AM1724" s="24"/>
      <c r="AN1724" s="24"/>
      <c r="AO1724" s="24"/>
      <c r="AP1724" s="28" t="str">
        <f t="shared" si="502"/>
        <v>20246</v>
      </c>
      <c r="AQ1724" s="28" t="str">
        <f t="shared" si="503"/>
        <v>20246JPY</v>
      </c>
      <c r="AR1724" s="206" t="str">
        <f t="shared" si="504"/>
        <v>YAMAHA_Mounter</v>
      </c>
      <c r="AS1724" s="22">
        <f t="shared" si="505"/>
        <v>3</v>
      </c>
      <c r="AT1724" s="24" t="str">
        <f t="shared" si="506"/>
        <v>0-3 months</v>
      </c>
      <c r="AU1724" s="22" t="s">
        <v>3745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7"/>
        <v>9652900</v>
      </c>
      <c r="AA1725" s="13">
        <v>5.0999999999999997E-2</v>
      </c>
      <c r="AB1725" s="21">
        <f t="shared" si="509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493"/>
        <v>27308925.887079656</v>
      </c>
      <c r="AJ1725" s="27">
        <f t="shared" si="494"/>
        <v>3319273.860338124</v>
      </c>
      <c r="AK1725" s="28">
        <f t="shared" si="501"/>
        <v>0.12154538314919709</v>
      </c>
      <c r="AL1725" s="24"/>
      <c r="AM1725" s="24"/>
      <c r="AN1725" s="24"/>
      <c r="AO1725" s="24"/>
      <c r="AP1725" s="28" t="str">
        <f t="shared" si="502"/>
        <v>20246</v>
      </c>
      <c r="AQ1725" s="28" t="str">
        <f t="shared" si="503"/>
        <v>20246JPY</v>
      </c>
      <c r="AR1725" s="206" t="str">
        <f t="shared" si="504"/>
        <v>YAMAHA_Mounter</v>
      </c>
      <c r="AS1725" s="22">
        <f t="shared" si="505"/>
        <v>3</v>
      </c>
      <c r="AT1725" s="24" t="str">
        <f t="shared" si="506"/>
        <v>0-3 months</v>
      </c>
      <c r="AU1725" s="22" t="s">
        <v>3745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7"/>
        <v>9652900</v>
      </c>
      <c r="AA1726" s="13">
        <v>5.0999999999999997E-2</v>
      </c>
      <c r="AB1726" s="21">
        <f t="shared" si="509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493"/>
        <v>27308925.887079656</v>
      </c>
      <c r="AJ1726" s="27">
        <f t="shared" si="494"/>
        <v>3319273.860338124</v>
      </c>
      <c r="AK1726" s="28">
        <f t="shared" si="501"/>
        <v>0.12154538314919709</v>
      </c>
      <c r="AL1726" s="24"/>
      <c r="AM1726" s="24"/>
      <c r="AN1726" s="24"/>
      <c r="AO1726" s="24"/>
      <c r="AP1726" s="28" t="str">
        <f t="shared" si="502"/>
        <v>20246</v>
      </c>
      <c r="AQ1726" s="28" t="str">
        <f t="shared" si="503"/>
        <v>20246JPY</v>
      </c>
      <c r="AR1726" s="206" t="str">
        <f t="shared" si="504"/>
        <v>YAMAHA_Mounter</v>
      </c>
      <c r="AS1726" s="22">
        <f t="shared" si="505"/>
        <v>3</v>
      </c>
      <c r="AT1726" s="24" t="str">
        <f t="shared" si="506"/>
        <v>0-3 months</v>
      </c>
      <c r="AU1726" s="22" t="s">
        <v>3745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7"/>
        <v>11000000</v>
      </c>
      <c r="AA1727" s="13">
        <v>5.0999999999999997E-2</v>
      </c>
      <c r="AB1727" s="21">
        <f t="shared" si="509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493"/>
        <v>27308925.887079656</v>
      </c>
      <c r="AJ1727" s="27">
        <f t="shared" si="494"/>
        <v>3319273.860338124</v>
      </c>
      <c r="AK1727" s="28">
        <f t="shared" si="501"/>
        <v>0.12154538314919709</v>
      </c>
      <c r="AL1727" s="24"/>
      <c r="AM1727" s="24"/>
      <c r="AN1727" s="24"/>
      <c r="AO1727" s="24"/>
      <c r="AP1727" s="28" t="str">
        <f t="shared" si="502"/>
        <v>20246</v>
      </c>
      <c r="AQ1727" s="28" t="str">
        <f t="shared" si="503"/>
        <v>20246JPY</v>
      </c>
      <c r="AR1727" s="206" t="str">
        <f t="shared" si="504"/>
        <v>YAMAHA_Mounter</v>
      </c>
      <c r="AS1727" s="22">
        <f t="shared" si="505"/>
        <v>3</v>
      </c>
      <c r="AT1727" s="24" t="str">
        <f t="shared" si="506"/>
        <v>0-3 months</v>
      </c>
      <c r="AU1727" s="22" t="s">
        <v>3745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7"/>
        <v>16151975</v>
      </c>
      <c r="AA1728" s="13">
        <v>7.3499999999999996E-2</v>
      </c>
      <c r="AB1728" s="21">
        <f t="shared" si="509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493"/>
        <v>16455710.386637932</v>
      </c>
      <c r="AJ1728" s="19">
        <f t="shared" si="494"/>
        <v>2150644.6466930606</v>
      </c>
      <c r="AK1728" s="20">
        <f t="shared" si="501"/>
        <v>0.13069290818580451</v>
      </c>
      <c r="AL1728" s="17"/>
      <c r="AM1728" s="17"/>
      <c r="AN1728" s="17"/>
      <c r="AO1728" s="17"/>
      <c r="AP1728" s="28" t="str">
        <f t="shared" si="502"/>
        <v>20192</v>
      </c>
      <c r="AQ1728" s="28" t="str">
        <f t="shared" si="503"/>
        <v>20192JPY</v>
      </c>
      <c r="AR1728" s="206" t="str">
        <f t="shared" si="504"/>
        <v>YAMAHA_Mounter</v>
      </c>
      <c r="AS1728" s="22">
        <f t="shared" si="505"/>
        <v>3</v>
      </c>
      <c r="AT1728" s="24" t="str">
        <f t="shared" si="506"/>
        <v>0-3 months</v>
      </c>
      <c r="AU1728" s="22" t="s">
        <v>3745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7"/>
        <v>580000</v>
      </c>
      <c r="AA1729" s="13">
        <v>1.135</v>
      </c>
      <c r="AB1729" s="21">
        <f t="shared" si="509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493"/>
        <v>31296887.037898075</v>
      </c>
      <c r="AJ1729" s="19">
        <f t="shared" si="494"/>
        <v>3588873.9502021763</v>
      </c>
      <c r="AK1729" s="20">
        <f t="shared" si="501"/>
        <v>0.11467191436184473</v>
      </c>
      <c r="AL1729" s="17"/>
      <c r="AM1729" s="17"/>
      <c r="AN1729" s="17"/>
      <c r="AO1729" s="17"/>
      <c r="AP1729" s="28" t="str">
        <f t="shared" si="502"/>
        <v>20196</v>
      </c>
      <c r="AQ1729" s="28" t="str">
        <f t="shared" si="503"/>
        <v>20196RMB</v>
      </c>
      <c r="AR1729" s="206" t="str">
        <f t="shared" si="504"/>
        <v>YAMAHA_Mounter</v>
      </c>
      <c r="AS1729" s="22">
        <f t="shared" si="505"/>
        <v>0</v>
      </c>
      <c r="AT1729" s="24" t="str">
        <f t="shared" si="506"/>
        <v>0-3 months</v>
      </c>
      <c r="AU1729" s="22" t="s">
        <v>3744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7"/>
        <v>880000</v>
      </c>
      <c r="AA1730" s="13">
        <v>1.095</v>
      </c>
      <c r="AB1730" s="21">
        <f t="shared" si="509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10">IF(P1730="C66 SERVICE","",SUMIFS(AB:AB,F:F,F1730,G:G,G1730,E:E,E1730))</f>
        <v>33477255.428389374</v>
      </c>
      <c r="AJ1730" s="19">
        <f t="shared" ref="AJ1730:AJ1793" si="511">IF(P1730="C66 SERVICE","",SUMIFS(AC:AC,F:F,F1730,G:G,G1730,E:E,E1730))</f>
        <v>4578663.362915583</v>
      </c>
      <c r="AK1730" s="20">
        <f t="shared" si="501"/>
        <v>0.13676937682988152</v>
      </c>
      <c r="AL1730" s="17"/>
      <c r="AM1730" s="17"/>
      <c r="AN1730" s="17"/>
      <c r="AO1730" s="17"/>
      <c r="AP1730" s="28" t="str">
        <f t="shared" si="502"/>
        <v>20204</v>
      </c>
      <c r="AQ1730" s="28" t="str">
        <f t="shared" si="503"/>
        <v>20204RMB</v>
      </c>
      <c r="AR1730" s="206" t="str">
        <f t="shared" si="504"/>
        <v>YAMAHA_Mounter</v>
      </c>
      <c r="AS1730" s="22">
        <f t="shared" si="505"/>
        <v>1</v>
      </c>
      <c r="AT1730" s="24" t="str">
        <f t="shared" si="506"/>
        <v>0-3 months</v>
      </c>
      <c r="AU1730" s="22" t="s">
        <v>3744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7"/>
        <v>15000000</v>
      </c>
      <c r="AA1731" s="13">
        <v>7.2999999999999995E-2</v>
      </c>
      <c r="AB1731" s="21">
        <f t="shared" si="509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10"/>
        <v>11620538.477876106</v>
      </c>
      <c r="AJ1731" s="19">
        <f t="shared" si="511"/>
        <v>1598596.3145221241</v>
      </c>
      <c r="AK1731" s="20">
        <f t="shared" si="501"/>
        <v>0.13756645766163331</v>
      </c>
      <c r="AL1731" s="17"/>
      <c r="AM1731" s="17"/>
      <c r="AN1731" s="17"/>
      <c r="AO1731" s="17"/>
      <c r="AP1731" s="28" t="str">
        <f t="shared" si="502"/>
        <v>20201</v>
      </c>
      <c r="AQ1731" s="28" t="str">
        <f t="shared" si="503"/>
        <v>20201JPY</v>
      </c>
      <c r="AR1731" s="206" t="str">
        <f t="shared" si="504"/>
        <v>YAMAHA_Mounter</v>
      </c>
      <c r="AS1731" s="22">
        <f t="shared" si="505"/>
        <v>0</v>
      </c>
      <c r="AT1731" s="24" t="str">
        <f t="shared" si="506"/>
        <v>0-3 months</v>
      </c>
      <c r="AU1731" s="22" t="s">
        <v>3745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7"/>
        <v>9442000</v>
      </c>
      <c r="AA1732" s="13">
        <v>7.2999999999999995E-2</v>
      </c>
      <c r="AB1732" s="21">
        <f t="shared" si="509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10"/>
        <v>11620538.477876106</v>
      </c>
      <c r="AJ1732" s="19">
        <f t="shared" si="511"/>
        <v>1598596.3145221241</v>
      </c>
      <c r="AK1732" s="20">
        <f t="shared" si="501"/>
        <v>0.13756645766163331</v>
      </c>
      <c r="AL1732" s="17"/>
      <c r="AM1732" s="17"/>
      <c r="AN1732" s="17"/>
      <c r="AO1732" s="17"/>
      <c r="AP1732" s="28" t="str">
        <f t="shared" si="502"/>
        <v>20201</v>
      </c>
      <c r="AQ1732" s="28" t="str">
        <f t="shared" si="503"/>
        <v>20201JPY</v>
      </c>
      <c r="AR1732" s="206" t="str">
        <f t="shared" si="504"/>
        <v>YAMAHA_Mounter</v>
      </c>
      <c r="AS1732" s="22">
        <f t="shared" si="505"/>
        <v>0</v>
      </c>
      <c r="AT1732" s="24" t="str">
        <f t="shared" si="506"/>
        <v>0-3 months</v>
      </c>
      <c r="AU1732" s="22" t="s">
        <v>3745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7"/>
        <v>570000</v>
      </c>
      <c r="AA1733" s="13">
        <v>1.17</v>
      </c>
      <c r="AB1733" s="21">
        <f t="shared" si="509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10"/>
        <v>36480247.665929198</v>
      </c>
      <c r="AJ1733" s="19">
        <f t="shared" si="511"/>
        <v>5330996.6372757526</v>
      </c>
      <c r="AK1733" s="20">
        <f t="shared" si="501"/>
        <v>0.14613378412599562</v>
      </c>
      <c r="AL1733" s="17"/>
      <c r="AM1733" s="17"/>
      <c r="AN1733" s="17"/>
      <c r="AO1733" s="17"/>
      <c r="AP1733" s="28" t="str">
        <f t="shared" si="502"/>
        <v>20227</v>
      </c>
      <c r="AQ1733" s="28" t="str">
        <f t="shared" si="503"/>
        <v>20227RMB</v>
      </c>
      <c r="AR1733" s="206" t="str">
        <f t="shared" si="504"/>
        <v>YAMAHA_Mounter</v>
      </c>
      <c r="AS1733" s="22">
        <f t="shared" si="505"/>
        <v>1</v>
      </c>
      <c r="AT1733" s="24" t="str">
        <f t="shared" si="506"/>
        <v>0-3 months</v>
      </c>
      <c r="AU1733" s="22" t="s">
        <v>3751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7"/>
        <v>8730000</v>
      </c>
      <c r="AA1734" s="22">
        <v>5.6300000000000003E-2</v>
      </c>
      <c r="AB1734" s="21">
        <f t="shared" si="509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10"/>
        <v>23146578.081415929</v>
      </c>
      <c r="AJ1734" s="27">
        <f t="shared" si="511"/>
        <v>2745231.3889985834</v>
      </c>
      <c r="AK1734" s="28">
        <f t="shared" ref="AK1734:AK1797" si="518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19">IF(F1734="","",F1734&amp;G1734)</f>
        <v>20241</v>
      </c>
      <c r="AQ1734" s="28" t="str">
        <f t="shared" ref="AQ1734:AQ1797" si="520">IF(W1734="","",F1734&amp;G1734&amp;W1734)</f>
        <v>20241JPY</v>
      </c>
      <c r="AR1734" s="206" t="str">
        <f t="shared" ref="AR1734:AR1797" si="521">IFERROR(IF(AND(M1734="YAMAHA", R1734="C28"), "YAMAHA_Non_Mounter", IF(AND(M1734="YAMAHA", R1734="C49"), "YAMAHA_Mounter", M1734)),"")</f>
        <v>YAMAHA_Mounter</v>
      </c>
      <c r="AS1734" s="22">
        <f t="shared" ref="AS1734:AS1797" si="522">IFERROR(IF(OR(G1734="TBA", G1734=""), "", DATEDIF(DATE(B1734, C1734, 1), DATE(F1734, G1734, 1), "M")),"")</f>
        <v>1</v>
      </c>
      <c r="AT1734" s="24" t="str">
        <f t="shared" ref="AT1734:AT1797" si="523">IF(ISNUMBER(AS1734), IF(AS1734&gt;=0, IF(AS1734&lt;=3, "0-3 months", IF(AS1734&lt;=6, "4-6 months", "&gt; 6 months"))), "")</f>
        <v>0-3 months</v>
      </c>
      <c r="AU1734" s="22" t="s">
        <v>3745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7"/>
        <v>680000</v>
      </c>
      <c r="AA1735" s="13">
        <v>1.1100000000000001</v>
      </c>
      <c r="AB1735" s="21">
        <f t="shared" si="509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0"/>
        <v>23168285.927433632</v>
      </c>
      <c r="AJ1735" s="19">
        <f t="shared" si="511"/>
        <v>2764878.916878053</v>
      </c>
      <c r="AK1735" s="20">
        <f t="shared" si="518"/>
        <v>0.11933895004309111</v>
      </c>
      <c r="AL1735" s="17"/>
      <c r="AM1735" s="17"/>
      <c r="AN1735" s="17"/>
      <c r="AO1735" s="17"/>
      <c r="AP1735" s="28" t="str">
        <f t="shared" si="519"/>
        <v>20203</v>
      </c>
      <c r="AQ1735" s="28" t="str">
        <f t="shared" si="520"/>
        <v>20203RMB</v>
      </c>
      <c r="AR1735" s="206" t="str">
        <f t="shared" si="521"/>
        <v>YAMAHA_Mounter</v>
      </c>
      <c r="AS1735" s="22">
        <f t="shared" si="522"/>
        <v>0</v>
      </c>
      <c r="AT1735" s="24" t="str">
        <f t="shared" si="523"/>
        <v>0-3 months</v>
      </c>
      <c r="AU1735" s="22" t="s">
        <v>3744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4">IF(W1736="RMB","1.13", "1")</f>
        <v>1</v>
      </c>
      <c r="Z1736" s="18">
        <f t="shared" si="507"/>
        <v>18000000</v>
      </c>
      <c r="AA1736" s="13">
        <v>5.5199999999999999E-2</v>
      </c>
      <c r="AB1736" s="21">
        <f t="shared" si="509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0"/>
        <v>15951056.41591504</v>
      </c>
      <c r="AJ1736" s="19">
        <f t="shared" si="511"/>
        <v>1966354.6022462982</v>
      </c>
      <c r="AK1736" s="20">
        <f t="shared" si="518"/>
        <v>0.12327425538313459</v>
      </c>
      <c r="AL1736" s="17"/>
      <c r="AM1736" s="17"/>
      <c r="AN1736" s="17"/>
      <c r="AO1736" s="17"/>
      <c r="AP1736" s="28" t="str">
        <f t="shared" si="519"/>
        <v>20237</v>
      </c>
      <c r="AQ1736" s="28" t="str">
        <f t="shared" si="520"/>
        <v>20237JPY</v>
      </c>
      <c r="AR1736" s="206" t="str">
        <f t="shared" si="521"/>
        <v>YAMAHA_Mounter</v>
      </c>
      <c r="AS1736" s="22">
        <f t="shared" si="522"/>
        <v>1</v>
      </c>
      <c r="AT1736" s="24" t="str">
        <f t="shared" si="523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4"/>
        <v>1</v>
      </c>
      <c r="Z1737" s="18">
        <f t="shared" si="507"/>
        <v>11538686</v>
      </c>
      <c r="AA1737" s="13">
        <v>5.5199999999999999E-2</v>
      </c>
      <c r="AB1737" s="21">
        <f t="shared" si="509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0"/>
        <v>15951056.41591504</v>
      </c>
      <c r="AJ1737" s="19">
        <f t="shared" si="511"/>
        <v>1966354.6022462982</v>
      </c>
      <c r="AK1737" s="20">
        <f t="shared" si="518"/>
        <v>0.12327425538313459</v>
      </c>
      <c r="AL1737" s="17"/>
      <c r="AM1737" s="17"/>
      <c r="AN1737" s="17"/>
      <c r="AO1737" s="17"/>
      <c r="AP1737" s="28" t="str">
        <f t="shared" si="519"/>
        <v>20237</v>
      </c>
      <c r="AQ1737" s="28" t="str">
        <f t="shared" si="520"/>
        <v>20237JPY</v>
      </c>
      <c r="AR1737" s="206" t="str">
        <f t="shared" si="521"/>
        <v>YAMAHA_Mounter</v>
      </c>
      <c r="AS1737" s="22">
        <f t="shared" si="522"/>
        <v>3</v>
      </c>
      <c r="AT1737" s="24" t="str">
        <f t="shared" si="523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4"/>
        <v>1</v>
      </c>
      <c r="Z1738" s="18">
        <f t="shared" ref="Z1738:Z1801" si="525">IF(X1738="","",X1738*MAX(O1738,N1738))</f>
        <v>11538686</v>
      </c>
      <c r="AA1738" s="13">
        <v>5.5199999999999999E-2</v>
      </c>
      <c r="AB1738" s="21">
        <f t="shared" si="509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0"/>
        <v>15951056.41591504</v>
      </c>
      <c r="AJ1738" s="19">
        <f t="shared" si="511"/>
        <v>1966354.6022462982</v>
      </c>
      <c r="AK1738" s="20">
        <f t="shared" si="518"/>
        <v>0.12327425538313459</v>
      </c>
      <c r="AL1738" s="17"/>
      <c r="AM1738" s="17"/>
      <c r="AN1738" s="17"/>
      <c r="AO1738" s="17"/>
      <c r="AP1738" s="28" t="str">
        <f t="shared" si="519"/>
        <v>20237</v>
      </c>
      <c r="AQ1738" s="28" t="str">
        <f t="shared" si="520"/>
        <v>20237JPY</v>
      </c>
      <c r="AR1738" s="206" t="str">
        <f t="shared" si="521"/>
        <v>YAMAHA_Mounter</v>
      </c>
      <c r="AS1738" s="22">
        <f t="shared" si="522"/>
        <v>3</v>
      </c>
      <c r="AT1738" s="24" t="str">
        <f t="shared" si="523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4"/>
        <v>1</v>
      </c>
      <c r="Z1739" s="18">
        <f t="shared" si="525"/>
        <v>11538686</v>
      </c>
      <c r="AA1739" s="13">
        <v>5.5199999999999999E-2</v>
      </c>
      <c r="AB1739" s="21">
        <f t="shared" si="509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0"/>
        <v>15951056.41591504</v>
      </c>
      <c r="AJ1739" s="19">
        <f t="shared" si="511"/>
        <v>1966354.6022462982</v>
      </c>
      <c r="AK1739" s="20">
        <f t="shared" si="518"/>
        <v>0.12327425538313459</v>
      </c>
      <c r="AL1739" s="17"/>
      <c r="AM1739" s="17"/>
      <c r="AN1739" s="17"/>
      <c r="AO1739" s="17"/>
      <c r="AP1739" s="28" t="str">
        <f t="shared" si="519"/>
        <v>20237</v>
      </c>
      <c r="AQ1739" s="28" t="str">
        <f t="shared" si="520"/>
        <v>20237JPY</v>
      </c>
      <c r="AR1739" s="206" t="str">
        <f t="shared" si="521"/>
        <v>YAMAHA_Mounter</v>
      </c>
      <c r="AS1739" s="22">
        <f t="shared" si="522"/>
        <v>3</v>
      </c>
      <c r="AT1739" s="24" t="str">
        <f t="shared" si="523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4"/>
        <v>1</v>
      </c>
      <c r="Z1740" s="18">
        <f t="shared" si="525"/>
        <v>11538686</v>
      </c>
      <c r="AA1740" s="13">
        <v>5.5199999999999999E-2</v>
      </c>
      <c r="AB1740" s="21">
        <f t="shared" si="509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0"/>
        <v>15951056.41591504</v>
      </c>
      <c r="AJ1740" s="19">
        <f t="shared" si="511"/>
        <v>1966354.6022462982</v>
      </c>
      <c r="AK1740" s="20">
        <f t="shared" si="518"/>
        <v>0.12327425538313459</v>
      </c>
      <c r="AL1740" s="17"/>
      <c r="AM1740" s="17"/>
      <c r="AN1740" s="17"/>
      <c r="AO1740" s="17"/>
      <c r="AP1740" s="28" t="str">
        <f t="shared" si="519"/>
        <v>20237</v>
      </c>
      <c r="AQ1740" s="28" t="str">
        <f t="shared" si="520"/>
        <v>20237JPY</v>
      </c>
      <c r="AR1740" s="206" t="str">
        <f t="shared" si="521"/>
        <v>YAMAHA_Mounter</v>
      </c>
      <c r="AS1740" s="22">
        <f t="shared" si="522"/>
        <v>3</v>
      </c>
      <c r="AT1740" s="24" t="str">
        <f t="shared" si="523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4"/>
        <v>1</v>
      </c>
      <c r="Z1741" s="18">
        <f t="shared" si="525"/>
        <v>11538686</v>
      </c>
      <c r="AA1741" s="13">
        <v>5.5199999999999999E-2</v>
      </c>
      <c r="AB1741" s="21">
        <f t="shared" si="509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0"/>
        <v>15951056.41591504</v>
      </c>
      <c r="AJ1741" s="19">
        <f t="shared" si="511"/>
        <v>1966354.6022462982</v>
      </c>
      <c r="AK1741" s="20">
        <f t="shared" si="518"/>
        <v>0.12327425538313459</v>
      </c>
      <c r="AL1741" s="17"/>
      <c r="AM1741" s="17"/>
      <c r="AN1741" s="17"/>
      <c r="AO1741" s="17"/>
      <c r="AP1741" s="28" t="str">
        <f t="shared" si="519"/>
        <v>20237</v>
      </c>
      <c r="AQ1741" s="28" t="str">
        <f t="shared" si="520"/>
        <v>20237JPY</v>
      </c>
      <c r="AR1741" s="206" t="str">
        <f t="shared" si="521"/>
        <v>YAMAHA_Mounter</v>
      </c>
      <c r="AS1741" s="22">
        <f t="shared" si="522"/>
        <v>3</v>
      </c>
      <c r="AT1741" s="24" t="str">
        <f t="shared" si="523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4"/>
        <v>1</v>
      </c>
      <c r="Z1742" s="18">
        <f t="shared" si="525"/>
        <v>11538686</v>
      </c>
      <c r="AA1742" s="13">
        <v>5.5199999999999999E-2</v>
      </c>
      <c r="AB1742" s="21">
        <f t="shared" si="509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0"/>
        <v>15951056.41591504</v>
      </c>
      <c r="AJ1742" s="19">
        <f t="shared" si="511"/>
        <v>1966354.6022462982</v>
      </c>
      <c r="AK1742" s="20">
        <f t="shared" si="518"/>
        <v>0.12327425538313459</v>
      </c>
      <c r="AL1742" s="17"/>
      <c r="AM1742" s="17"/>
      <c r="AN1742" s="17"/>
      <c r="AO1742" s="17"/>
      <c r="AP1742" s="28" t="str">
        <f t="shared" si="519"/>
        <v>20237</v>
      </c>
      <c r="AQ1742" s="28" t="str">
        <f t="shared" si="520"/>
        <v>20237JPY</v>
      </c>
      <c r="AR1742" s="206" t="str">
        <f t="shared" si="521"/>
        <v>YAMAHA_Mounter</v>
      </c>
      <c r="AS1742" s="22">
        <f t="shared" si="522"/>
        <v>3</v>
      </c>
      <c r="AT1742" s="24" t="str">
        <f t="shared" si="523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4"/>
        <v>1</v>
      </c>
      <c r="Z1743" s="18">
        <f t="shared" si="525"/>
        <v>7963342</v>
      </c>
      <c r="AA1743" s="13">
        <v>5.5199999999999999E-2</v>
      </c>
      <c r="AB1743" s="21">
        <f t="shared" si="509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0"/>
        <v>15951056.41591504</v>
      </c>
      <c r="AJ1743" s="19">
        <f t="shared" si="511"/>
        <v>1966354.6022462982</v>
      </c>
      <c r="AK1743" s="20">
        <f t="shared" si="518"/>
        <v>0.12327425538313459</v>
      </c>
      <c r="AL1743" s="17"/>
      <c r="AM1743" s="17"/>
      <c r="AN1743" s="17"/>
      <c r="AO1743" s="17"/>
      <c r="AP1743" s="28" t="str">
        <f t="shared" si="519"/>
        <v>20237</v>
      </c>
      <c r="AQ1743" s="28" t="str">
        <f t="shared" si="520"/>
        <v>20237JPY</v>
      </c>
      <c r="AR1743" s="206" t="str">
        <f t="shared" si="521"/>
        <v>YAMAHA_Mounter</v>
      </c>
      <c r="AS1743" s="22">
        <f t="shared" si="522"/>
        <v>3</v>
      </c>
      <c r="AT1743" s="24" t="str">
        <f t="shared" si="523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4"/>
        <v>1</v>
      </c>
      <c r="Z1744" s="18">
        <f t="shared" si="525"/>
        <v>7963342</v>
      </c>
      <c r="AA1744" s="13">
        <v>5.5199999999999999E-2</v>
      </c>
      <c r="AB1744" s="21">
        <f t="shared" si="509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0"/>
        <v>15951056.41591504</v>
      </c>
      <c r="AJ1744" s="19">
        <f t="shared" si="511"/>
        <v>1966354.6022462982</v>
      </c>
      <c r="AK1744" s="20">
        <f t="shared" si="518"/>
        <v>0.12327425538313459</v>
      </c>
      <c r="AL1744" s="17"/>
      <c r="AM1744" s="17"/>
      <c r="AN1744" s="17"/>
      <c r="AO1744" s="17"/>
      <c r="AP1744" s="28" t="str">
        <f t="shared" si="519"/>
        <v>20237</v>
      </c>
      <c r="AQ1744" s="28" t="str">
        <f t="shared" si="520"/>
        <v>20237JPY</v>
      </c>
      <c r="AR1744" s="206" t="str">
        <f t="shared" si="521"/>
        <v>YAMAHA_Mounter</v>
      </c>
      <c r="AS1744" s="22">
        <f t="shared" si="522"/>
        <v>3</v>
      </c>
      <c r="AT1744" s="24" t="str">
        <f t="shared" si="523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4"/>
        <v>1</v>
      </c>
      <c r="Z1745" s="18">
        <f t="shared" si="525"/>
        <v>7963342</v>
      </c>
      <c r="AA1745" s="13">
        <v>5.5199999999999999E-2</v>
      </c>
      <c r="AB1745" s="21">
        <f t="shared" si="509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0"/>
        <v>15951056.41591504</v>
      </c>
      <c r="AJ1745" s="19">
        <f t="shared" si="511"/>
        <v>1966354.6022462982</v>
      </c>
      <c r="AK1745" s="20">
        <f t="shared" si="518"/>
        <v>0.12327425538313459</v>
      </c>
      <c r="AL1745" s="17"/>
      <c r="AM1745" s="17"/>
      <c r="AN1745" s="17"/>
      <c r="AO1745" s="17"/>
      <c r="AP1745" s="28" t="str">
        <f t="shared" si="519"/>
        <v>20237</v>
      </c>
      <c r="AQ1745" s="28" t="str">
        <f t="shared" si="520"/>
        <v>20237JPY</v>
      </c>
      <c r="AR1745" s="206" t="str">
        <f t="shared" si="521"/>
        <v>YAMAHA_Mounter</v>
      </c>
      <c r="AS1745" s="22">
        <f t="shared" si="522"/>
        <v>3</v>
      </c>
      <c r="AT1745" s="24" t="str">
        <f t="shared" si="523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4"/>
        <v>1</v>
      </c>
      <c r="Z1746" s="18">
        <f t="shared" si="525"/>
        <v>7963342</v>
      </c>
      <c r="AA1746" s="13">
        <v>5.5199999999999999E-2</v>
      </c>
      <c r="AB1746" s="21">
        <f t="shared" si="509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0"/>
        <v>15951056.41591504</v>
      </c>
      <c r="AJ1746" s="19">
        <f t="shared" si="511"/>
        <v>1966354.6022462982</v>
      </c>
      <c r="AK1746" s="20">
        <f t="shared" si="518"/>
        <v>0.12327425538313459</v>
      </c>
      <c r="AL1746" s="17"/>
      <c r="AM1746" s="17"/>
      <c r="AN1746" s="17"/>
      <c r="AO1746" s="17"/>
      <c r="AP1746" s="28" t="str">
        <f t="shared" si="519"/>
        <v>20237</v>
      </c>
      <c r="AQ1746" s="28" t="str">
        <f t="shared" si="520"/>
        <v>20237JPY</v>
      </c>
      <c r="AR1746" s="206" t="str">
        <f t="shared" si="521"/>
        <v>YAMAHA_Mounter</v>
      </c>
      <c r="AS1746" s="22">
        <f t="shared" si="522"/>
        <v>3</v>
      </c>
      <c r="AT1746" s="24" t="str">
        <f t="shared" si="523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4"/>
        <v>1.13</v>
      </c>
      <c r="Z1747" s="18">
        <f t="shared" si="525"/>
        <v>568086</v>
      </c>
      <c r="AA1747" s="13">
        <v>1.2150000000000001</v>
      </c>
      <c r="AB1747" s="21">
        <f t="shared" si="509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0"/>
        <v>54700260.692079648</v>
      </c>
      <c r="AJ1747" s="19">
        <f t="shared" si="511"/>
        <v>7482899.5749188727</v>
      </c>
      <c r="AK1747" s="20">
        <f t="shared" si="518"/>
        <v>0.13679824337660537</v>
      </c>
      <c r="AL1747" s="17"/>
      <c r="AM1747" s="17"/>
      <c r="AN1747" s="17"/>
      <c r="AO1747" s="17"/>
      <c r="AP1747" s="28" t="str">
        <f t="shared" si="519"/>
        <v>20216</v>
      </c>
      <c r="AQ1747" s="28" t="str">
        <f t="shared" si="520"/>
        <v>20216RMB</v>
      </c>
      <c r="AR1747" s="206" t="str">
        <f t="shared" si="521"/>
        <v>YAMAHA_Mounter</v>
      </c>
      <c r="AS1747" s="22">
        <f t="shared" si="522"/>
        <v>3</v>
      </c>
      <c r="AT1747" s="24" t="str">
        <f t="shared" si="523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4"/>
        <v>1.13</v>
      </c>
      <c r="Z1748" s="18">
        <f t="shared" si="525"/>
        <v>498000</v>
      </c>
      <c r="AA1748" s="13">
        <v>1.2</v>
      </c>
      <c r="AB1748" s="21">
        <f t="shared" si="509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0"/>
        <v>41443303.53761062</v>
      </c>
      <c r="AJ1748" s="19">
        <f t="shared" si="511"/>
        <v>6194988.76643031</v>
      </c>
      <c r="AK1748" s="20">
        <f t="shared" si="518"/>
        <v>0.1494810557466355</v>
      </c>
      <c r="AL1748" s="17"/>
      <c r="AM1748" s="17"/>
      <c r="AN1748" s="17"/>
      <c r="AO1748" s="17"/>
      <c r="AP1748" s="28" t="str">
        <f t="shared" si="519"/>
        <v>20217</v>
      </c>
      <c r="AQ1748" s="28" t="str">
        <f t="shared" si="520"/>
        <v>20217RMB</v>
      </c>
      <c r="AR1748" s="206" t="str">
        <f t="shared" si="521"/>
        <v>YAMAHA_Mounter</v>
      </c>
      <c r="AS1748" s="22">
        <f t="shared" si="522"/>
        <v>4</v>
      </c>
      <c r="AT1748" s="24" t="str">
        <f t="shared" si="523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5"/>
        <v>295000</v>
      </c>
      <c r="AA1749" s="13">
        <v>1.095</v>
      </c>
      <c r="AB1749" s="21">
        <f t="shared" si="509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0"/>
        <v>35384300.169380538</v>
      </c>
      <c r="AJ1749" s="19">
        <f t="shared" si="511"/>
        <v>5044538.8896988509</v>
      </c>
      <c r="AK1749" s="20">
        <f t="shared" si="518"/>
        <v>0.14256432557804533</v>
      </c>
      <c r="AL1749" s="17"/>
      <c r="AM1749" s="17"/>
      <c r="AN1749" s="17"/>
      <c r="AO1749" s="17"/>
      <c r="AP1749" s="28" t="str">
        <f t="shared" si="519"/>
        <v>20207</v>
      </c>
      <c r="AQ1749" s="28" t="str">
        <f t="shared" si="520"/>
        <v>20207RMB</v>
      </c>
      <c r="AR1749" s="206" t="str">
        <f t="shared" si="521"/>
        <v>YAMAHA_Mounter</v>
      </c>
      <c r="AS1749" s="22">
        <f t="shared" si="522"/>
        <v>1</v>
      </c>
      <c r="AT1749" s="24" t="str">
        <f t="shared" si="523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5"/>
        <v>843000</v>
      </c>
      <c r="AA1750" s="13">
        <v>1.135</v>
      </c>
      <c r="AB1750" s="21">
        <f t="shared" si="509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0"/>
        <v>31296887.037898075</v>
      </c>
      <c r="AJ1750" s="19">
        <f t="shared" si="511"/>
        <v>3588873.9502021763</v>
      </c>
      <c r="AK1750" s="20">
        <f t="shared" si="518"/>
        <v>0.11467191436184473</v>
      </c>
      <c r="AL1750" s="17"/>
      <c r="AM1750" s="17"/>
      <c r="AN1750" s="17"/>
      <c r="AO1750" s="17"/>
      <c r="AP1750" s="28" t="str">
        <f t="shared" si="519"/>
        <v>20196</v>
      </c>
      <c r="AQ1750" s="28" t="str">
        <f t="shared" si="520"/>
        <v>20196RMB</v>
      </c>
      <c r="AR1750" s="206" t="str">
        <f t="shared" si="521"/>
        <v>YAMAHA_Mounter</v>
      </c>
      <c r="AS1750" s="22">
        <f t="shared" si="522"/>
        <v>1</v>
      </c>
      <c r="AT1750" s="24" t="str">
        <f t="shared" si="523"/>
        <v>0-3 months</v>
      </c>
      <c r="AU1750" s="22" t="s">
        <v>3744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5"/>
        <v>1310000</v>
      </c>
      <c r="AA1751" s="13">
        <v>1.22</v>
      </c>
      <c r="AB1751" s="21">
        <f t="shared" si="509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0"/>
        <v>31750699.113741599</v>
      </c>
      <c r="AJ1751" s="19">
        <f t="shared" si="511"/>
        <v>4396077.3195289988</v>
      </c>
      <c r="AK1751" s="20">
        <f t="shared" si="518"/>
        <v>0.13845607946397598</v>
      </c>
      <c r="AL1751" s="17"/>
      <c r="AM1751" s="17"/>
      <c r="AN1751" s="17"/>
      <c r="AO1751" s="17"/>
      <c r="AP1751" s="28" t="str">
        <f t="shared" si="519"/>
        <v>20222</v>
      </c>
      <c r="AQ1751" s="28" t="str">
        <f t="shared" si="520"/>
        <v>20222RMB</v>
      </c>
      <c r="AR1751" s="206" t="str">
        <f t="shared" si="521"/>
        <v>YAMAHA_Mounter</v>
      </c>
      <c r="AS1751" s="22">
        <f t="shared" si="522"/>
        <v>5</v>
      </c>
      <c r="AT1751" s="24" t="str">
        <f t="shared" si="523"/>
        <v>4-6 months</v>
      </c>
      <c r="AU1751" s="22" t="s">
        <v>3751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5"/>
        <v>15450000</v>
      </c>
      <c r="AA1752" s="13">
        <v>7.6799999999999993E-2</v>
      </c>
      <c r="AB1752" s="21">
        <f t="shared" si="509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0"/>
        <v>45803245.025628321</v>
      </c>
      <c r="AJ1752" s="19">
        <f t="shared" si="511"/>
        <v>5664636.2584379362</v>
      </c>
      <c r="AK1752" s="20">
        <f t="shared" si="518"/>
        <v>0.12367325186825515</v>
      </c>
      <c r="AL1752" s="17"/>
      <c r="AM1752" s="17"/>
      <c r="AN1752" s="17"/>
      <c r="AO1752" s="17"/>
      <c r="AP1752" s="28" t="str">
        <f t="shared" si="519"/>
        <v>20211</v>
      </c>
      <c r="AQ1752" s="28" t="str">
        <f t="shared" si="520"/>
        <v>20211JPY</v>
      </c>
      <c r="AR1752" s="206" t="str">
        <f t="shared" si="521"/>
        <v>YAMAHA_Mounter</v>
      </c>
      <c r="AS1752" s="22">
        <f t="shared" si="522"/>
        <v>3</v>
      </c>
      <c r="AT1752" s="24" t="str">
        <f t="shared" si="523"/>
        <v>0-3 months</v>
      </c>
      <c r="AU1752" s="22" t="s">
        <v>3745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5"/>
        <v>15450000</v>
      </c>
      <c r="AA1753" s="13">
        <v>7.6799999999999993E-2</v>
      </c>
      <c r="AB1753" s="21">
        <f t="shared" si="509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0"/>
        <v>45803245.025628321</v>
      </c>
      <c r="AJ1753" s="19">
        <f t="shared" si="511"/>
        <v>5664636.2584379362</v>
      </c>
      <c r="AK1753" s="20">
        <f t="shared" si="518"/>
        <v>0.12367325186825515</v>
      </c>
      <c r="AL1753" s="17"/>
      <c r="AM1753" s="17"/>
      <c r="AN1753" s="17"/>
      <c r="AO1753" s="17"/>
      <c r="AP1753" s="28" t="str">
        <f t="shared" si="519"/>
        <v>20211</v>
      </c>
      <c r="AQ1753" s="28" t="str">
        <f t="shared" si="520"/>
        <v>20211JPY</v>
      </c>
      <c r="AR1753" s="206" t="str">
        <f t="shared" si="521"/>
        <v>YAMAHA_Mounter</v>
      </c>
      <c r="AS1753" s="22">
        <f t="shared" si="522"/>
        <v>3</v>
      </c>
      <c r="AT1753" s="24" t="str">
        <f t="shared" si="523"/>
        <v>0-3 months</v>
      </c>
      <c r="AU1753" s="22" t="s">
        <v>3745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5"/>
        <v>15300000</v>
      </c>
      <c r="AA1754" s="13">
        <v>7.0000000000000007E-2</v>
      </c>
      <c r="AB1754" s="21">
        <f t="shared" si="509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0"/>
        <v>29500529.005044252</v>
      </c>
      <c r="AJ1754" s="19">
        <f t="shared" si="511"/>
        <v>3253064.846231177</v>
      </c>
      <c r="AK1754" s="20">
        <f t="shared" si="518"/>
        <v>0.11027140718984871</v>
      </c>
      <c r="AL1754" s="17"/>
      <c r="AM1754" s="17"/>
      <c r="AN1754" s="17"/>
      <c r="AO1754" s="17"/>
      <c r="AP1754" s="28" t="str">
        <f t="shared" si="519"/>
        <v>202111</v>
      </c>
      <c r="AQ1754" s="28" t="str">
        <f t="shared" si="520"/>
        <v>202111JPY</v>
      </c>
      <c r="AR1754" s="206" t="str">
        <f t="shared" si="521"/>
        <v>YAMAHA_Mounter</v>
      </c>
      <c r="AS1754" s="22">
        <f t="shared" si="522"/>
        <v>5</v>
      </c>
      <c r="AT1754" s="24" t="str">
        <f t="shared" si="523"/>
        <v>4-6 months</v>
      </c>
      <c r="AU1754" s="22" t="s">
        <v>3745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5"/>
        <v>11000000</v>
      </c>
      <c r="AA1755" s="13">
        <v>7.0000000000000007E-2</v>
      </c>
      <c r="AB1755" s="21">
        <f t="shared" si="509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0"/>
        <v>29500529.005044252</v>
      </c>
      <c r="AJ1755" s="19">
        <f t="shared" si="511"/>
        <v>3253064.846231177</v>
      </c>
      <c r="AK1755" s="20">
        <f t="shared" si="518"/>
        <v>0.11027140718984871</v>
      </c>
      <c r="AL1755" s="17"/>
      <c r="AM1755" s="17"/>
      <c r="AN1755" s="17"/>
      <c r="AO1755" s="17"/>
      <c r="AP1755" s="28" t="str">
        <f t="shared" si="519"/>
        <v>202111</v>
      </c>
      <c r="AQ1755" s="28" t="str">
        <f t="shared" si="520"/>
        <v>202111JPY</v>
      </c>
      <c r="AR1755" s="206" t="str">
        <f t="shared" si="521"/>
        <v>YAMAHA_Mounter</v>
      </c>
      <c r="AS1755" s="22">
        <f t="shared" si="522"/>
        <v>5</v>
      </c>
      <c r="AT1755" s="24" t="str">
        <f t="shared" si="523"/>
        <v>4-6 months</v>
      </c>
      <c r="AU1755" s="22" t="s">
        <v>3745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5"/>
        <v>15200000</v>
      </c>
      <c r="AA1756" s="22">
        <v>5.4199999999999998E-2</v>
      </c>
      <c r="AB1756" s="21">
        <f t="shared" si="509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0"/>
        <v>10271727.486725664</v>
      </c>
      <c r="AJ1756" s="27">
        <f t="shared" si="511"/>
        <v>1227228.7260761063</v>
      </c>
      <c r="AK1756" s="28">
        <f t="shared" si="518"/>
        <v>0.11947637120066472</v>
      </c>
      <c r="AL1756" s="24"/>
      <c r="AM1756" s="24"/>
      <c r="AN1756" s="24"/>
      <c r="AO1756" s="24"/>
      <c r="AP1756" s="28" t="str">
        <f t="shared" si="519"/>
        <v>202312</v>
      </c>
      <c r="AQ1756" s="28" t="str">
        <f t="shared" si="520"/>
        <v>202312JPY</v>
      </c>
      <c r="AR1756" s="206" t="str">
        <f t="shared" si="521"/>
        <v>YAMAHA_Mounter</v>
      </c>
      <c r="AS1756" s="22">
        <f t="shared" si="522"/>
        <v>0</v>
      </c>
      <c r="AT1756" s="24" t="str">
        <f t="shared" si="523"/>
        <v>0-3 months</v>
      </c>
      <c r="AU1756" s="22" t="s">
        <v>3745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5"/>
        <v>1400000</v>
      </c>
      <c r="AA1757" s="13">
        <v>1.155</v>
      </c>
      <c r="AB1757" s="21">
        <f t="shared" si="509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0"/>
        <v>44078731.611185849</v>
      </c>
      <c r="AJ1757" s="19">
        <f t="shared" si="511"/>
        <v>5508173.2163771465</v>
      </c>
      <c r="AK1757" s="20">
        <f t="shared" si="518"/>
        <v>0.12496215328889679</v>
      </c>
      <c r="AL1757" s="17"/>
      <c r="AM1757" s="17"/>
      <c r="AN1757" s="17"/>
      <c r="AO1757" s="17"/>
      <c r="AP1757" s="28" t="str">
        <f t="shared" si="519"/>
        <v>202011</v>
      </c>
      <c r="AQ1757" s="28" t="str">
        <f t="shared" si="520"/>
        <v>202011RMB</v>
      </c>
      <c r="AR1757" s="206" t="str">
        <f t="shared" si="521"/>
        <v>YAMAHA_Mounter</v>
      </c>
      <c r="AS1757" s="22">
        <f t="shared" si="522"/>
        <v>2</v>
      </c>
      <c r="AT1757" s="24" t="str">
        <f t="shared" si="523"/>
        <v>0-3 months</v>
      </c>
      <c r="AU1757" s="22" t="s">
        <v>3744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5"/>
        <v>1400000</v>
      </c>
      <c r="AA1758" s="13">
        <v>1.155</v>
      </c>
      <c r="AB1758" s="21">
        <f t="shared" si="509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0"/>
        <v>44078731.611185849</v>
      </c>
      <c r="AJ1758" s="19">
        <f t="shared" si="511"/>
        <v>5508173.2163771465</v>
      </c>
      <c r="AK1758" s="20">
        <f t="shared" si="518"/>
        <v>0.12496215328889679</v>
      </c>
      <c r="AL1758" s="17"/>
      <c r="AM1758" s="17"/>
      <c r="AN1758" s="17"/>
      <c r="AO1758" s="17"/>
      <c r="AP1758" s="28" t="str">
        <f t="shared" si="519"/>
        <v>202011</v>
      </c>
      <c r="AQ1758" s="28" t="str">
        <f t="shared" si="520"/>
        <v>202011RMB</v>
      </c>
      <c r="AR1758" s="206" t="str">
        <f t="shared" si="521"/>
        <v>YAMAHA_Mounter</v>
      </c>
      <c r="AS1758" s="22">
        <f t="shared" si="522"/>
        <v>2</v>
      </c>
      <c r="AT1758" s="24" t="str">
        <f t="shared" si="523"/>
        <v>0-3 months</v>
      </c>
      <c r="AU1758" s="22" t="s">
        <v>3744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5"/>
        <v>1416800</v>
      </c>
      <c r="AA1759" s="13">
        <v>1.095</v>
      </c>
      <c r="AB1759" s="21">
        <f t="shared" si="509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0"/>
        <v>499582152.5142017</v>
      </c>
      <c r="AJ1759" s="19">
        <f t="shared" si="511"/>
        <v>59520528.679470733</v>
      </c>
      <c r="AK1759" s="20">
        <f t="shared" si="518"/>
        <v>0.11914062257814291</v>
      </c>
      <c r="AL1759" s="17"/>
      <c r="AM1759" s="17"/>
      <c r="AN1759" s="17"/>
      <c r="AO1759" s="17"/>
      <c r="AP1759" s="28" t="str">
        <f t="shared" si="519"/>
        <v>CancelCancel</v>
      </c>
      <c r="AQ1759" s="28" t="str">
        <f t="shared" si="520"/>
        <v>CancelCancelRMB</v>
      </c>
      <c r="AR1759" s="206" t="str">
        <f t="shared" si="521"/>
        <v>YAMAHA_Mounter</v>
      </c>
      <c r="AS1759" s="22" t="str">
        <f t="shared" si="522"/>
        <v/>
      </c>
      <c r="AT1759" s="24" t="str">
        <f t="shared" si="523"/>
        <v/>
      </c>
      <c r="AU1759" s="22" t="s">
        <v>3744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5"/>
        <v>1416800</v>
      </c>
      <c r="AA1760" s="13">
        <v>1.095</v>
      </c>
      <c r="AB1760" s="21">
        <f t="shared" si="509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0"/>
        <v>499582152.5142017</v>
      </c>
      <c r="AJ1760" s="19">
        <f t="shared" si="511"/>
        <v>59520528.679470733</v>
      </c>
      <c r="AK1760" s="20">
        <f t="shared" si="518"/>
        <v>0.11914062257814291</v>
      </c>
      <c r="AL1760" s="17"/>
      <c r="AM1760" s="17"/>
      <c r="AN1760" s="17"/>
      <c r="AO1760" s="17"/>
      <c r="AP1760" s="28" t="str">
        <f t="shared" si="519"/>
        <v>CancelCancel</v>
      </c>
      <c r="AQ1760" s="28" t="str">
        <f t="shared" si="520"/>
        <v>CancelCancelRMB</v>
      </c>
      <c r="AR1760" s="206" t="str">
        <f t="shared" si="521"/>
        <v>YAMAHA_Mounter</v>
      </c>
      <c r="AS1760" s="22" t="str">
        <f t="shared" si="522"/>
        <v/>
      </c>
      <c r="AT1760" s="24" t="str">
        <f t="shared" si="523"/>
        <v/>
      </c>
      <c r="AU1760" s="22" t="s">
        <v>3744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5"/>
        <v>1416800</v>
      </c>
      <c r="AA1761" s="13">
        <v>1.095</v>
      </c>
      <c r="AB1761" s="21">
        <f t="shared" si="509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0"/>
        <v>499582152.5142017</v>
      </c>
      <c r="AJ1761" s="19">
        <f t="shared" si="511"/>
        <v>59520528.679470733</v>
      </c>
      <c r="AK1761" s="20">
        <f t="shared" si="518"/>
        <v>0.11914062257814291</v>
      </c>
      <c r="AL1761" s="17"/>
      <c r="AM1761" s="17"/>
      <c r="AN1761" s="17"/>
      <c r="AO1761" s="17"/>
      <c r="AP1761" s="28" t="str">
        <f t="shared" si="519"/>
        <v>CancelCancel</v>
      </c>
      <c r="AQ1761" s="28" t="str">
        <f t="shared" si="520"/>
        <v>CancelCancelRMB</v>
      </c>
      <c r="AR1761" s="206" t="str">
        <f t="shared" si="521"/>
        <v>YAMAHA_Mounter</v>
      </c>
      <c r="AS1761" s="22" t="str">
        <f t="shared" si="522"/>
        <v/>
      </c>
      <c r="AT1761" s="24" t="str">
        <f t="shared" si="523"/>
        <v/>
      </c>
      <c r="AU1761" s="22" t="s">
        <v>3744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5"/>
        <v>1416800</v>
      </c>
      <c r="AA1762" s="13">
        <v>1.095</v>
      </c>
      <c r="AB1762" s="21">
        <f t="shared" si="509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0"/>
        <v>499582152.5142017</v>
      </c>
      <c r="AJ1762" s="19">
        <f t="shared" si="511"/>
        <v>59520528.679470733</v>
      </c>
      <c r="AK1762" s="20">
        <f t="shared" si="518"/>
        <v>0.11914062257814291</v>
      </c>
      <c r="AL1762" s="17"/>
      <c r="AM1762" s="17"/>
      <c r="AN1762" s="17"/>
      <c r="AO1762" s="17"/>
      <c r="AP1762" s="28" t="str">
        <f t="shared" si="519"/>
        <v>CancelCancel</v>
      </c>
      <c r="AQ1762" s="28" t="str">
        <f t="shared" si="520"/>
        <v>CancelCancelRMB</v>
      </c>
      <c r="AR1762" s="206" t="str">
        <f t="shared" si="521"/>
        <v>YAMAHA_Mounter</v>
      </c>
      <c r="AS1762" s="22" t="str">
        <f t="shared" si="522"/>
        <v/>
      </c>
      <c r="AT1762" s="24" t="str">
        <f t="shared" si="523"/>
        <v/>
      </c>
      <c r="AU1762" s="22" t="s">
        <v>3744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5"/>
        <v>1416800</v>
      </c>
      <c r="AA1763" s="13">
        <v>1.095</v>
      </c>
      <c r="AB1763" s="21">
        <f t="shared" si="509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0"/>
        <v>499582152.5142017</v>
      </c>
      <c r="AJ1763" s="19">
        <f t="shared" si="511"/>
        <v>59520528.679470733</v>
      </c>
      <c r="AK1763" s="20">
        <f t="shared" si="518"/>
        <v>0.11914062257814291</v>
      </c>
      <c r="AL1763" s="17"/>
      <c r="AM1763" s="17"/>
      <c r="AN1763" s="17"/>
      <c r="AO1763" s="17"/>
      <c r="AP1763" s="28" t="str">
        <f t="shared" si="519"/>
        <v>CancelCancel</v>
      </c>
      <c r="AQ1763" s="28" t="str">
        <f t="shared" si="520"/>
        <v>CancelCancelRMB</v>
      </c>
      <c r="AR1763" s="206" t="str">
        <f t="shared" si="521"/>
        <v>YAMAHA_Mounter</v>
      </c>
      <c r="AS1763" s="22" t="str">
        <f t="shared" si="522"/>
        <v/>
      </c>
      <c r="AT1763" s="24" t="str">
        <f t="shared" si="523"/>
        <v/>
      </c>
      <c r="AU1763" s="22" t="s">
        <v>3744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5"/>
        <v>1416800</v>
      </c>
      <c r="AA1764" s="13">
        <v>1.095</v>
      </c>
      <c r="AB1764" s="21">
        <f t="shared" si="509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0"/>
        <v>499582152.5142017</v>
      </c>
      <c r="AJ1764" s="19">
        <f t="shared" si="511"/>
        <v>59520528.679470733</v>
      </c>
      <c r="AK1764" s="20">
        <f t="shared" si="518"/>
        <v>0.11914062257814291</v>
      </c>
      <c r="AL1764" s="17"/>
      <c r="AM1764" s="17"/>
      <c r="AN1764" s="17"/>
      <c r="AO1764" s="17"/>
      <c r="AP1764" s="28" t="str">
        <f t="shared" si="519"/>
        <v>CancelCancel</v>
      </c>
      <c r="AQ1764" s="28" t="str">
        <f t="shared" si="520"/>
        <v>CancelCancelRMB</v>
      </c>
      <c r="AR1764" s="206" t="str">
        <f t="shared" si="521"/>
        <v>YAMAHA_Mounter</v>
      </c>
      <c r="AS1764" s="22" t="str">
        <f t="shared" si="522"/>
        <v/>
      </c>
      <c r="AT1764" s="24" t="str">
        <f t="shared" si="523"/>
        <v/>
      </c>
      <c r="AU1764" s="22" t="s">
        <v>3744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5"/>
        <v>18880000</v>
      </c>
      <c r="AA1765" s="13">
        <v>7.4099999999999999E-2</v>
      </c>
      <c r="AB1765" s="21">
        <f t="shared" si="509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0"/>
        <v>499582152.5142017</v>
      </c>
      <c r="AJ1765" s="19">
        <f t="shared" si="511"/>
        <v>59520528.679470733</v>
      </c>
      <c r="AK1765" s="20">
        <f t="shared" si="518"/>
        <v>0.11914062257814291</v>
      </c>
      <c r="AL1765" s="17"/>
      <c r="AM1765" s="17"/>
      <c r="AN1765" s="17"/>
      <c r="AO1765" s="17"/>
      <c r="AP1765" s="28" t="str">
        <f t="shared" si="519"/>
        <v>CancelCancel</v>
      </c>
      <c r="AQ1765" s="28" t="str">
        <f t="shared" si="520"/>
        <v>CancelCancelJPY</v>
      </c>
      <c r="AR1765" s="206" t="str">
        <f t="shared" si="521"/>
        <v>YAMAHA_Mounter</v>
      </c>
      <c r="AS1765" s="22" t="str">
        <f t="shared" si="522"/>
        <v/>
      </c>
      <c r="AT1765" s="24" t="str">
        <f t="shared" si="523"/>
        <v/>
      </c>
      <c r="AU1765" s="22" t="s">
        <v>3746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5"/>
        <v>18880000</v>
      </c>
      <c r="AA1766" s="13">
        <v>7.4099999999999999E-2</v>
      </c>
      <c r="AB1766" s="21">
        <f t="shared" si="509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0"/>
        <v>499582152.5142017</v>
      </c>
      <c r="AJ1766" s="19">
        <f t="shared" si="511"/>
        <v>59520528.679470733</v>
      </c>
      <c r="AK1766" s="20">
        <f t="shared" si="518"/>
        <v>0.11914062257814291</v>
      </c>
      <c r="AL1766" s="17"/>
      <c r="AM1766" s="17"/>
      <c r="AN1766" s="17"/>
      <c r="AO1766" s="17"/>
      <c r="AP1766" s="28" t="str">
        <f t="shared" si="519"/>
        <v>CancelCancel</v>
      </c>
      <c r="AQ1766" s="28" t="str">
        <f t="shared" si="520"/>
        <v>CancelCancelJPY</v>
      </c>
      <c r="AR1766" s="206" t="str">
        <f t="shared" si="521"/>
        <v>YAMAHA_Mounter</v>
      </c>
      <c r="AS1766" s="22" t="str">
        <f t="shared" si="522"/>
        <v/>
      </c>
      <c r="AT1766" s="24" t="str">
        <f t="shared" si="523"/>
        <v/>
      </c>
      <c r="AU1766" s="22" t="s">
        <v>3746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5"/>
        <v>18880000</v>
      </c>
      <c r="AA1767" s="13">
        <v>7.4099999999999999E-2</v>
      </c>
      <c r="AB1767" s="21">
        <f t="shared" si="509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0"/>
        <v>499582152.5142017</v>
      </c>
      <c r="AJ1767" s="19">
        <f t="shared" si="511"/>
        <v>59520528.679470733</v>
      </c>
      <c r="AK1767" s="20">
        <f t="shared" si="518"/>
        <v>0.11914062257814291</v>
      </c>
      <c r="AL1767" s="17"/>
      <c r="AM1767" s="17"/>
      <c r="AN1767" s="17"/>
      <c r="AO1767" s="17"/>
      <c r="AP1767" s="28" t="str">
        <f t="shared" si="519"/>
        <v>CancelCancel</v>
      </c>
      <c r="AQ1767" s="28" t="str">
        <f t="shared" si="520"/>
        <v>CancelCancelJPY</v>
      </c>
      <c r="AR1767" s="206" t="str">
        <f t="shared" si="521"/>
        <v>YAMAHA_Mounter</v>
      </c>
      <c r="AS1767" s="22" t="str">
        <f t="shared" si="522"/>
        <v/>
      </c>
      <c r="AT1767" s="24" t="str">
        <f t="shared" si="523"/>
        <v/>
      </c>
      <c r="AU1767" s="22" t="s">
        <v>3746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5"/>
        <v>18880000</v>
      </c>
      <c r="AA1768" s="13">
        <v>7.4099999999999999E-2</v>
      </c>
      <c r="AB1768" s="21">
        <f t="shared" si="509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0"/>
        <v>499582152.5142017</v>
      </c>
      <c r="AJ1768" s="19">
        <f t="shared" si="511"/>
        <v>59520528.679470733</v>
      </c>
      <c r="AK1768" s="20">
        <f t="shared" si="518"/>
        <v>0.11914062257814291</v>
      </c>
      <c r="AL1768" s="17"/>
      <c r="AM1768" s="17"/>
      <c r="AN1768" s="17"/>
      <c r="AO1768" s="17"/>
      <c r="AP1768" s="28" t="str">
        <f t="shared" si="519"/>
        <v>CancelCancel</v>
      </c>
      <c r="AQ1768" s="28" t="str">
        <f t="shared" si="520"/>
        <v>CancelCancelJPY</v>
      </c>
      <c r="AR1768" s="206" t="str">
        <f t="shared" si="521"/>
        <v>YAMAHA_Mounter</v>
      </c>
      <c r="AS1768" s="22" t="str">
        <f t="shared" si="522"/>
        <v/>
      </c>
      <c r="AT1768" s="24" t="str">
        <f t="shared" si="523"/>
        <v/>
      </c>
      <c r="AU1768" s="22" t="s">
        <v>3746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5"/>
        <v>18880000</v>
      </c>
      <c r="AA1769" s="13">
        <v>7.4099999999999999E-2</v>
      </c>
      <c r="AB1769" s="21">
        <f t="shared" si="509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0"/>
        <v>499582152.5142017</v>
      </c>
      <c r="AJ1769" s="19">
        <f t="shared" si="511"/>
        <v>59520528.679470733</v>
      </c>
      <c r="AK1769" s="20">
        <f t="shared" si="518"/>
        <v>0.11914062257814291</v>
      </c>
      <c r="AL1769" s="17"/>
      <c r="AM1769" s="17"/>
      <c r="AN1769" s="17"/>
      <c r="AO1769" s="17"/>
      <c r="AP1769" s="28" t="str">
        <f t="shared" si="519"/>
        <v>CancelCancel</v>
      </c>
      <c r="AQ1769" s="28" t="str">
        <f t="shared" si="520"/>
        <v>CancelCancelJPY</v>
      </c>
      <c r="AR1769" s="206" t="str">
        <f t="shared" si="521"/>
        <v>YAMAHA_Mounter</v>
      </c>
      <c r="AS1769" s="22" t="str">
        <f t="shared" si="522"/>
        <v/>
      </c>
      <c r="AT1769" s="24" t="str">
        <f t="shared" si="523"/>
        <v/>
      </c>
      <c r="AU1769" s="22" t="s">
        <v>3746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5"/>
        <v>18880000</v>
      </c>
      <c r="AA1770" s="13">
        <v>7.4099999999999999E-2</v>
      </c>
      <c r="AB1770" s="21">
        <f t="shared" si="509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0"/>
        <v>499582152.5142017</v>
      </c>
      <c r="AJ1770" s="19">
        <f t="shared" si="511"/>
        <v>59520528.679470733</v>
      </c>
      <c r="AK1770" s="20">
        <f t="shared" si="518"/>
        <v>0.11914062257814291</v>
      </c>
      <c r="AL1770" s="17"/>
      <c r="AM1770" s="17"/>
      <c r="AN1770" s="17"/>
      <c r="AO1770" s="17"/>
      <c r="AP1770" s="28" t="str">
        <f t="shared" si="519"/>
        <v>CancelCancel</v>
      </c>
      <c r="AQ1770" s="28" t="str">
        <f t="shared" si="520"/>
        <v>CancelCancelJPY</v>
      </c>
      <c r="AR1770" s="206" t="str">
        <f t="shared" si="521"/>
        <v>YAMAHA_Mounter</v>
      </c>
      <c r="AS1770" s="22" t="str">
        <f t="shared" si="522"/>
        <v/>
      </c>
      <c r="AT1770" s="24" t="str">
        <f t="shared" si="523"/>
        <v/>
      </c>
      <c r="AU1770" s="22" t="s">
        <v>3746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5"/>
        <v>9500000</v>
      </c>
      <c r="AA1771" s="13">
        <v>7.4899999999999994E-2</v>
      </c>
      <c r="AB1771" s="21">
        <f t="shared" si="509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0"/>
        <v>499582152.5142017</v>
      </c>
      <c r="AJ1771" s="19">
        <f t="shared" si="511"/>
        <v>59520528.679470733</v>
      </c>
      <c r="AK1771" s="20">
        <f t="shared" si="518"/>
        <v>0.11914062257814291</v>
      </c>
      <c r="AL1771" s="17"/>
      <c r="AM1771" s="17"/>
      <c r="AN1771" s="17"/>
      <c r="AO1771" s="17"/>
      <c r="AP1771" s="28" t="str">
        <f t="shared" si="519"/>
        <v>CancelCancel</v>
      </c>
      <c r="AQ1771" s="28" t="str">
        <f t="shared" si="520"/>
        <v>CancelCancelJPY</v>
      </c>
      <c r="AR1771" s="206" t="str">
        <f t="shared" si="521"/>
        <v>YAMAHA_Mounter</v>
      </c>
      <c r="AS1771" s="22" t="str">
        <f t="shared" si="522"/>
        <v/>
      </c>
      <c r="AT1771" s="24" t="str">
        <f t="shared" si="523"/>
        <v/>
      </c>
      <c r="AU1771" s="22" t="s">
        <v>3745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6">IF(W1772="RMB","1.13", "1")</f>
        <v>1</v>
      </c>
      <c r="Z1772" s="18">
        <f t="shared" si="525"/>
        <v>7940000</v>
      </c>
      <c r="AA1772" s="13">
        <v>7.6799999999999993E-2</v>
      </c>
      <c r="AB1772" s="21">
        <f t="shared" si="509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0"/>
        <v>45803245.025628321</v>
      </c>
      <c r="AJ1772" s="19">
        <f t="shared" si="511"/>
        <v>5664636.2584379362</v>
      </c>
      <c r="AK1772" s="20">
        <f t="shared" si="518"/>
        <v>0.12367325186825515</v>
      </c>
      <c r="AL1772" s="17"/>
      <c r="AM1772" s="17"/>
      <c r="AN1772" s="17"/>
      <c r="AO1772" s="17"/>
      <c r="AP1772" s="28" t="str">
        <f t="shared" si="519"/>
        <v>20211</v>
      </c>
      <c r="AQ1772" s="28" t="str">
        <f t="shared" si="520"/>
        <v>20211JPY</v>
      </c>
      <c r="AR1772" s="206" t="str">
        <f t="shared" si="521"/>
        <v>YAMAHA_Mounter</v>
      </c>
      <c r="AS1772" s="22">
        <f t="shared" si="522"/>
        <v>2</v>
      </c>
      <c r="AT1772" s="24" t="str">
        <f t="shared" si="523"/>
        <v>0-3 months</v>
      </c>
      <c r="AU1772" s="22" t="s">
        <v>3745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6"/>
        <v>1</v>
      </c>
      <c r="Z1773" s="18">
        <f t="shared" si="525"/>
        <v>7940000</v>
      </c>
      <c r="AA1773" s="13">
        <v>7.6799999999999993E-2</v>
      </c>
      <c r="AB1773" s="21">
        <f t="shared" si="509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0"/>
        <v>45803245.025628321</v>
      </c>
      <c r="AJ1773" s="19">
        <f t="shared" si="511"/>
        <v>5664636.2584379362</v>
      </c>
      <c r="AK1773" s="20">
        <f t="shared" si="518"/>
        <v>0.12367325186825515</v>
      </c>
      <c r="AL1773" s="17"/>
      <c r="AM1773" s="17"/>
      <c r="AN1773" s="17"/>
      <c r="AO1773" s="17"/>
      <c r="AP1773" s="28" t="str">
        <f t="shared" si="519"/>
        <v>20211</v>
      </c>
      <c r="AQ1773" s="28" t="str">
        <f t="shared" si="520"/>
        <v>20211JPY</v>
      </c>
      <c r="AR1773" s="206" t="str">
        <f t="shared" si="521"/>
        <v>YAMAHA_Mounter</v>
      </c>
      <c r="AS1773" s="22">
        <f t="shared" si="522"/>
        <v>2</v>
      </c>
      <c r="AT1773" s="24" t="str">
        <f t="shared" si="523"/>
        <v>0-3 months</v>
      </c>
      <c r="AU1773" s="22" t="s">
        <v>3745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6"/>
        <v>1</v>
      </c>
      <c r="Z1774" s="18">
        <f t="shared" si="525"/>
        <v>7940000</v>
      </c>
      <c r="AA1774" s="13">
        <v>7.5700000000000003E-2</v>
      </c>
      <c r="AB1774" s="21">
        <f t="shared" si="509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0"/>
        <v>31097187.02948761</v>
      </c>
      <c r="AJ1774" s="19">
        <f t="shared" si="511"/>
        <v>3892353.6644401965</v>
      </c>
      <c r="AK1774" s="20">
        <f t="shared" si="518"/>
        <v>0.12516738767237401</v>
      </c>
      <c r="AL1774" s="17"/>
      <c r="AM1774" s="17"/>
      <c r="AN1774" s="17"/>
      <c r="AO1774" s="17"/>
      <c r="AP1774" s="28" t="str">
        <f t="shared" si="519"/>
        <v>20212</v>
      </c>
      <c r="AQ1774" s="28" t="str">
        <f t="shared" si="520"/>
        <v>20212JPY</v>
      </c>
      <c r="AR1774" s="206" t="str">
        <f t="shared" si="521"/>
        <v>YAMAHA_Mounter</v>
      </c>
      <c r="AS1774" s="22">
        <f t="shared" si="522"/>
        <v>3</v>
      </c>
      <c r="AT1774" s="24" t="str">
        <f t="shared" si="523"/>
        <v>0-3 months</v>
      </c>
      <c r="AU1774" s="22" t="s">
        <v>3745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6"/>
        <v>1</v>
      </c>
      <c r="Z1775" s="18">
        <f t="shared" si="525"/>
        <v>7590000</v>
      </c>
      <c r="AA1775" s="13">
        <v>7.5700000000000003E-2</v>
      </c>
      <c r="AB1775" s="21">
        <f t="shared" si="509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0"/>
        <v>31097187.02948761</v>
      </c>
      <c r="AJ1775" s="19">
        <f t="shared" si="511"/>
        <v>3892353.6644401965</v>
      </c>
      <c r="AK1775" s="20">
        <f t="shared" si="518"/>
        <v>0.12516738767237401</v>
      </c>
      <c r="AL1775" s="17"/>
      <c r="AM1775" s="17"/>
      <c r="AN1775" s="17"/>
      <c r="AO1775" s="17"/>
      <c r="AP1775" s="28" t="str">
        <f t="shared" si="519"/>
        <v>20212</v>
      </c>
      <c r="AQ1775" s="28" t="str">
        <f t="shared" si="520"/>
        <v>20212JPY</v>
      </c>
      <c r="AR1775" s="206" t="str">
        <f t="shared" si="521"/>
        <v>YAMAHA_Mounter</v>
      </c>
      <c r="AS1775" s="22">
        <f t="shared" si="522"/>
        <v>3</v>
      </c>
      <c r="AT1775" s="24" t="str">
        <f t="shared" si="523"/>
        <v>0-3 months</v>
      </c>
      <c r="AU1775" s="22" t="s">
        <v>3745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6"/>
        <v>1</v>
      </c>
      <c r="Z1776" s="18">
        <f t="shared" si="525"/>
        <v>6500000</v>
      </c>
      <c r="AA1776" s="13">
        <v>7.2400000000000006E-2</v>
      </c>
      <c r="AB1776" s="21">
        <f t="shared" si="509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0"/>
        <v>499582152.5142017</v>
      </c>
      <c r="AJ1776" s="19">
        <f t="shared" si="511"/>
        <v>59520528.679470733</v>
      </c>
      <c r="AK1776" s="20">
        <f t="shared" si="518"/>
        <v>0.11914062257814291</v>
      </c>
      <c r="AL1776" s="17"/>
      <c r="AM1776" s="17"/>
      <c r="AN1776" s="17"/>
      <c r="AO1776" s="17"/>
      <c r="AP1776" s="28" t="str">
        <f t="shared" si="519"/>
        <v>CancelCancel</v>
      </c>
      <c r="AQ1776" s="28" t="str">
        <f t="shared" si="520"/>
        <v>CancelCancelJPY</v>
      </c>
      <c r="AR1776" s="206" t="str">
        <f t="shared" si="521"/>
        <v>YAMAHA_Mounter</v>
      </c>
      <c r="AS1776" s="22" t="str">
        <f t="shared" si="522"/>
        <v/>
      </c>
      <c r="AT1776" s="24" t="str">
        <f t="shared" si="523"/>
        <v/>
      </c>
      <c r="AU1776" s="22" t="s">
        <v>3745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6"/>
        <v>1</v>
      </c>
      <c r="Z1777" s="18">
        <f t="shared" si="525"/>
        <v>6500000</v>
      </c>
      <c r="AA1777" s="13">
        <v>7.2400000000000006E-2</v>
      </c>
      <c r="AB1777" s="21">
        <f t="shared" si="509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0"/>
        <v>499582152.5142017</v>
      </c>
      <c r="AJ1777" s="19">
        <f t="shared" si="511"/>
        <v>59520528.679470733</v>
      </c>
      <c r="AK1777" s="20">
        <f t="shared" si="518"/>
        <v>0.11914062257814291</v>
      </c>
      <c r="AL1777" s="17"/>
      <c r="AM1777" s="17"/>
      <c r="AN1777" s="17"/>
      <c r="AO1777" s="17"/>
      <c r="AP1777" s="28" t="str">
        <f t="shared" si="519"/>
        <v>CancelCancel</v>
      </c>
      <c r="AQ1777" s="28" t="str">
        <f t="shared" si="520"/>
        <v>CancelCancelJPY</v>
      </c>
      <c r="AR1777" s="206" t="str">
        <f t="shared" si="521"/>
        <v>YAMAHA_Mounter</v>
      </c>
      <c r="AS1777" s="22" t="str">
        <f t="shared" si="522"/>
        <v/>
      </c>
      <c r="AT1777" s="24" t="str">
        <f t="shared" si="523"/>
        <v/>
      </c>
      <c r="AU1777" s="22" t="s">
        <v>3745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6"/>
        <v>1</v>
      </c>
      <c r="Z1778" s="18">
        <f t="shared" si="525"/>
        <v>8300000</v>
      </c>
      <c r="AA1778" s="13">
        <v>6.54E-2</v>
      </c>
      <c r="AB1778" s="21">
        <f t="shared" si="509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0"/>
        <v>46600814.041769907</v>
      </c>
      <c r="AJ1778" s="19">
        <f t="shared" si="511"/>
        <v>5956366.3435927071</v>
      </c>
      <c r="AK1778" s="20">
        <f t="shared" si="518"/>
        <v>0.1278167874546958</v>
      </c>
      <c r="AL1778" s="17"/>
      <c r="AM1778" s="17"/>
      <c r="AN1778" s="17"/>
      <c r="AO1778" s="17"/>
      <c r="AP1778" s="28" t="str">
        <f t="shared" si="519"/>
        <v>20224</v>
      </c>
      <c r="AQ1778" s="28" t="str">
        <f t="shared" si="520"/>
        <v>20224JPY</v>
      </c>
      <c r="AR1778" s="206" t="str">
        <f t="shared" si="521"/>
        <v>YAMAHA_Mounter</v>
      </c>
      <c r="AS1778" s="22">
        <f t="shared" si="522"/>
        <v>8</v>
      </c>
      <c r="AT1778" s="24" t="str">
        <f t="shared" si="523"/>
        <v>&gt; 6 months</v>
      </c>
      <c r="AU1778" s="22" t="s">
        <v>3745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6"/>
        <v>1</v>
      </c>
      <c r="Z1779" s="18">
        <f t="shared" si="525"/>
        <v>12700000</v>
      </c>
      <c r="AA1779" s="13">
        <v>6.54E-2</v>
      </c>
      <c r="AB1779" s="21">
        <f t="shared" si="509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0"/>
        <v>46600814.041769907</v>
      </c>
      <c r="AJ1779" s="19">
        <f t="shared" si="511"/>
        <v>5956366.3435927071</v>
      </c>
      <c r="AK1779" s="20">
        <f t="shared" si="518"/>
        <v>0.1278167874546958</v>
      </c>
      <c r="AL1779" s="17"/>
      <c r="AM1779" s="17"/>
      <c r="AN1779" s="17"/>
      <c r="AO1779" s="17"/>
      <c r="AP1779" s="28" t="str">
        <f t="shared" si="519"/>
        <v>20224</v>
      </c>
      <c r="AQ1779" s="28" t="str">
        <f t="shared" si="520"/>
        <v>20224JPY</v>
      </c>
      <c r="AR1779" s="206" t="str">
        <f t="shared" si="521"/>
        <v>YAMAHA_Mounter</v>
      </c>
      <c r="AS1779" s="22">
        <f t="shared" si="522"/>
        <v>8</v>
      </c>
      <c r="AT1779" s="24" t="str">
        <f t="shared" si="523"/>
        <v>&gt; 6 months</v>
      </c>
      <c r="AU1779" s="22" t="s">
        <v>3745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6"/>
        <v>1.13</v>
      </c>
      <c r="Z1780" s="18">
        <f t="shared" si="525"/>
        <v>490000</v>
      </c>
      <c r="AA1780" s="13">
        <v>1.22</v>
      </c>
      <c r="AB1780" s="21">
        <f t="shared" si="509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0"/>
        <v>499582152.5142017</v>
      </c>
      <c r="AJ1780" s="19">
        <f t="shared" si="511"/>
        <v>59520528.679470733</v>
      </c>
      <c r="AK1780" s="20">
        <f t="shared" si="518"/>
        <v>0.11914062257814291</v>
      </c>
      <c r="AL1780" s="17"/>
      <c r="AM1780" s="17"/>
      <c r="AN1780" s="17"/>
      <c r="AO1780" s="17"/>
      <c r="AP1780" s="28" t="str">
        <f t="shared" si="519"/>
        <v>CancelCancel</v>
      </c>
      <c r="AQ1780" s="28" t="str">
        <f t="shared" si="520"/>
        <v>CancelCancelRMB</v>
      </c>
      <c r="AR1780" s="206" t="str">
        <f t="shared" si="521"/>
        <v>YAMAHA_Mounter</v>
      </c>
      <c r="AS1780" s="22" t="str">
        <f t="shared" si="522"/>
        <v/>
      </c>
      <c r="AT1780" s="24" t="str">
        <f t="shared" si="523"/>
        <v/>
      </c>
      <c r="AU1780" s="22" t="s">
        <v>3751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6"/>
        <v>1.13</v>
      </c>
      <c r="Z1781" s="18">
        <f t="shared" si="525"/>
        <v>803285</v>
      </c>
      <c r="AA1781" s="13">
        <v>1.22</v>
      </c>
      <c r="AB1781" s="21">
        <f t="shared" si="509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0"/>
        <v>499582152.5142017</v>
      </c>
      <c r="AJ1781" s="19">
        <f t="shared" si="511"/>
        <v>59520528.679470733</v>
      </c>
      <c r="AK1781" s="20">
        <f t="shared" si="518"/>
        <v>0.11914062257814291</v>
      </c>
      <c r="AL1781" s="17"/>
      <c r="AM1781" s="17"/>
      <c r="AN1781" s="17"/>
      <c r="AO1781" s="17"/>
      <c r="AP1781" s="28" t="str">
        <f t="shared" si="519"/>
        <v>CancelCancel</v>
      </c>
      <c r="AQ1781" s="28" t="str">
        <f t="shared" si="520"/>
        <v>CancelCancelRMB</v>
      </c>
      <c r="AR1781" s="206" t="str">
        <f t="shared" si="521"/>
        <v>YAMAHA_Mounter</v>
      </c>
      <c r="AS1781" s="22" t="str">
        <f t="shared" si="522"/>
        <v/>
      </c>
      <c r="AT1781" s="24" t="str">
        <f t="shared" si="523"/>
        <v/>
      </c>
      <c r="AU1781" s="22" t="s">
        <v>3751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7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28">IF(W1782="","",IF(W1782="RMB","1.13", "1"))</f>
        <v>1</v>
      </c>
      <c r="Z1782" s="18">
        <f t="shared" si="525"/>
        <v>6600000</v>
      </c>
      <c r="AA1782" s="22">
        <v>5.6300000000000003E-2</v>
      </c>
      <c r="AB1782" s="21">
        <f t="shared" ref="AB1782:AB1845" si="529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0"/>
        <v>23146578.081415929</v>
      </c>
      <c r="AJ1782" s="27">
        <f t="shared" si="511"/>
        <v>2745231.3889985834</v>
      </c>
      <c r="AK1782" s="28">
        <f t="shared" si="518"/>
        <v>0.11860204041143742</v>
      </c>
      <c r="AL1782" s="24"/>
      <c r="AM1782" s="24"/>
      <c r="AN1782" s="24"/>
      <c r="AO1782" s="24"/>
      <c r="AP1782" s="28" t="str">
        <f t="shared" si="519"/>
        <v>20241</v>
      </c>
      <c r="AQ1782" s="28" t="str">
        <f t="shared" si="520"/>
        <v>20241JPY</v>
      </c>
      <c r="AR1782" s="206" t="str">
        <f t="shared" si="521"/>
        <v>YAMAHA_Mounter</v>
      </c>
      <c r="AS1782" s="22">
        <f t="shared" si="522"/>
        <v>1</v>
      </c>
      <c r="AT1782" s="24" t="str">
        <f t="shared" si="523"/>
        <v>0-3 months</v>
      </c>
      <c r="AU1782" s="22" t="s">
        <v>3745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7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28"/>
        <v>1</v>
      </c>
      <c r="Z1783" s="18">
        <f t="shared" si="525"/>
        <v>6600000</v>
      </c>
      <c r="AA1783" s="22">
        <v>5.6300000000000003E-2</v>
      </c>
      <c r="AB1783" s="21">
        <f t="shared" si="529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0"/>
        <v>23146578.081415929</v>
      </c>
      <c r="AJ1783" s="27">
        <f t="shared" si="511"/>
        <v>2745231.3889985834</v>
      </c>
      <c r="AK1783" s="28">
        <f t="shared" si="518"/>
        <v>0.11860204041143742</v>
      </c>
      <c r="AL1783" s="24"/>
      <c r="AM1783" s="24"/>
      <c r="AN1783" s="24"/>
      <c r="AO1783" s="24"/>
      <c r="AP1783" s="28" t="str">
        <f t="shared" si="519"/>
        <v>20241</v>
      </c>
      <c r="AQ1783" s="28" t="str">
        <f t="shared" si="520"/>
        <v>20241JPY</v>
      </c>
      <c r="AR1783" s="206" t="str">
        <f t="shared" si="521"/>
        <v>YAMAHA_Mounter</v>
      </c>
      <c r="AS1783" s="22">
        <f t="shared" si="522"/>
        <v>1</v>
      </c>
      <c r="AT1783" s="24" t="str">
        <f t="shared" si="523"/>
        <v>0-3 months</v>
      </c>
      <c r="AU1783" s="22" t="s">
        <v>3745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7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28"/>
        <v>1</v>
      </c>
      <c r="Z1784" s="18">
        <f t="shared" si="525"/>
        <v>6600000</v>
      </c>
      <c r="AA1784" s="22">
        <v>5.6300000000000003E-2</v>
      </c>
      <c r="AB1784" s="21">
        <f t="shared" si="529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0"/>
        <v>23146578.081415929</v>
      </c>
      <c r="AJ1784" s="27">
        <f t="shared" si="511"/>
        <v>2745231.3889985834</v>
      </c>
      <c r="AK1784" s="28">
        <f t="shared" si="518"/>
        <v>0.11860204041143742</v>
      </c>
      <c r="AL1784" s="24"/>
      <c r="AM1784" s="24"/>
      <c r="AN1784" s="24"/>
      <c r="AO1784" s="24"/>
      <c r="AP1784" s="28" t="str">
        <f t="shared" si="519"/>
        <v>20241</v>
      </c>
      <c r="AQ1784" s="28" t="str">
        <f t="shared" si="520"/>
        <v>20241JPY</v>
      </c>
      <c r="AR1784" s="206" t="str">
        <f t="shared" si="521"/>
        <v>YAMAHA_Mounter</v>
      </c>
      <c r="AS1784" s="22">
        <f t="shared" si="522"/>
        <v>1</v>
      </c>
      <c r="AT1784" s="24" t="str">
        <f t="shared" si="523"/>
        <v>0-3 months</v>
      </c>
      <c r="AU1784" s="22" t="s">
        <v>3745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7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28"/>
        <v>1</v>
      </c>
      <c r="Z1785" s="18">
        <f t="shared" si="525"/>
        <v>6600000</v>
      </c>
      <c r="AA1785" s="22">
        <v>5.6300000000000003E-2</v>
      </c>
      <c r="AB1785" s="21">
        <f t="shared" si="529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0"/>
        <v>23146578.081415929</v>
      </c>
      <c r="AJ1785" s="27">
        <f t="shared" si="511"/>
        <v>2745231.3889985834</v>
      </c>
      <c r="AK1785" s="28">
        <f t="shared" si="518"/>
        <v>0.11860204041143742</v>
      </c>
      <c r="AL1785" s="24"/>
      <c r="AM1785" s="24"/>
      <c r="AN1785" s="24"/>
      <c r="AO1785" s="24"/>
      <c r="AP1785" s="28" t="str">
        <f t="shared" si="519"/>
        <v>20241</v>
      </c>
      <c r="AQ1785" s="28" t="str">
        <f t="shared" si="520"/>
        <v>20241JPY</v>
      </c>
      <c r="AR1785" s="206" t="str">
        <f t="shared" si="521"/>
        <v>YAMAHA_Mounter</v>
      </c>
      <c r="AS1785" s="22">
        <f t="shared" si="522"/>
        <v>1</v>
      </c>
      <c r="AT1785" s="24" t="str">
        <f t="shared" si="523"/>
        <v>0-3 months</v>
      </c>
      <c r="AU1785" s="22" t="s">
        <v>3745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7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28"/>
        <v>1</v>
      </c>
      <c r="Z1786" s="18">
        <f t="shared" si="525"/>
        <v>12044000</v>
      </c>
      <c r="AA1786" s="22">
        <v>5.6300000000000003E-2</v>
      </c>
      <c r="AB1786" s="21">
        <f t="shared" si="529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0"/>
        <v>23146578.081415929</v>
      </c>
      <c r="AJ1786" s="27">
        <f t="shared" si="511"/>
        <v>2745231.3889985834</v>
      </c>
      <c r="AK1786" s="28">
        <f t="shared" si="518"/>
        <v>0.11860204041143742</v>
      </c>
      <c r="AL1786" s="24"/>
      <c r="AM1786" s="24"/>
      <c r="AN1786" s="24"/>
      <c r="AO1786" s="24"/>
      <c r="AP1786" s="28" t="str">
        <f t="shared" si="519"/>
        <v>20241</v>
      </c>
      <c r="AQ1786" s="28" t="str">
        <f t="shared" si="520"/>
        <v>20241JPY</v>
      </c>
      <c r="AR1786" s="206" t="str">
        <f t="shared" si="521"/>
        <v>YAMAHA_Mounter</v>
      </c>
      <c r="AS1786" s="22">
        <f t="shared" si="522"/>
        <v>1</v>
      </c>
      <c r="AT1786" s="24" t="str">
        <f t="shared" si="523"/>
        <v>0-3 months</v>
      </c>
      <c r="AU1786" s="22" t="s">
        <v>3745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7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28"/>
        <v>1</v>
      </c>
      <c r="Z1787" s="18">
        <f t="shared" si="525"/>
        <v>12044000</v>
      </c>
      <c r="AA1787" s="22">
        <v>5.6300000000000003E-2</v>
      </c>
      <c r="AB1787" s="21">
        <f t="shared" si="529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0"/>
        <v>23146578.081415929</v>
      </c>
      <c r="AJ1787" s="27">
        <f t="shared" si="511"/>
        <v>2745231.3889985834</v>
      </c>
      <c r="AK1787" s="28">
        <f t="shared" si="518"/>
        <v>0.11860204041143742</v>
      </c>
      <c r="AL1787" s="24"/>
      <c r="AM1787" s="24"/>
      <c r="AN1787" s="24"/>
      <c r="AO1787" s="24"/>
      <c r="AP1787" s="28" t="str">
        <f t="shared" si="519"/>
        <v>20241</v>
      </c>
      <c r="AQ1787" s="28" t="str">
        <f t="shared" si="520"/>
        <v>20241JPY</v>
      </c>
      <c r="AR1787" s="206" t="str">
        <f t="shared" si="521"/>
        <v>YAMAHA_Mounter</v>
      </c>
      <c r="AS1787" s="22">
        <f t="shared" si="522"/>
        <v>1</v>
      </c>
      <c r="AT1787" s="24" t="str">
        <f t="shared" si="523"/>
        <v>0-3 months</v>
      </c>
      <c r="AU1787" s="22" t="s">
        <v>3745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5"/>
        <v>520000</v>
      </c>
      <c r="AA1788" s="13">
        <v>1.095</v>
      </c>
      <c r="AB1788" s="21">
        <f t="shared" si="529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0"/>
        <v>37599388.802345134</v>
      </c>
      <c r="AJ1788" s="19">
        <f t="shared" si="511"/>
        <v>4866784.3630338367</v>
      </c>
      <c r="AK1788" s="20">
        <f t="shared" si="518"/>
        <v>0.12943785838163113</v>
      </c>
      <c r="AL1788" s="17"/>
      <c r="AM1788" s="17"/>
      <c r="AN1788" s="17"/>
      <c r="AO1788" s="17"/>
      <c r="AP1788" s="28" t="str">
        <f t="shared" si="519"/>
        <v>20199</v>
      </c>
      <c r="AQ1788" s="28" t="str">
        <f t="shared" si="520"/>
        <v>20199RMB</v>
      </c>
      <c r="AR1788" s="206" t="str">
        <f t="shared" si="521"/>
        <v>YAMAHA_Non_Mounter</v>
      </c>
      <c r="AS1788" s="22">
        <f t="shared" si="522"/>
        <v>2</v>
      </c>
      <c r="AT1788" s="24" t="str">
        <f t="shared" si="523"/>
        <v>0-3 months</v>
      </c>
      <c r="AU1788" s="22" t="s">
        <v>3744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5"/>
        <v>570000</v>
      </c>
      <c r="AA1789" s="13">
        <v>1.089</v>
      </c>
      <c r="AB1789" s="21">
        <f t="shared" si="529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0"/>
        <v>29183109.05575221</v>
      </c>
      <c r="AJ1789" s="19">
        <f t="shared" si="511"/>
        <v>3741266.5648721238</v>
      </c>
      <c r="AK1789" s="20">
        <f t="shared" si="518"/>
        <v>0.12819972531798121</v>
      </c>
      <c r="AL1789" s="17"/>
      <c r="AM1789" s="17"/>
      <c r="AN1789" s="17"/>
      <c r="AO1789" s="17"/>
      <c r="AP1789" s="28" t="str">
        <f t="shared" si="519"/>
        <v>20206</v>
      </c>
      <c r="AQ1789" s="28" t="str">
        <f t="shared" si="520"/>
        <v>20206RMB</v>
      </c>
      <c r="AR1789" s="206" t="str">
        <f t="shared" si="521"/>
        <v>YAMAHA_Mounter</v>
      </c>
      <c r="AS1789" s="22">
        <f t="shared" si="522"/>
        <v>0</v>
      </c>
      <c r="AT1789" s="24" t="str">
        <f t="shared" si="523"/>
        <v>0-3 months</v>
      </c>
      <c r="AU1789" s="22" t="s">
        <v>3744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5"/>
        <v>670000</v>
      </c>
      <c r="AA1790" s="13">
        <v>1.21</v>
      </c>
      <c r="AB1790" s="21">
        <f t="shared" si="529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0"/>
        <v>29500529.005044252</v>
      </c>
      <c r="AJ1790" s="19">
        <f t="shared" si="511"/>
        <v>3253064.846231177</v>
      </c>
      <c r="AK1790" s="20">
        <f t="shared" si="518"/>
        <v>0.11027140718984871</v>
      </c>
      <c r="AL1790" s="17"/>
      <c r="AM1790" s="17"/>
      <c r="AN1790" s="17"/>
      <c r="AO1790" s="17"/>
      <c r="AP1790" s="28" t="str">
        <f t="shared" si="519"/>
        <v>202111</v>
      </c>
      <c r="AQ1790" s="28" t="str">
        <f t="shared" si="520"/>
        <v>202111RMB</v>
      </c>
      <c r="AR1790" s="206" t="str">
        <f t="shared" si="521"/>
        <v>YAMAHA_Mounter</v>
      </c>
      <c r="AS1790" s="22">
        <f t="shared" si="522"/>
        <v>5</v>
      </c>
      <c r="AT1790" s="24" t="str">
        <f t="shared" si="523"/>
        <v>4-6 months</v>
      </c>
      <c r="AU1790" s="22" t="s">
        <v>3751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5"/>
        <v>18500000</v>
      </c>
      <c r="AA1791" s="13">
        <v>7.22E-2</v>
      </c>
      <c r="AB1791" s="21">
        <f t="shared" si="529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0"/>
        <v>29946107.503386207</v>
      </c>
      <c r="AJ1791" s="19">
        <f t="shared" si="511"/>
        <v>3987206.4954923098</v>
      </c>
      <c r="AK1791" s="20">
        <f t="shared" si="518"/>
        <v>0.13314606898547499</v>
      </c>
      <c r="AL1791" s="17"/>
      <c r="AM1791" s="17"/>
      <c r="AN1791" s="17"/>
      <c r="AO1791" s="17"/>
      <c r="AP1791" s="28" t="str">
        <f t="shared" si="519"/>
        <v>20187</v>
      </c>
      <c r="AQ1791" s="28" t="str">
        <f t="shared" si="520"/>
        <v>20187JPY</v>
      </c>
      <c r="AR1791" s="206" t="str">
        <f t="shared" si="521"/>
        <v>YAMAHA_Mounter</v>
      </c>
      <c r="AS1791" s="22">
        <f t="shared" si="522"/>
        <v>1</v>
      </c>
      <c r="AT1791" s="24" t="str">
        <f t="shared" si="523"/>
        <v>0-3 months</v>
      </c>
      <c r="AU1791" s="22" t="s">
        <v>3745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5"/>
        <v>0</v>
      </c>
      <c r="AA1792" s="13">
        <v>1.22</v>
      </c>
      <c r="AB1792" s="21">
        <f t="shared" si="529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0"/>
        <v>28726768.133805312</v>
      </c>
      <c r="AJ1792" s="19">
        <f t="shared" si="511"/>
        <v>3853638.1988864429</v>
      </c>
      <c r="AK1792" s="20">
        <f t="shared" si="518"/>
        <v>0.1341479898099476</v>
      </c>
      <c r="AL1792" s="17"/>
      <c r="AM1792" s="17"/>
      <c r="AN1792" s="17"/>
      <c r="AO1792" s="17"/>
      <c r="AP1792" s="28" t="str">
        <f t="shared" si="519"/>
        <v>20223</v>
      </c>
      <c r="AQ1792" s="28" t="str">
        <f t="shared" si="520"/>
        <v>20223RMB</v>
      </c>
      <c r="AR1792" s="206">
        <f t="shared" si="521"/>
        <v>0</v>
      </c>
      <c r="AS1792" s="22">
        <f t="shared" si="522"/>
        <v>33</v>
      </c>
      <c r="AT1792" s="24" t="str">
        <f t="shared" si="523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5"/>
        <v>550000</v>
      </c>
      <c r="AA1793" s="13">
        <v>1.095</v>
      </c>
      <c r="AB1793" s="21">
        <f t="shared" si="529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0"/>
        <v>499582152.5142017</v>
      </c>
      <c r="AJ1793" s="19">
        <f t="shared" si="511"/>
        <v>59520528.679470733</v>
      </c>
      <c r="AK1793" s="20">
        <f t="shared" si="518"/>
        <v>0.11914062257814291</v>
      </c>
      <c r="AL1793" s="17"/>
      <c r="AM1793" s="17"/>
      <c r="AN1793" s="17"/>
      <c r="AO1793" s="17"/>
      <c r="AP1793" s="28" t="str">
        <f t="shared" si="519"/>
        <v>CancelCancel</v>
      </c>
      <c r="AQ1793" s="28" t="str">
        <f t="shared" si="520"/>
        <v>CancelCancelRMB</v>
      </c>
      <c r="AR1793" s="206" t="str">
        <f t="shared" si="521"/>
        <v>YAMAHA_Mounter</v>
      </c>
      <c r="AS1793" s="22" t="str">
        <f t="shared" si="522"/>
        <v/>
      </c>
      <c r="AT1793" s="24" t="str">
        <f t="shared" si="523"/>
        <v/>
      </c>
      <c r="AU1793" s="22" t="s">
        <v>3747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5"/>
        <v>550000</v>
      </c>
      <c r="AA1794" s="13">
        <v>1.095</v>
      </c>
      <c r="AB1794" s="21">
        <f t="shared" si="529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30">IF(P1794="C66 SERVICE","",SUMIFS(AB:AB,F:F,F1794,G:G,G1794,E:E,E1794))</f>
        <v>499582152.5142017</v>
      </c>
      <c r="AJ1794" s="19">
        <f t="shared" ref="AJ1794:AJ1857" si="531">IF(P1794="C66 SERVICE","",SUMIFS(AC:AC,F:F,F1794,G:G,G1794,E:E,E1794))</f>
        <v>59520528.679470733</v>
      </c>
      <c r="AK1794" s="20">
        <f t="shared" si="518"/>
        <v>0.11914062257814291</v>
      </c>
      <c r="AL1794" s="17"/>
      <c r="AM1794" s="17"/>
      <c r="AN1794" s="17"/>
      <c r="AO1794" s="17"/>
      <c r="AP1794" s="28" t="str">
        <f t="shared" si="519"/>
        <v>CancelCancel</v>
      </c>
      <c r="AQ1794" s="28" t="str">
        <f t="shared" si="520"/>
        <v>CancelCancelRMB</v>
      </c>
      <c r="AR1794" s="206" t="str">
        <f t="shared" si="521"/>
        <v>YAMAHA_Mounter</v>
      </c>
      <c r="AS1794" s="22" t="str">
        <f t="shared" si="522"/>
        <v/>
      </c>
      <c r="AT1794" s="24" t="str">
        <f t="shared" si="523"/>
        <v/>
      </c>
      <c r="AU1794" s="22" t="s">
        <v>3747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5"/>
        <v>9300000</v>
      </c>
      <c r="AA1795" s="13">
        <v>7.0000000000000007E-2</v>
      </c>
      <c r="AB1795" s="21">
        <f t="shared" si="529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30"/>
        <v>499582152.5142017</v>
      </c>
      <c r="AJ1795" s="19">
        <f t="shared" si="531"/>
        <v>59520528.679470733</v>
      </c>
      <c r="AK1795" s="20">
        <f t="shared" si="518"/>
        <v>0.11914062257814291</v>
      </c>
      <c r="AL1795" s="17"/>
      <c r="AM1795" s="17"/>
      <c r="AN1795" s="17"/>
      <c r="AO1795" s="17"/>
      <c r="AP1795" s="28" t="str">
        <f t="shared" si="519"/>
        <v>CancelCancel</v>
      </c>
      <c r="AQ1795" s="28" t="str">
        <f t="shared" si="520"/>
        <v>CancelCancelJPY</v>
      </c>
      <c r="AR1795" s="206" t="str">
        <f t="shared" si="521"/>
        <v>YAMAHA_Mounter</v>
      </c>
      <c r="AS1795" s="22" t="str">
        <f t="shared" si="522"/>
        <v/>
      </c>
      <c r="AT1795" s="24" t="str">
        <f t="shared" si="523"/>
        <v/>
      </c>
      <c r="AU1795" s="22" t="s">
        <v>3745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5"/>
        <v>891600</v>
      </c>
      <c r="AA1796" s="13">
        <v>1.135</v>
      </c>
      <c r="AB1796" s="21">
        <f t="shared" si="529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30"/>
        <v>499582152.5142017</v>
      </c>
      <c r="AJ1796" s="19">
        <f t="shared" si="531"/>
        <v>59520528.679470733</v>
      </c>
      <c r="AK1796" s="20">
        <f t="shared" si="518"/>
        <v>0.11914062257814291</v>
      </c>
      <c r="AL1796" s="17"/>
      <c r="AM1796" s="17"/>
      <c r="AN1796" s="17"/>
      <c r="AO1796" s="17"/>
      <c r="AP1796" s="28" t="str">
        <f t="shared" si="519"/>
        <v>CancelCancel</v>
      </c>
      <c r="AQ1796" s="28" t="str">
        <f t="shared" si="520"/>
        <v>CancelCancelRMB</v>
      </c>
      <c r="AR1796" s="206" t="str">
        <f t="shared" si="521"/>
        <v>YAMAHA_Mounter</v>
      </c>
      <c r="AS1796" s="22" t="str">
        <f t="shared" si="522"/>
        <v/>
      </c>
      <c r="AT1796" s="24" t="str">
        <f t="shared" si="523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5"/>
        <v>818400</v>
      </c>
      <c r="AA1797" s="13">
        <v>1.135</v>
      </c>
      <c r="AB1797" s="21">
        <f t="shared" si="529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30"/>
        <v>499582152.5142017</v>
      </c>
      <c r="AJ1797" s="19">
        <f t="shared" si="531"/>
        <v>59520528.679470733</v>
      </c>
      <c r="AK1797" s="20">
        <f t="shared" si="518"/>
        <v>0.11914062257814291</v>
      </c>
      <c r="AL1797" s="17"/>
      <c r="AM1797" s="17"/>
      <c r="AN1797" s="17"/>
      <c r="AO1797" s="17"/>
      <c r="AP1797" s="28" t="str">
        <f t="shared" si="519"/>
        <v>CancelCancel</v>
      </c>
      <c r="AQ1797" s="28" t="str">
        <f t="shared" si="520"/>
        <v>CancelCancelRMB</v>
      </c>
      <c r="AR1797" s="206" t="str">
        <f t="shared" si="521"/>
        <v>YAMAHA_Mounter</v>
      </c>
      <c r="AS1797" s="22" t="str">
        <f t="shared" si="522"/>
        <v/>
      </c>
      <c r="AT1797" s="24" t="str">
        <f t="shared" si="523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5"/>
        <v>11110000</v>
      </c>
      <c r="AA1798" s="13">
        <v>7.2300000000000003E-2</v>
      </c>
      <c r="AB1798" s="21">
        <f t="shared" si="529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30"/>
        <v>32843736.557277881</v>
      </c>
      <c r="AJ1798" s="19">
        <f t="shared" si="531"/>
        <v>3921470.6822663117</v>
      </c>
      <c r="AK1798" s="20">
        <f t="shared" ref="AK1798:AK1861" si="538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39">IF(F1798="","",F1798&amp;G1798)</f>
        <v>20194</v>
      </c>
      <c r="AQ1798" s="28" t="str">
        <f t="shared" ref="AQ1798:AQ1861" si="540">IF(W1798="","",F1798&amp;G1798&amp;W1798)</f>
        <v>20194JPY</v>
      </c>
      <c r="AR1798" s="206" t="str">
        <f t="shared" ref="AR1798:AR1861" si="541">IFERROR(IF(AND(M1798="YAMAHA", R1798="C28"), "YAMAHA_Non_Mounter", IF(AND(M1798="YAMAHA", R1798="C49"), "YAMAHA_Mounter", M1798)),"")</f>
        <v>YAMAHA_Mounter</v>
      </c>
      <c r="AS1798" s="22">
        <f t="shared" ref="AS1798:AS1861" si="542">IFERROR(IF(OR(G1798="TBA", G1798=""), "", DATEDIF(DATE(B1798, C1798, 1), DATE(F1798, G1798, 1), "M")),"")</f>
        <v>0</v>
      </c>
      <c r="AT1798" s="24" t="str">
        <f t="shared" ref="AT1798:AT1861" si="543">IF(ISNUMBER(AS1798), IF(AS1798&gt;=0, IF(AS1798&lt;=3, "0-3 months", IF(AS1798&lt;=6, "4-6 months", "&gt; 6 months"))), "")</f>
        <v>0-3 months</v>
      </c>
      <c r="AU1798" s="22" t="s">
        <v>3745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5"/>
        <v>942920</v>
      </c>
      <c r="AA1799" s="13">
        <v>1.095</v>
      </c>
      <c r="AB1799" s="21">
        <f t="shared" si="529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0"/>
        <v>33477255.428389374</v>
      </c>
      <c r="AJ1799" s="19">
        <f t="shared" si="531"/>
        <v>4578663.362915583</v>
      </c>
      <c r="AK1799" s="20">
        <f t="shared" si="538"/>
        <v>0.13676937682988152</v>
      </c>
      <c r="AL1799" s="17"/>
      <c r="AM1799" s="17"/>
      <c r="AN1799" s="17"/>
      <c r="AO1799" s="17"/>
      <c r="AP1799" s="28" t="str">
        <f t="shared" si="539"/>
        <v>20204</v>
      </c>
      <c r="AQ1799" s="28" t="str">
        <f t="shared" si="540"/>
        <v>20204RMB</v>
      </c>
      <c r="AR1799" s="206" t="str">
        <f t="shared" si="541"/>
        <v>YAMAHA_Mounter</v>
      </c>
      <c r="AS1799" s="22">
        <f t="shared" si="542"/>
        <v>1</v>
      </c>
      <c r="AT1799" s="24" t="str">
        <f t="shared" si="543"/>
        <v>0-3 months</v>
      </c>
      <c r="AU1799" s="22" t="s">
        <v>3745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5"/>
        <v>650000</v>
      </c>
      <c r="AA1800" s="13">
        <v>1.095</v>
      </c>
      <c r="AB1800" s="21">
        <f t="shared" si="529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0"/>
        <v>33477255.428389374</v>
      </c>
      <c r="AJ1800" s="19">
        <f t="shared" si="531"/>
        <v>4578663.362915583</v>
      </c>
      <c r="AK1800" s="20">
        <f t="shared" si="538"/>
        <v>0.13676937682988152</v>
      </c>
      <c r="AL1800" s="17"/>
      <c r="AM1800" s="17"/>
      <c r="AN1800" s="17"/>
      <c r="AO1800" s="17"/>
      <c r="AP1800" s="28" t="str">
        <f t="shared" si="539"/>
        <v>20204</v>
      </c>
      <c r="AQ1800" s="28" t="str">
        <f t="shared" si="540"/>
        <v>20204RMB</v>
      </c>
      <c r="AR1800" s="206" t="str">
        <f t="shared" si="541"/>
        <v>YAMAHA_Mounter</v>
      </c>
      <c r="AS1800" s="22">
        <f t="shared" si="542"/>
        <v>1</v>
      </c>
      <c r="AT1800" s="24" t="str">
        <f t="shared" si="543"/>
        <v>0-3 months</v>
      </c>
      <c r="AU1800" s="22" t="s">
        <v>3745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4">IF(W1801="RMB","1.13", "1")</f>
        <v>1</v>
      </c>
      <c r="Z1801" s="18">
        <f t="shared" si="525"/>
        <v>13700000</v>
      </c>
      <c r="AA1801" s="13">
        <v>7.17E-2</v>
      </c>
      <c r="AB1801" s="21">
        <f t="shared" si="529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0"/>
        <v>43684091.636631854</v>
      </c>
      <c r="AJ1801" s="19">
        <f t="shared" si="531"/>
        <v>6483951.8242071122</v>
      </c>
      <c r="AK1801" s="20">
        <f t="shared" si="538"/>
        <v>0.14842821680123736</v>
      </c>
      <c r="AL1801" s="17"/>
      <c r="AM1801" s="17"/>
      <c r="AN1801" s="17"/>
      <c r="AO1801" s="17"/>
      <c r="AP1801" s="28" t="str">
        <f t="shared" si="539"/>
        <v>20214</v>
      </c>
      <c r="AQ1801" s="28" t="str">
        <f t="shared" si="540"/>
        <v>20214JPY</v>
      </c>
      <c r="AR1801" s="206" t="str">
        <f t="shared" si="541"/>
        <v>YAMAHA_Mounter</v>
      </c>
      <c r="AS1801" s="22">
        <f t="shared" si="542"/>
        <v>1</v>
      </c>
      <c r="AT1801" s="24" t="str">
        <f t="shared" si="543"/>
        <v>0-3 months</v>
      </c>
      <c r="AU1801" s="22" t="s">
        <v>3746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4"/>
        <v>1</v>
      </c>
      <c r="Z1802" s="18">
        <f t="shared" ref="Z1802:Z1865" si="545">IF(X1802="","",X1802*MAX(O1802,N1802))</f>
        <v>7580700</v>
      </c>
      <c r="AA1802" s="13">
        <v>7.17E-2</v>
      </c>
      <c r="AB1802" s="21">
        <f t="shared" si="529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0"/>
        <v>43684091.636631854</v>
      </c>
      <c r="AJ1802" s="19">
        <f t="shared" si="531"/>
        <v>6483951.8242071122</v>
      </c>
      <c r="AK1802" s="20">
        <f t="shared" si="538"/>
        <v>0.14842821680123736</v>
      </c>
      <c r="AL1802" s="17"/>
      <c r="AM1802" s="17"/>
      <c r="AN1802" s="17"/>
      <c r="AO1802" s="17"/>
      <c r="AP1802" s="28" t="str">
        <f t="shared" si="539"/>
        <v>20214</v>
      </c>
      <c r="AQ1802" s="28" t="str">
        <f t="shared" si="540"/>
        <v>20214JPY</v>
      </c>
      <c r="AR1802" s="206" t="str">
        <f t="shared" si="541"/>
        <v>YAMAHA_Mounter</v>
      </c>
      <c r="AS1802" s="22">
        <f t="shared" si="542"/>
        <v>1</v>
      </c>
      <c r="AT1802" s="24" t="str">
        <f t="shared" si="543"/>
        <v>0-3 months</v>
      </c>
      <c r="AU1802" s="22" t="s">
        <v>3746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4"/>
        <v>1.13</v>
      </c>
      <c r="Z1803" s="18">
        <f t="shared" si="545"/>
        <v>825000</v>
      </c>
      <c r="AA1803" s="13">
        <v>1.2150000000000001</v>
      </c>
      <c r="AB1803" s="21">
        <f t="shared" si="529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0"/>
        <v>54700260.692079648</v>
      </c>
      <c r="AJ1803" s="19">
        <f t="shared" si="531"/>
        <v>7482899.5749188727</v>
      </c>
      <c r="AK1803" s="20">
        <f t="shared" si="538"/>
        <v>0.13679824337660537</v>
      </c>
      <c r="AL1803" s="17"/>
      <c r="AM1803" s="17"/>
      <c r="AN1803" s="17"/>
      <c r="AO1803" s="17"/>
      <c r="AP1803" s="28" t="str">
        <f t="shared" si="539"/>
        <v>20216</v>
      </c>
      <c r="AQ1803" s="28" t="str">
        <f t="shared" si="540"/>
        <v>20216RMB</v>
      </c>
      <c r="AR1803" s="206" t="str">
        <f t="shared" si="541"/>
        <v>YAMAHA_Mounter</v>
      </c>
      <c r="AS1803" s="22">
        <f t="shared" si="542"/>
        <v>4</v>
      </c>
      <c r="AT1803" s="24" t="str">
        <f t="shared" si="543"/>
        <v>4-6 months</v>
      </c>
      <c r="AU1803" s="22" t="s">
        <v>3744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4"/>
        <v>1.13</v>
      </c>
      <c r="Z1804" s="18">
        <f t="shared" si="545"/>
        <v>825000</v>
      </c>
      <c r="AA1804" s="13">
        <v>1.2150000000000001</v>
      </c>
      <c r="AB1804" s="21">
        <f t="shared" si="529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0"/>
        <v>54700260.692079648</v>
      </c>
      <c r="AJ1804" s="19">
        <f t="shared" si="531"/>
        <v>7482899.5749188727</v>
      </c>
      <c r="AK1804" s="20">
        <f t="shared" si="538"/>
        <v>0.13679824337660537</v>
      </c>
      <c r="AL1804" s="17"/>
      <c r="AM1804" s="17"/>
      <c r="AN1804" s="17"/>
      <c r="AO1804" s="17"/>
      <c r="AP1804" s="28" t="str">
        <f t="shared" si="539"/>
        <v>20216</v>
      </c>
      <c r="AQ1804" s="28" t="str">
        <f t="shared" si="540"/>
        <v>20216RMB</v>
      </c>
      <c r="AR1804" s="206" t="str">
        <f t="shared" si="541"/>
        <v>YAMAHA_Mounter</v>
      </c>
      <c r="AS1804" s="22">
        <f t="shared" si="542"/>
        <v>4</v>
      </c>
      <c r="AT1804" s="24" t="str">
        <f t="shared" si="543"/>
        <v>4-6 months</v>
      </c>
      <c r="AU1804" s="22" t="s">
        <v>3744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4"/>
        <v>1.13</v>
      </c>
      <c r="Z1805" s="18">
        <f t="shared" si="545"/>
        <v>1125000</v>
      </c>
      <c r="AA1805" s="13">
        <v>1.2150000000000001</v>
      </c>
      <c r="AB1805" s="21">
        <f t="shared" si="529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0"/>
        <v>54700260.692079648</v>
      </c>
      <c r="AJ1805" s="19">
        <f t="shared" si="531"/>
        <v>7482899.5749188727</v>
      </c>
      <c r="AK1805" s="20">
        <f t="shared" si="538"/>
        <v>0.13679824337660537</v>
      </c>
      <c r="AL1805" s="17"/>
      <c r="AM1805" s="17"/>
      <c r="AN1805" s="17"/>
      <c r="AO1805" s="17"/>
      <c r="AP1805" s="28" t="str">
        <f t="shared" si="539"/>
        <v>20216</v>
      </c>
      <c r="AQ1805" s="28" t="str">
        <f t="shared" si="540"/>
        <v>20216RMB</v>
      </c>
      <c r="AR1805" s="206" t="str">
        <f t="shared" si="541"/>
        <v>YAMAHA_Mounter</v>
      </c>
      <c r="AS1805" s="22">
        <f t="shared" si="542"/>
        <v>4</v>
      </c>
      <c r="AT1805" s="24" t="str">
        <f t="shared" si="543"/>
        <v>4-6 months</v>
      </c>
      <c r="AU1805" s="22" t="s">
        <v>3744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4"/>
        <v>1.13</v>
      </c>
      <c r="Z1806" s="18">
        <f t="shared" si="545"/>
        <v>1125000</v>
      </c>
      <c r="AA1806" s="13">
        <v>1.2150000000000001</v>
      </c>
      <c r="AB1806" s="21">
        <f t="shared" si="529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0"/>
        <v>54700260.692079648</v>
      </c>
      <c r="AJ1806" s="19">
        <f t="shared" si="531"/>
        <v>7482899.5749188727</v>
      </c>
      <c r="AK1806" s="20">
        <f t="shared" si="538"/>
        <v>0.13679824337660537</v>
      </c>
      <c r="AL1806" s="17"/>
      <c r="AM1806" s="17"/>
      <c r="AN1806" s="17"/>
      <c r="AO1806" s="17"/>
      <c r="AP1806" s="28" t="str">
        <f t="shared" si="539"/>
        <v>20216</v>
      </c>
      <c r="AQ1806" s="28" t="str">
        <f t="shared" si="540"/>
        <v>20216RMB</v>
      </c>
      <c r="AR1806" s="206" t="str">
        <f t="shared" si="541"/>
        <v>YAMAHA_Mounter</v>
      </c>
      <c r="AS1806" s="22">
        <f t="shared" si="542"/>
        <v>4</v>
      </c>
      <c r="AT1806" s="24" t="str">
        <f t="shared" si="543"/>
        <v>4-6 months</v>
      </c>
      <c r="AU1806" s="22" t="s">
        <v>3744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4"/>
        <v>1.13</v>
      </c>
      <c r="Z1807" s="18">
        <f t="shared" si="545"/>
        <v>720000</v>
      </c>
      <c r="AA1807" s="13">
        <v>1.22</v>
      </c>
      <c r="AB1807" s="21">
        <f t="shared" si="529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0"/>
        <v>28726768.133805312</v>
      </c>
      <c r="AJ1807" s="19">
        <f t="shared" si="531"/>
        <v>3853638.1988864429</v>
      </c>
      <c r="AK1807" s="20">
        <f t="shared" si="538"/>
        <v>0.1341479898099476</v>
      </c>
      <c r="AL1807" s="17"/>
      <c r="AM1807" s="17"/>
      <c r="AN1807" s="17"/>
      <c r="AO1807" s="17"/>
      <c r="AP1807" s="28" t="str">
        <f t="shared" si="539"/>
        <v>20223</v>
      </c>
      <c r="AQ1807" s="28" t="str">
        <f t="shared" si="540"/>
        <v>20223RMB</v>
      </c>
      <c r="AR1807" s="206" t="str">
        <f t="shared" si="541"/>
        <v>PEMTRON</v>
      </c>
      <c r="AS1807" s="22">
        <f t="shared" si="542"/>
        <v>3</v>
      </c>
      <c r="AT1807" s="24" t="str">
        <f t="shared" si="543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4"/>
        <v>1.13</v>
      </c>
      <c r="Z1808" s="18">
        <f t="shared" si="545"/>
        <v>720000</v>
      </c>
      <c r="AA1808" s="13">
        <v>1.22</v>
      </c>
      <c r="AB1808" s="21">
        <f t="shared" si="529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0"/>
        <v>28726768.133805312</v>
      </c>
      <c r="AJ1808" s="19">
        <f t="shared" si="531"/>
        <v>3853638.1988864429</v>
      </c>
      <c r="AK1808" s="20">
        <f t="shared" si="538"/>
        <v>0.1341479898099476</v>
      </c>
      <c r="AL1808" s="17"/>
      <c r="AM1808" s="17"/>
      <c r="AN1808" s="17"/>
      <c r="AO1808" s="17"/>
      <c r="AP1808" s="28" t="str">
        <f t="shared" si="539"/>
        <v>20223</v>
      </c>
      <c r="AQ1808" s="28" t="str">
        <f t="shared" si="540"/>
        <v>20223RMB</v>
      </c>
      <c r="AR1808" s="206" t="str">
        <f t="shared" si="541"/>
        <v>PEMTRON</v>
      </c>
      <c r="AS1808" s="22">
        <f t="shared" si="542"/>
        <v>3</v>
      </c>
      <c r="AT1808" s="24" t="str">
        <f t="shared" si="543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4"/>
        <v>1</v>
      </c>
      <c r="Z1809" s="18">
        <f t="shared" si="545"/>
        <v>6600000</v>
      </c>
      <c r="AA1809" s="13">
        <v>7.4499999999999997E-2</v>
      </c>
      <c r="AB1809" s="21">
        <f t="shared" si="529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0"/>
        <v>499582152.5142017</v>
      </c>
      <c r="AJ1809" s="19">
        <f t="shared" si="531"/>
        <v>59520528.679470733</v>
      </c>
      <c r="AK1809" s="20">
        <f t="shared" si="538"/>
        <v>0.11914062257814291</v>
      </c>
      <c r="AL1809" s="17"/>
      <c r="AM1809" s="17"/>
      <c r="AN1809" s="17"/>
      <c r="AO1809" s="17"/>
      <c r="AP1809" s="28" t="str">
        <f t="shared" si="539"/>
        <v>CancelCANCEL</v>
      </c>
      <c r="AQ1809" s="28" t="str">
        <f t="shared" si="540"/>
        <v>CancelCANCELJPY</v>
      </c>
      <c r="AR1809" s="206" t="str">
        <f t="shared" si="541"/>
        <v>YAMAHA_Mounter</v>
      </c>
      <c r="AS1809" s="22" t="str">
        <f t="shared" si="542"/>
        <v/>
      </c>
      <c r="AT1809" s="24" t="str">
        <f t="shared" si="543"/>
        <v/>
      </c>
      <c r="AU1809" s="22" t="s">
        <v>3745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4"/>
        <v>1</v>
      </c>
      <c r="Z1810" s="18">
        <f t="shared" si="545"/>
        <v>11500000</v>
      </c>
      <c r="AA1810" s="13">
        <v>6.25E-2</v>
      </c>
      <c r="AB1810" s="21">
        <f t="shared" si="529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0"/>
        <v>499582152.5142017</v>
      </c>
      <c r="AJ1810" s="19">
        <f t="shared" si="531"/>
        <v>59520528.679470733</v>
      </c>
      <c r="AK1810" s="20">
        <f t="shared" si="538"/>
        <v>0.11914062257814291</v>
      </c>
      <c r="AL1810" s="17"/>
      <c r="AM1810" s="17"/>
      <c r="AN1810" s="17"/>
      <c r="AO1810" s="17"/>
      <c r="AP1810" s="28" t="str">
        <f t="shared" si="539"/>
        <v>CancelCancel</v>
      </c>
      <c r="AQ1810" s="28" t="str">
        <f t="shared" si="540"/>
        <v>CancelCancelJPY</v>
      </c>
      <c r="AR1810" s="206" t="str">
        <f t="shared" si="541"/>
        <v>YAMAHA_Mounter</v>
      </c>
      <c r="AS1810" s="22" t="str">
        <f t="shared" si="542"/>
        <v/>
      </c>
      <c r="AT1810" s="24" t="str">
        <f t="shared" si="543"/>
        <v/>
      </c>
      <c r="AU1810" s="22" t="s">
        <v>3745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5"/>
        <v>605000</v>
      </c>
      <c r="AA1811" s="13">
        <v>1.1499999999999999</v>
      </c>
      <c r="AB1811" s="21">
        <f t="shared" si="529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0"/>
        <v>26492741.106427077</v>
      </c>
      <c r="AJ1811" s="19">
        <f t="shared" si="531"/>
        <v>3348032.1325698122</v>
      </c>
      <c r="AK1811" s="20">
        <f t="shared" si="538"/>
        <v>0.12637545201985867</v>
      </c>
      <c r="AL1811" s="17"/>
      <c r="AM1811" s="17"/>
      <c r="AN1811" s="17"/>
      <c r="AO1811" s="17"/>
      <c r="AP1811" s="28" t="str">
        <f t="shared" si="539"/>
        <v>20189</v>
      </c>
      <c r="AQ1811" s="28" t="str">
        <f t="shared" si="540"/>
        <v>20189RMB</v>
      </c>
      <c r="AR1811" s="206" t="str">
        <f t="shared" si="541"/>
        <v>YAMAHA_Mounter</v>
      </c>
      <c r="AS1811" s="22">
        <f t="shared" si="542"/>
        <v>2</v>
      </c>
      <c r="AT1811" s="24" t="str">
        <f t="shared" si="543"/>
        <v>0-3 months</v>
      </c>
      <c r="AU1811" s="22" t="s">
        <v>3744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5"/>
        <v>1000000</v>
      </c>
      <c r="AA1812" s="13">
        <v>1.1499999999999999</v>
      </c>
      <c r="AB1812" s="21">
        <f t="shared" si="529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0"/>
        <v>16455710.386637932</v>
      </c>
      <c r="AJ1812" s="19">
        <f t="shared" si="531"/>
        <v>2150644.6466930606</v>
      </c>
      <c r="AK1812" s="20">
        <f t="shared" si="538"/>
        <v>0.13069290818580451</v>
      </c>
      <c r="AL1812" s="17"/>
      <c r="AM1812" s="17"/>
      <c r="AN1812" s="17"/>
      <c r="AO1812" s="17"/>
      <c r="AP1812" s="28" t="str">
        <f t="shared" si="539"/>
        <v>20192</v>
      </c>
      <c r="AQ1812" s="28" t="str">
        <f t="shared" si="540"/>
        <v>20192RMB</v>
      </c>
      <c r="AR1812" s="206" t="str">
        <f t="shared" si="541"/>
        <v>YAMAHA_Mounter</v>
      </c>
      <c r="AS1812" s="22">
        <f t="shared" si="542"/>
        <v>2</v>
      </c>
      <c r="AT1812" s="24" t="str">
        <f t="shared" si="543"/>
        <v>0-3 months</v>
      </c>
      <c r="AU1812" s="22" t="s">
        <v>3744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5"/>
        <v>32300000</v>
      </c>
      <c r="AA1813" s="13">
        <v>7.51E-2</v>
      </c>
      <c r="AB1813" s="21">
        <f t="shared" si="529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0"/>
        <v>499582152.5142017</v>
      </c>
      <c r="AJ1813" s="19">
        <f t="shared" si="531"/>
        <v>59520528.679470733</v>
      </c>
      <c r="AK1813" s="20">
        <f t="shared" si="538"/>
        <v>0.11914062257814291</v>
      </c>
      <c r="AL1813" s="17"/>
      <c r="AM1813" s="17"/>
      <c r="AN1813" s="17"/>
      <c r="AO1813" s="17"/>
      <c r="AP1813" s="28" t="str">
        <f t="shared" si="539"/>
        <v>CancelCancel</v>
      </c>
      <c r="AQ1813" s="28" t="str">
        <f t="shared" si="540"/>
        <v>CancelCancelJPY</v>
      </c>
      <c r="AR1813" s="206" t="str">
        <f t="shared" si="541"/>
        <v>YAMAHA_Mounter</v>
      </c>
      <c r="AS1813" s="22" t="str">
        <f t="shared" si="542"/>
        <v/>
      </c>
      <c r="AT1813" s="24" t="str">
        <f t="shared" si="543"/>
        <v/>
      </c>
      <c r="AU1813" s="22" t="s">
        <v>3745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5"/>
        <v>12000000</v>
      </c>
      <c r="AA1814" s="13">
        <v>7.3400000000000007E-2</v>
      </c>
      <c r="AB1814" s="21">
        <f t="shared" si="529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0"/>
        <v>29183109.05575221</v>
      </c>
      <c r="AJ1814" s="19">
        <f t="shared" si="531"/>
        <v>3741266.5648721238</v>
      </c>
      <c r="AK1814" s="20">
        <f t="shared" si="538"/>
        <v>0.12819972531798121</v>
      </c>
      <c r="AL1814" s="17"/>
      <c r="AM1814" s="17"/>
      <c r="AN1814" s="17"/>
      <c r="AO1814" s="17"/>
      <c r="AP1814" s="28" t="str">
        <f t="shared" si="539"/>
        <v>20206</v>
      </c>
      <c r="AQ1814" s="28" t="str">
        <f t="shared" si="540"/>
        <v>20206JPY</v>
      </c>
      <c r="AR1814" s="206" t="str">
        <f t="shared" si="541"/>
        <v>YAMAHA_Mounter</v>
      </c>
      <c r="AS1814" s="22">
        <f t="shared" si="542"/>
        <v>0</v>
      </c>
      <c r="AT1814" s="24" t="str">
        <f t="shared" si="543"/>
        <v>0-3 months</v>
      </c>
      <c r="AU1814" s="22" t="s">
        <v>3745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5"/>
        <v>8200000</v>
      </c>
      <c r="AA1815" s="13">
        <v>7.3400000000000007E-2</v>
      </c>
      <c r="AB1815" s="21">
        <f t="shared" si="529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0"/>
        <v>29183109.05575221</v>
      </c>
      <c r="AJ1815" s="19">
        <f t="shared" si="531"/>
        <v>3741266.5648721238</v>
      </c>
      <c r="AK1815" s="20">
        <f t="shared" si="538"/>
        <v>0.12819972531798121</v>
      </c>
      <c r="AL1815" s="17"/>
      <c r="AM1815" s="17"/>
      <c r="AN1815" s="17"/>
      <c r="AO1815" s="17"/>
      <c r="AP1815" s="28" t="str">
        <f t="shared" si="539"/>
        <v>20206</v>
      </c>
      <c r="AQ1815" s="28" t="str">
        <f t="shared" si="540"/>
        <v>20206JPY</v>
      </c>
      <c r="AR1815" s="206" t="str">
        <f t="shared" si="541"/>
        <v>YAMAHA_Mounter</v>
      </c>
      <c r="AS1815" s="22">
        <f t="shared" si="542"/>
        <v>0</v>
      </c>
      <c r="AT1815" s="24" t="str">
        <f t="shared" si="543"/>
        <v>0-3 months</v>
      </c>
      <c r="AU1815" s="22" t="s">
        <v>3745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6">IF(W1816="RMB","1.13", "1")</f>
        <v>1</v>
      </c>
      <c r="Z1816" s="18">
        <f t="shared" si="545"/>
        <v>13450000</v>
      </c>
      <c r="AA1816" s="13">
        <v>6.25E-2</v>
      </c>
      <c r="AB1816" s="21">
        <f t="shared" si="529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0"/>
        <v>499582152.5142017</v>
      </c>
      <c r="AJ1816" s="19">
        <f t="shared" si="531"/>
        <v>59520528.679470733</v>
      </c>
      <c r="AK1816" s="20">
        <f t="shared" si="538"/>
        <v>0.11914062257814291</v>
      </c>
      <c r="AL1816" s="17"/>
      <c r="AM1816" s="17"/>
      <c r="AN1816" s="17"/>
      <c r="AO1816" s="17"/>
      <c r="AP1816" s="28" t="str">
        <f t="shared" si="539"/>
        <v>CancelCancel</v>
      </c>
      <c r="AQ1816" s="28" t="str">
        <f t="shared" si="540"/>
        <v>CancelCancelJPY</v>
      </c>
      <c r="AR1816" s="206" t="str">
        <f t="shared" si="541"/>
        <v>YAMAHA_Mounter</v>
      </c>
      <c r="AS1816" s="22" t="str">
        <f t="shared" si="542"/>
        <v/>
      </c>
      <c r="AT1816" s="24" t="str">
        <f t="shared" si="543"/>
        <v/>
      </c>
      <c r="AU1816" s="22" t="s">
        <v>3746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6"/>
        <v>1</v>
      </c>
      <c r="Z1817" s="18">
        <f t="shared" si="545"/>
        <v>13450000</v>
      </c>
      <c r="AA1817" s="13">
        <v>6.25E-2</v>
      </c>
      <c r="AB1817" s="21">
        <f t="shared" si="529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0"/>
        <v>499582152.5142017</v>
      </c>
      <c r="AJ1817" s="19">
        <f t="shared" si="531"/>
        <v>59520528.679470733</v>
      </c>
      <c r="AK1817" s="20">
        <f t="shared" si="538"/>
        <v>0.11914062257814291</v>
      </c>
      <c r="AL1817" s="17"/>
      <c r="AM1817" s="17"/>
      <c r="AN1817" s="17"/>
      <c r="AO1817" s="17"/>
      <c r="AP1817" s="28" t="str">
        <f t="shared" si="539"/>
        <v>CancelCancel</v>
      </c>
      <c r="AQ1817" s="28" t="str">
        <f t="shared" si="540"/>
        <v>CancelCancelJPY</v>
      </c>
      <c r="AR1817" s="206" t="str">
        <f t="shared" si="541"/>
        <v>YAMAHA_Mounter</v>
      </c>
      <c r="AS1817" s="22" t="str">
        <f t="shared" si="542"/>
        <v/>
      </c>
      <c r="AT1817" s="24" t="str">
        <f t="shared" si="543"/>
        <v/>
      </c>
      <c r="AU1817" s="22" t="s">
        <v>3746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6"/>
        <v>1</v>
      </c>
      <c r="Z1818" s="18">
        <f t="shared" si="545"/>
        <v>13450000</v>
      </c>
      <c r="AA1818" s="13">
        <v>6.25E-2</v>
      </c>
      <c r="AB1818" s="21">
        <f t="shared" si="529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0"/>
        <v>499582152.5142017</v>
      </c>
      <c r="AJ1818" s="19">
        <f t="shared" si="531"/>
        <v>59520528.679470733</v>
      </c>
      <c r="AK1818" s="20">
        <f t="shared" si="538"/>
        <v>0.11914062257814291</v>
      </c>
      <c r="AL1818" s="17"/>
      <c r="AM1818" s="17"/>
      <c r="AN1818" s="17"/>
      <c r="AO1818" s="17"/>
      <c r="AP1818" s="28" t="str">
        <f t="shared" si="539"/>
        <v>CancelCancel</v>
      </c>
      <c r="AQ1818" s="28" t="str">
        <f t="shared" si="540"/>
        <v>CancelCancelJPY</v>
      </c>
      <c r="AR1818" s="206" t="str">
        <f t="shared" si="541"/>
        <v>YAMAHA_Mounter</v>
      </c>
      <c r="AS1818" s="22" t="str">
        <f t="shared" si="542"/>
        <v/>
      </c>
      <c r="AT1818" s="24" t="str">
        <f t="shared" si="543"/>
        <v/>
      </c>
      <c r="AU1818" s="22" t="s">
        <v>3746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6"/>
        <v>1</v>
      </c>
      <c r="Z1819" s="18">
        <f t="shared" si="545"/>
        <v>13450000</v>
      </c>
      <c r="AA1819" s="13">
        <v>6.25E-2</v>
      </c>
      <c r="AB1819" s="21">
        <f t="shared" si="529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0"/>
        <v>499582152.5142017</v>
      </c>
      <c r="AJ1819" s="19">
        <f t="shared" si="531"/>
        <v>59520528.679470733</v>
      </c>
      <c r="AK1819" s="20">
        <f t="shared" si="538"/>
        <v>0.11914062257814291</v>
      </c>
      <c r="AL1819" s="17"/>
      <c r="AM1819" s="17"/>
      <c r="AN1819" s="17"/>
      <c r="AO1819" s="17"/>
      <c r="AP1819" s="28" t="str">
        <f t="shared" si="539"/>
        <v>CancelCancel</v>
      </c>
      <c r="AQ1819" s="28" t="str">
        <f t="shared" si="540"/>
        <v>CancelCancelJPY</v>
      </c>
      <c r="AR1819" s="206" t="str">
        <f t="shared" si="541"/>
        <v>YAMAHA_Mounter</v>
      </c>
      <c r="AS1819" s="22" t="str">
        <f t="shared" si="542"/>
        <v/>
      </c>
      <c r="AT1819" s="24" t="str">
        <f t="shared" si="543"/>
        <v/>
      </c>
      <c r="AU1819" s="22" t="s">
        <v>3746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6"/>
        <v>1</v>
      </c>
      <c r="Z1820" s="18">
        <f t="shared" si="545"/>
        <v>9000000</v>
      </c>
      <c r="AA1820" s="13">
        <v>6.25E-2</v>
      </c>
      <c r="AB1820" s="21">
        <f t="shared" si="529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0"/>
        <v>499582152.5142017</v>
      </c>
      <c r="AJ1820" s="19">
        <f t="shared" si="531"/>
        <v>59520528.679470733</v>
      </c>
      <c r="AK1820" s="20">
        <f t="shared" si="538"/>
        <v>0.11914062257814291</v>
      </c>
      <c r="AL1820" s="17"/>
      <c r="AM1820" s="17"/>
      <c r="AN1820" s="17"/>
      <c r="AO1820" s="17"/>
      <c r="AP1820" s="28" t="str">
        <f t="shared" si="539"/>
        <v>CancelCancel</v>
      </c>
      <c r="AQ1820" s="28" t="str">
        <f t="shared" si="540"/>
        <v>CancelCancelJPY</v>
      </c>
      <c r="AR1820" s="206" t="str">
        <f t="shared" si="541"/>
        <v>YAMAHA_Mounter</v>
      </c>
      <c r="AS1820" s="22" t="str">
        <f t="shared" si="542"/>
        <v/>
      </c>
      <c r="AT1820" s="24" t="str">
        <f t="shared" si="543"/>
        <v/>
      </c>
      <c r="AU1820" s="22" t="s">
        <v>3746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6"/>
        <v>1</v>
      </c>
      <c r="Z1821" s="18">
        <f t="shared" si="545"/>
        <v>9000000</v>
      </c>
      <c r="AA1821" s="13">
        <v>6.25E-2</v>
      </c>
      <c r="AB1821" s="21">
        <f t="shared" si="529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0"/>
        <v>499582152.5142017</v>
      </c>
      <c r="AJ1821" s="19">
        <f t="shared" si="531"/>
        <v>59520528.679470733</v>
      </c>
      <c r="AK1821" s="20">
        <f t="shared" si="538"/>
        <v>0.11914062257814291</v>
      </c>
      <c r="AL1821" s="17"/>
      <c r="AM1821" s="17"/>
      <c r="AN1821" s="17"/>
      <c r="AO1821" s="17"/>
      <c r="AP1821" s="28" t="str">
        <f t="shared" si="539"/>
        <v>CancelCancel</v>
      </c>
      <c r="AQ1821" s="28" t="str">
        <f t="shared" si="540"/>
        <v>CancelCancelJPY</v>
      </c>
      <c r="AR1821" s="206" t="str">
        <f t="shared" si="541"/>
        <v>YAMAHA_Mounter</v>
      </c>
      <c r="AS1821" s="22" t="str">
        <f t="shared" si="542"/>
        <v/>
      </c>
      <c r="AT1821" s="24" t="str">
        <f t="shared" si="543"/>
        <v/>
      </c>
      <c r="AU1821" s="22" t="s">
        <v>3746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6"/>
        <v>1</v>
      </c>
      <c r="Z1822" s="18">
        <f t="shared" si="545"/>
        <v>9000000</v>
      </c>
      <c r="AA1822" s="13">
        <v>6.25E-2</v>
      </c>
      <c r="AB1822" s="21">
        <f t="shared" si="529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0"/>
        <v>499582152.5142017</v>
      </c>
      <c r="AJ1822" s="19">
        <f t="shared" si="531"/>
        <v>59520528.679470733</v>
      </c>
      <c r="AK1822" s="20">
        <f t="shared" si="538"/>
        <v>0.11914062257814291</v>
      </c>
      <c r="AL1822" s="17"/>
      <c r="AM1822" s="17"/>
      <c r="AN1822" s="17"/>
      <c r="AO1822" s="17"/>
      <c r="AP1822" s="28" t="str">
        <f t="shared" si="539"/>
        <v>CancelCancel</v>
      </c>
      <c r="AQ1822" s="28" t="str">
        <f t="shared" si="540"/>
        <v>CancelCancelJPY</v>
      </c>
      <c r="AR1822" s="206" t="str">
        <f t="shared" si="541"/>
        <v>YAMAHA_Mounter</v>
      </c>
      <c r="AS1822" s="22" t="str">
        <f t="shared" si="542"/>
        <v/>
      </c>
      <c r="AT1822" s="24" t="str">
        <f t="shared" si="543"/>
        <v/>
      </c>
      <c r="AU1822" s="22" t="s">
        <v>3746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6"/>
        <v>1</v>
      </c>
      <c r="Z1823" s="18">
        <f t="shared" si="545"/>
        <v>9000000</v>
      </c>
      <c r="AA1823" s="13">
        <v>6.25E-2</v>
      </c>
      <c r="AB1823" s="21">
        <f t="shared" si="529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0"/>
        <v>499582152.5142017</v>
      </c>
      <c r="AJ1823" s="19">
        <f t="shared" si="531"/>
        <v>59520528.679470733</v>
      </c>
      <c r="AK1823" s="20">
        <f t="shared" si="538"/>
        <v>0.11914062257814291</v>
      </c>
      <c r="AL1823" s="17"/>
      <c r="AM1823" s="17"/>
      <c r="AN1823" s="17"/>
      <c r="AO1823" s="17"/>
      <c r="AP1823" s="28" t="str">
        <f t="shared" si="539"/>
        <v>CancelCancel</v>
      </c>
      <c r="AQ1823" s="28" t="str">
        <f t="shared" si="540"/>
        <v>CancelCancelJPY</v>
      </c>
      <c r="AR1823" s="206" t="str">
        <f t="shared" si="541"/>
        <v>YAMAHA_Mounter</v>
      </c>
      <c r="AS1823" s="22" t="str">
        <f t="shared" si="542"/>
        <v/>
      </c>
      <c r="AT1823" s="24" t="str">
        <f t="shared" si="543"/>
        <v/>
      </c>
      <c r="AU1823" s="22" t="s">
        <v>3746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6"/>
        <v>1</v>
      </c>
      <c r="Z1824" s="18">
        <f t="shared" si="545"/>
        <v>13450000</v>
      </c>
      <c r="AA1824" s="13">
        <v>7.4499999999999997E-2</v>
      </c>
      <c r="AB1824" s="21">
        <f t="shared" si="529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0"/>
        <v>499582152.5142017</v>
      </c>
      <c r="AJ1824" s="19">
        <f t="shared" si="531"/>
        <v>59520528.679470733</v>
      </c>
      <c r="AK1824" s="20">
        <f t="shared" si="538"/>
        <v>0.11914062257814291</v>
      </c>
      <c r="AL1824" s="17"/>
      <c r="AM1824" s="17"/>
      <c r="AN1824" s="17"/>
      <c r="AO1824" s="17"/>
      <c r="AP1824" s="28" t="str">
        <f t="shared" si="539"/>
        <v>CancelCancel</v>
      </c>
      <c r="AQ1824" s="28" t="str">
        <f t="shared" si="540"/>
        <v>CancelCancelJPY</v>
      </c>
      <c r="AR1824" s="206" t="str">
        <f t="shared" si="541"/>
        <v>YAMAHA_Mounter</v>
      </c>
      <c r="AS1824" s="22" t="str">
        <f t="shared" si="542"/>
        <v/>
      </c>
      <c r="AT1824" s="24" t="str">
        <f t="shared" si="543"/>
        <v/>
      </c>
      <c r="AU1824" s="22" t="s">
        <v>3746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6"/>
        <v>1</v>
      </c>
      <c r="Z1825" s="18">
        <f t="shared" si="545"/>
        <v>13450000</v>
      </c>
      <c r="AA1825" s="13">
        <v>7.4499999999999997E-2</v>
      </c>
      <c r="AB1825" s="21">
        <f t="shared" si="529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0"/>
        <v>499582152.5142017</v>
      </c>
      <c r="AJ1825" s="19">
        <f t="shared" si="531"/>
        <v>59520528.679470733</v>
      </c>
      <c r="AK1825" s="20">
        <f t="shared" si="538"/>
        <v>0.11914062257814291</v>
      </c>
      <c r="AL1825" s="17"/>
      <c r="AM1825" s="17"/>
      <c r="AN1825" s="17"/>
      <c r="AO1825" s="17"/>
      <c r="AP1825" s="28" t="str">
        <f t="shared" si="539"/>
        <v>CancelCancel</v>
      </c>
      <c r="AQ1825" s="28" t="str">
        <f t="shared" si="540"/>
        <v>CancelCancelJPY</v>
      </c>
      <c r="AR1825" s="206" t="str">
        <f t="shared" si="541"/>
        <v>YAMAHA_Mounter</v>
      </c>
      <c r="AS1825" s="22" t="str">
        <f t="shared" si="542"/>
        <v/>
      </c>
      <c r="AT1825" s="24" t="str">
        <f t="shared" si="543"/>
        <v/>
      </c>
      <c r="AU1825" s="22" t="s">
        <v>3746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6"/>
        <v>1</v>
      </c>
      <c r="Z1826" s="18">
        <f t="shared" si="545"/>
        <v>13450000</v>
      </c>
      <c r="AA1826" s="13">
        <v>7.4499999999999997E-2</v>
      </c>
      <c r="AB1826" s="21">
        <f t="shared" si="529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0"/>
        <v>499582152.5142017</v>
      </c>
      <c r="AJ1826" s="19">
        <f t="shared" si="531"/>
        <v>59520528.679470733</v>
      </c>
      <c r="AK1826" s="20">
        <f t="shared" si="538"/>
        <v>0.11914062257814291</v>
      </c>
      <c r="AL1826" s="17"/>
      <c r="AM1826" s="17"/>
      <c r="AN1826" s="17"/>
      <c r="AO1826" s="17"/>
      <c r="AP1826" s="28" t="str">
        <f t="shared" si="539"/>
        <v>CancelCancel</v>
      </c>
      <c r="AQ1826" s="28" t="str">
        <f t="shared" si="540"/>
        <v>CancelCancelJPY</v>
      </c>
      <c r="AR1826" s="206" t="str">
        <f t="shared" si="541"/>
        <v>YAMAHA_Mounter</v>
      </c>
      <c r="AS1826" s="22" t="str">
        <f t="shared" si="542"/>
        <v/>
      </c>
      <c r="AT1826" s="24" t="str">
        <f t="shared" si="543"/>
        <v/>
      </c>
      <c r="AU1826" s="22" t="s">
        <v>3746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6"/>
        <v>1</v>
      </c>
      <c r="Z1827" s="18">
        <f t="shared" si="545"/>
        <v>13450000</v>
      </c>
      <c r="AA1827" s="13">
        <v>7.4499999999999997E-2</v>
      </c>
      <c r="AB1827" s="21">
        <f t="shared" si="529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0"/>
        <v>499582152.5142017</v>
      </c>
      <c r="AJ1827" s="19">
        <f t="shared" si="531"/>
        <v>59520528.679470733</v>
      </c>
      <c r="AK1827" s="20">
        <f t="shared" si="538"/>
        <v>0.11914062257814291</v>
      </c>
      <c r="AL1827" s="17"/>
      <c r="AM1827" s="17"/>
      <c r="AN1827" s="17"/>
      <c r="AO1827" s="17"/>
      <c r="AP1827" s="28" t="str">
        <f t="shared" si="539"/>
        <v>CancelCancel</v>
      </c>
      <c r="AQ1827" s="28" t="str">
        <f t="shared" si="540"/>
        <v>CancelCancelJPY</v>
      </c>
      <c r="AR1827" s="206" t="str">
        <f t="shared" si="541"/>
        <v>YAMAHA_Mounter</v>
      </c>
      <c r="AS1827" s="22" t="str">
        <f t="shared" si="542"/>
        <v/>
      </c>
      <c r="AT1827" s="24" t="str">
        <f t="shared" si="543"/>
        <v/>
      </c>
      <c r="AU1827" s="22" t="s">
        <v>3746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6"/>
        <v>1</v>
      </c>
      <c r="Z1828" s="18">
        <f t="shared" si="545"/>
        <v>9000000</v>
      </c>
      <c r="AA1828" s="13">
        <v>7.4499999999999997E-2</v>
      </c>
      <c r="AB1828" s="21">
        <f t="shared" si="529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0"/>
        <v>499582152.5142017</v>
      </c>
      <c r="AJ1828" s="19">
        <f t="shared" si="531"/>
        <v>59520528.679470733</v>
      </c>
      <c r="AK1828" s="20">
        <f t="shared" si="538"/>
        <v>0.11914062257814291</v>
      </c>
      <c r="AL1828" s="17"/>
      <c r="AM1828" s="17"/>
      <c r="AN1828" s="17"/>
      <c r="AO1828" s="17"/>
      <c r="AP1828" s="28" t="str">
        <f t="shared" si="539"/>
        <v>CancelCancel</v>
      </c>
      <c r="AQ1828" s="28" t="str">
        <f t="shared" si="540"/>
        <v>CancelCancelJPY</v>
      </c>
      <c r="AR1828" s="206" t="str">
        <f t="shared" si="541"/>
        <v>YAMAHA_Mounter</v>
      </c>
      <c r="AS1828" s="22" t="str">
        <f t="shared" si="542"/>
        <v/>
      </c>
      <c r="AT1828" s="24" t="str">
        <f t="shared" si="543"/>
        <v/>
      </c>
      <c r="AU1828" s="22" t="s">
        <v>3746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6"/>
        <v>1</v>
      </c>
      <c r="Z1829" s="18">
        <f t="shared" si="545"/>
        <v>9000000</v>
      </c>
      <c r="AA1829" s="13">
        <v>7.4499999999999997E-2</v>
      </c>
      <c r="AB1829" s="21">
        <f t="shared" si="529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0"/>
        <v>499582152.5142017</v>
      </c>
      <c r="AJ1829" s="19">
        <f t="shared" si="531"/>
        <v>59520528.679470733</v>
      </c>
      <c r="AK1829" s="20">
        <f t="shared" si="538"/>
        <v>0.11914062257814291</v>
      </c>
      <c r="AL1829" s="17"/>
      <c r="AM1829" s="17"/>
      <c r="AN1829" s="17"/>
      <c r="AO1829" s="17"/>
      <c r="AP1829" s="28" t="str">
        <f t="shared" si="539"/>
        <v>CancelCancel</v>
      </c>
      <c r="AQ1829" s="28" t="str">
        <f t="shared" si="540"/>
        <v>CancelCancelJPY</v>
      </c>
      <c r="AR1829" s="206" t="str">
        <f t="shared" si="541"/>
        <v>YAMAHA_Mounter</v>
      </c>
      <c r="AS1829" s="22" t="str">
        <f t="shared" si="542"/>
        <v/>
      </c>
      <c r="AT1829" s="24" t="str">
        <f t="shared" si="543"/>
        <v/>
      </c>
      <c r="AU1829" s="22" t="s">
        <v>3746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6"/>
        <v>1</v>
      </c>
      <c r="Z1830" s="18">
        <f t="shared" si="545"/>
        <v>9000000</v>
      </c>
      <c r="AA1830" s="13">
        <v>7.4499999999999997E-2</v>
      </c>
      <c r="AB1830" s="21">
        <f t="shared" si="529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0"/>
        <v>499582152.5142017</v>
      </c>
      <c r="AJ1830" s="19">
        <f t="shared" si="531"/>
        <v>59520528.679470733</v>
      </c>
      <c r="AK1830" s="20">
        <f t="shared" si="538"/>
        <v>0.11914062257814291</v>
      </c>
      <c r="AL1830" s="17"/>
      <c r="AM1830" s="17"/>
      <c r="AN1830" s="17"/>
      <c r="AO1830" s="17"/>
      <c r="AP1830" s="28" t="str">
        <f t="shared" si="539"/>
        <v>CancelCancel</v>
      </c>
      <c r="AQ1830" s="28" t="str">
        <f t="shared" si="540"/>
        <v>CancelCancelJPY</v>
      </c>
      <c r="AR1830" s="206" t="str">
        <f t="shared" si="541"/>
        <v>YAMAHA_Mounter</v>
      </c>
      <c r="AS1830" s="22" t="str">
        <f t="shared" si="542"/>
        <v/>
      </c>
      <c r="AT1830" s="24" t="str">
        <f t="shared" si="543"/>
        <v/>
      </c>
      <c r="AU1830" s="22" t="s">
        <v>3746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6"/>
        <v>1</v>
      </c>
      <c r="Z1831" s="18">
        <f t="shared" si="545"/>
        <v>9000000</v>
      </c>
      <c r="AA1831" s="13">
        <v>7.4499999999999997E-2</v>
      </c>
      <c r="AB1831" s="21">
        <f t="shared" si="529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0"/>
        <v>499582152.5142017</v>
      </c>
      <c r="AJ1831" s="19">
        <f t="shared" si="531"/>
        <v>59520528.679470733</v>
      </c>
      <c r="AK1831" s="20">
        <f t="shared" si="538"/>
        <v>0.11914062257814291</v>
      </c>
      <c r="AL1831" s="17"/>
      <c r="AM1831" s="17"/>
      <c r="AN1831" s="17"/>
      <c r="AO1831" s="17"/>
      <c r="AP1831" s="28" t="str">
        <f t="shared" si="539"/>
        <v>CancelCancel</v>
      </c>
      <c r="AQ1831" s="28" t="str">
        <f t="shared" si="540"/>
        <v>CancelCancelJPY</v>
      </c>
      <c r="AR1831" s="206" t="str">
        <f t="shared" si="541"/>
        <v>YAMAHA_Mounter</v>
      </c>
      <c r="AS1831" s="22" t="str">
        <f t="shared" si="542"/>
        <v/>
      </c>
      <c r="AT1831" s="24" t="str">
        <f t="shared" si="543"/>
        <v/>
      </c>
      <c r="AU1831" s="22" t="s">
        <v>3746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6"/>
        <v>1</v>
      </c>
      <c r="Z1832" s="18">
        <f t="shared" si="545"/>
        <v>13450000</v>
      </c>
      <c r="AA1832" s="13">
        <v>7.4499999999999997E-2</v>
      </c>
      <c r="AB1832" s="21">
        <f t="shared" si="529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0"/>
        <v>57778307.282035396</v>
      </c>
      <c r="AJ1832" s="19">
        <f t="shared" si="531"/>
        <v>7259860.7225420559</v>
      </c>
      <c r="AK1832" s="20">
        <f t="shared" si="538"/>
        <v>0.12565028406083667</v>
      </c>
      <c r="AL1832" s="17"/>
      <c r="AM1832" s="17"/>
      <c r="AN1832" s="17"/>
      <c r="AO1832" s="17"/>
      <c r="AP1832" s="28" t="str">
        <f t="shared" si="539"/>
        <v>20213</v>
      </c>
      <c r="AQ1832" s="28" t="str">
        <f t="shared" si="540"/>
        <v>20213JPY</v>
      </c>
      <c r="AR1832" s="206" t="str">
        <f t="shared" si="541"/>
        <v>YAMAHA_Mounter</v>
      </c>
      <c r="AS1832" s="22">
        <f t="shared" si="542"/>
        <v>2</v>
      </c>
      <c r="AT1832" s="24" t="str">
        <f t="shared" si="543"/>
        <v>0-3 months</v>
      </c>
      <c r="AU1832" s="22" t="s">
        <v>3746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6"/>
        <v>1</v>
      </c>
      <c r="Z1833" s="18">
        <f t="shared" si="545"/>
        <v>13450000</v>
      </c>
      <c r="AA1833" s="13">
        <v>7.4499999999999997E-2</v>
      </c>
      <c r="AB1833" s="21">
        <f t="shared" si="529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0"/>
        <v>57778307.282035396</v>
      </c>
      <c r="AJ1833" s="19">
        <f t="shared" si="531"/>
        <v>7259860.7225420559</v>
      </c>
      <c r="AK1833" s="20">
        <f t="shared" si="538"/>
        <v>0.12565028406083667</v>
      </c>
      <c r="AL1833" s="17"/>
      <c r="AM1833" s="17"/>
      <c r="AN1833" s="17"/>
      <c r="AO1833" s="17"/>
      <c r="AP1833" s="28" t="str">
        <f t="shared" si="539"/>
        <v>20213</v>
      </c>
      <c r="AQ1833" s="28" t="str">
        <f t="shared" si="540"/>
        <v>20213JPY</v>
      </c>
      <c r="AR1833" s="206" t="str">
        <f t="shared" si="541"/>
        <v>YAMAHA_Mounter</v>
      </c>
      <c r="AS1833" s="22">
        <f t="shared" si="542"/>
        <v>2</v>
      </c>
      <c r="AT1833" s="24" t="str">
        <f t="shared" si="543"/>
        <v>0-3 months</v>
      </c>
      <c r="AU1833" s="22" t="s">
        <v>3746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6"/>
        <v>1</v>
      </c>
      <c r="Z1834" s="18">
        <f t="shared" si="545"/>
        <v>13450000</v>
      </c>
      <c r="AA1834" s="13">
        <v>7.4499999999999997E-2</v>
      </c>
      <c r="AB1834" s="21">
        <f t="shared" si="529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0"/>
        <v>57778307.282035396</v>
      </c>
      <c r="AJ1834" s="19">
        <f t="shared" si="531"/>
        <v>7259860.7225420559</v>
      </c>
      <c r="AK1834" s="20">
        <f t="shared" si="538"/>
        <v>0.12565028406083667</v>
      </c>
      <c r="AL1834" s="17"/>
      <c r="AM1834" s="17"/>
      <c r="AN1834" s="17"/>
      <c r="AO1834" s="17"/>
      <c r="AP1834" s="28" t="str">
        <f t="shared" si="539"/>
        <v>20213</v>
      </c>
      <c r="AQ1834" s="28" t="str">
        <f t="shared" si="540"/>
        <v>20213JPY</v>
      </c>
      <c r="AR1834" s="206" t="str">
        <f t="shared" si="541"/>
        <v>YAMAHA_Mounter</v>
      </c>
      <c r="AS1834" s="22">
        <f t="shared" si="542"/>
        <v>2</v>
      </c>
      <c r="AT1834" s="24" t="str">
        <f t="shared" si="543"/>
        <v>0-3 months</v>
      </c>
      <c r="AU1834" s="22" t="s">
        <v>3746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6"/>
        <v>1</v>
      </c>
      <c r="Z1835" s="18">
        <f t="shared" si="545"/>
        <v>13450000</v>
      </c>
      <c r="AA1835" s="13">
        <v>7.4499999999999997E-2</v>
      </c>
      <c r="AB1835" s="21">
        <f t="shared" si="529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0"/>
        <v>57778307.282035396</v>
      </c>
      <c r="AJ1835" s="19">
        <f t="shared" si="531"/>
        <v>7259860.7225420559</v>
      </c>
      <c r="AK1835" s="20">
        <f t="shared" si="538"/>
        <v>0.12565028406083667</v>
      </c>
      <c r="AL1835" s="17"/>
      <c r="AM1835" s="17"/>
      <c r="AN1835" s="17"/>
      <c r="AO1835" s="17"/>
      <c r="AP1835" s="28" t="str">
        <f t="shared" si="539"/>
        <v>20213</v>
      </c>
      <c r="AQ1835" s="28" t="str">
        <f t="shared" si="540"/>
        <v>20213JPY</v>
      </c>
      <c r="AR1835" s="206" t="str">
        <f t="shared" si="541"/>
        <v>YAMAHA_Mounter</v>
      </c>
      <c r="AS1835" s="22">
        <f t="shared" si="542"/>
        <v>2</v>
      </c>
      <c r="AT1835" s="24" t="str">
        <f t="shared" si="543"/>
        <v>0-3 months</v>
      </c>
      <c r="AU1835" s="22" t="s">
        <v>3746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6"/>
        <v>1</v>
      </c>
      <c r="Z1836" s="18">
        <f t="shared" si="545"/>
        <v>9000000</v>
      </c>
      <c r="AA1836" s="13">
        <v>7.4499999999999997E-2</v>
      </c>
      <c r="AB1836" s="21">
        <f t="shared" si="529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0"/>
        <v>57778307.282035396</v>
      </c>
      <c r="AJ1836" s="19">
        <f t="shared" si="531"/>
        <v>7259860.7225420559</v>
      </c>
      <c r="AK1836" s="20">
        <f t="shared" si="538"/>
        <v>0.12565028406083667</v>
      </c>
      <c r="AL1836" s="17"/>
      <c r="AM1836" s="17"/>
      <c r="AN1836" s="17"/>
      <c r="AO1836" s="17"/>
      <c r="AP1836" s="28" t="str">
        <f t="shared" si="539"/>
        <v>20213</v>
      </c>
      <c r="AQ1836" s="28" t="str">
        <f t="shared" si="540"/>
        <v>20213JPY</v>
      </c>
      <c r="AR1836" s="206" t="str">
        <f t="shared" si="541"/>
        <v>YAMAHA_Mounter</v>
      </c>
      <c r="AS1836" s="22">
        <f t="shared" si="542"/>
        <v>2</v>
      </c>
      <c r="AT1836" s="24" t="str">
        <f t="shared" si="543"/>
        <v>0-3 months</v>
      </c>
      <c r="AU1836" s="22" t="s">
        <v>3746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6"/>
        <v>1</v>
      </c>
      <c r="Z1837" s="18">
        <f t="shared" si="545"/>
        <v>9000000</v>
      </c>
      <c r="AA1837" s="13">
        <v>7.4499999999999997E-2</v>
      </c>
      <c r="AB1837" s="21">
        <f t="shared" si="529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0"/>
        <v>57778307.282035396</v>
      </c>
      <c r="AJ1837" s="19">
        <f t="shared" si="531"/>
        <v>7259860.7225420559</v>
      </c>
      <c r="AK1837" s="20">
        <f t="shared" si="538"/>
        <v>0.12565028406083667</v>
      </c>
      <c r="AL1837" s="17"/>
      <c r="AM1837" s="17"/>
      <c r="AN1837" s="17"/>
      <c r="AO1837" s="17"/>
      <c r="AP1837" s="28" t="str">
        <f t="shared" si="539"/>
        <v>20213</v>
      </c>
      <c r="AQ1837" s="28" t="str">
        <f t="shared" si="540"/>
        <v>20213JPY</v>
      </c>
      <c r="AR1837" s="206" t="str">
        <f t="shared" si="541"/>
        <v>YAMAHA_Mounter</v>
      </c>
      <c r="AS1837" s="22">
        <f t="shared" si="542"/>
        <v>2</v>
      </c>
      <c r="AT1837" s="24" t="str">
        <f t="shared" si="543"/>
        <v>0-3 months</v>
      </c>
      <c r="AU1837" s="22" t="s">
        <v>3746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6"/>
        <v>1</v>
      </c>
      <c r="Z1838" s="18">
        <f t="shared" si="545"/>
        <v>9000000</v>
      </c>
      <c r="AA1838" s="13">
        <v>7.4499999999999997E-2</v>
      </c>
      <c r="AB1838" s="21">
        <f t="shared" si="529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0"/>
        <v>57778307.282035396</v>
      </c>
      <c r="AJ1838" s="19">
        <f t="shared" si="531"/>
        <v>7259860.7225420559</v>
      </c>
      <c r="AK1838" s="20">
        <f t="shared" si="538"/>
        <v>0.12565028406083667</v>
      </c>
      <c r="AL1838" s="17"/>
      <c r="AM1838" s="17"/>
      <c r="AN1838" s="17"/>
      <c r="AO1838" s="17"/>
      <c r="AP1838" s="28" t="str">
        <f t="shared" si="539"/>
        <v>20213</v>
      </c>
      <c r="AQ1838" s="28" t="str">
        <f t="shared" si="540"/>
        <v>20213JPY</v>
      </c>
      <c r="AR1838" s="206" t="str">
        <f t="shared" si="541"/>
        <v>YAMAHA_Mounter</v>
      </c>
      <c r="AS1838" s="22">
        <f t="shared" si="542"/>
        <v>2</v>
      </c>
      <c r="AT1838" s="24" t="str">
        <f t="shared" si="543"/>
        <v>0-3 months</v>
      </c>
      <c r="AU1838" s="22" t="s">
        <v>3746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6"/>
        <v>1</v>
      </c>
      <c r="Z1839" s="18">
        <f t="shared" si="545"/>
        <v>9000000</v>
      </c>
      <c r="AA1839" s="13">
        <v>7.4499999999999997E-2</v>
      </c>
      <c r="AB1839" s="21">
        <f t="shared" si="529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0"/>
        <v>57778307.282035396</v>
      </c>
      <c r="AJ1839" s="19">
        <f t="shared" si="531"/>
        <v>7259860.7225420559</v>
      </c>
      <c r="AK1839" s="20">
        <f t="shared" si="538"/>
        <v>0.12565028406083667</v>
      </c>
      <c r="AL1839" s="17"/>
      <c r="AM1839" s="17"/>
      <c r="AN1839" s="17"/>
      <c r="AO1839" s="17"/>
      <c r="AP1839" s="28" t="str">
        <f t="shared" si="539"/>
        <v>20213</v>
      </c>
      <c r="AQ1839" s="28" t="str">
        <f t="shared" si="540"/>
        <v>20213JPY</v>
      </c>
      <c r="AR1839" s="206" t="str">
        <f t="shared" si="541"/>
        <v>YAMAHA_Mounter</v>
      </c>
      <c r="AS1839" s="22">
        <f t="shared" si="542"/>
        <v>2</v>
      </c>
      <c r="AT1839" s="24" t="str">
        <f t="shared" si="543"/>
        <v>0-3 months</v>
      </c>
      <c r="AU1839" s="22" t="s">
        <v>3746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6"/>
        <v>1</v>
      </c>
      <c r="Z1840" s="18">
        <f t="shared" si="545"/>
        <v>16500000</v>
      </c>
      <c r="AA1840" s="13">
        <v>6.9199999999999998E-2</v>
      </c>
      <c r="AB1840" s="21">
        <f t="shared" si="529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0"/>
        <v>28726768.133805312</v>
      </c>
      <c r="AJ1840" s="19">
        <f t="shared" si="531"/>
        <v>3853638.1988864429</v>
      </c>
      <c r="AK1840" s="20">
        <f t="shared" si="538"/>
        <v>0.1341479898099476</v>
      </c>
      <c r="AL1840" s="17"/>
      <c r="AM1840" s="17"/>
      <c r="AN1840" s="17"/>
      <c r="AO1840" s="17"/>
      <c r="AP1840" s="28" t="str">
        <f t="shared" si="539"/>
        <v>20223</v>
      </c>
      <c r="AQ1840" s="28" t="str">
        <f t="shared" si="540"/>
        <v>20223JPY</v>
      </c>
      <c r="AR1840" s="206" t="str">
        <f t="shared" si="541"/>
        <v>YAMAHA_Mounter</v>
      </c>
      <c r="AS1840" s="22">
        <f t="shared" si="542"/>
        <v>5</v>
      </c>
      <c r="AT1840" s="24" t="str">
        <f t="shared" si="543"/>
        <v>4-6 months</v>
      </c>
      <c r="AU1840" s="22" t="s">
        <v>3746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6"/>
        <v>1</v>
      </c>
      <c r="Z1841" s="18">
        <f t="shared" si="545"/>
        <v>9000000</v>
      </c>
      <c r="AA1841" s="13">
        <v>6.9199999999999998E-2</v>
      </c>
      <c r="AB1841" s="21">
        <f t="shared" si="529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0"/>
        <v>28726768.133805312</v>
      </c>
      <c r="AJ1841" s="19">
        <f t="shared" si="531"/>
        <v>3853638.1988864429</v>
      </c>
      <c r="AK1841" s="20">
        <f t="shared" si="538"/>
        <v>0.1341479898099476</v>
      </c>
      <c r="AL1841" s="17"/>
      <c r="AM1841" s="17"/>
      <c r="AN1841" s="17"/>
      <c r="AO1841" s="17"/>
      <c r="AP1841" s="28" t="str">
        <f t="shared" si="539"/>
        <v>20223</v>
      </c>
      <c r="AQ1841" s="28" t="str">
        <f t="shared" si="540"/>
        <v>20223JPY</v>
      </c>
      <c r="AR1841" s="206" t="str">
        <f t="shared" si="541"/>
        <v>YAMAHA_Mounter</v>
      </c>
      <c r="AS1841" s="22">
        <f t="shared" si="542"/>
        <v>5</v>
      </c>
      <c r="AT1841" s="24" t="str">
        <f t="shared" si="543"/>
        <v>4-6 months</v>
      </c>
      <c r="AU1841" s="22" t="s">
        <v>3746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6"/>
        <v>1</v>
      </c>
      <c r="Z1842" s="18">
        <f t="shared" si="545"/>
        <v>16500000</v>
      </c>
      <c r="AA1842" s="13">
        <v>6.54E-2</v>
      </c>
      <c r="AB1842" s="21">
        <f t="shared" si="529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0"/>
        <v>46600814.041769907</v>
      </c>
      <c r="AJ1842" s="19">
        <f t="shared" si="531"/>
        <v>5956366.3435927071</v>
      </c>
      <c r="AK1842" s="20">
        <f t="shared" si="538"/>
        <v>0.1278167874546958</v>
      </c>
      <c r="AL1842" s="17"/>
      <c r="AM1842" s="17"/>
      <c r="AN1842" s="17"/>
      <c r="AO1842" s="17"/>
      <c r="AP1842" s="28" t="str">
        <f t="shared" si="539"/>
        <v>20224</v>
      </c>
      <c r="AQ1842" s="28" t="str">
        <f t="shared" si="540"/>
        <v>20224JPY</v>
      </c>
      <c r="AR1842" s="206" t="str">
        <f t="shared" si="541"/>
        <v>YAMAHA_Mounter</v>
      </c>
      <c r="AS1842" s="22">
        <f t="shared" si="542"/>
        <v>6</v>
      </c>
      <c r="AT1842" s="24" t="str">
        <f t="shared" si="543"/>
        <v>4-6 months</v>
      </c>
      <c r="AU1842" s="22" t="s">
        <v>3746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6"/>
        <v>1</v>
      </c>
      <c r="Z1843" s="18">
        <f t="shared" si="545"/>
        <v>9000000</v>
      </c>
      <c r="AA1843" s="13">
        <v>6.54E-2</v>
      </c>
      <c r="AB1843" s="21">
        <f t="shared" si="529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0"/>
        <v>46600814.041769907</v>
      </c>
      <c r="AJ1843" s="19">
        <f t="shared" si="531"/>
        <v>5956366.3435927071</v>
      </c>
      <c r="AK1843" s="20">
        <f t="shared" si="538"/>
        <v>0.1278167874546958</v>
      </c>
      <c r="AL1843" s="17"/>
      <c r="AM1843" s="17"/>
      <c r="AN1843" s="17"/>
      <c r="AO1843" s="17"/>
      <c r="AP1843" s="28" t="str">
        <f t="shared" si="539"/>
        <v>20224</v>
      </c>
      <c r="AQ1843" s="28" t="str">
        <f t="shared" si="540"/>
        <v>20224JPY</v>
      </c>
      <c r="AR1843" s="206" t="str">
        <f t="shared" si="541"/>
        <v>YAMAHA_Mounter</v>
      </c>
      <c r="AS1843" s="22">
        <f t="shared" si="542"/>
        <v>6</v>
      </c>
      <c r="AT1843" s="24" t="str">
        <f t="shared" si="543"/>
        <v>4-6 months</v>
      </c>
      <c r="AU1843" s="22" t="s">
        <v>3746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6"/>
        <v>1</v>
      </c>
      <c r="Z1844" s="18">
        <f t="shared" si="545"/>
        <v>9000000</v>
      </c>
      <c r="AA1844" s="13">
        <v>6.54E-2</v>
      </c>
      <c r="AB1844" s="21">
        <f t="shared" si="529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0"/>
        <v>46600814.041769907</v>
      </c>
      <c r="AJ1844" s="19">
        <f t="shared" si="531"/>
        <v>5956366.3435927071</v>
      </c>
      <c r="AK1844" s="20">
        <f t="shared" si="538"/>
        <v>0.1278167874546958</v>
      </c>
      <c r="AL1844" s="17"/>
      <c r="AM1844" s="17"/>
      <c r="AN1844" s="17"/>
      <c r="AO1844" s="17"/>
      <c r="AP1844" s="28" t="str">
        <f t="shared" si="539"/>
        <v>20224</v>
      </c>
      <c r="AQ1844" s="28" t="str">
        <f t="shared" si="540"/>
        <v>20224JPY</v>
      </c>
      <c r="AR1844" s="206" t="str">
        <f t="shared" si="541"/>
        <v>YAMAHA_Mounter</v>
      </c>
      <c r="AS1844" s="22">
        <f t="shared" si="542"/>
        <v>6</v>
      </c>
      <c r="AT1844" s="24" t="str">
        <f t="shared" si="543"/>
        <v>4-6 months</v>
      </c>
      <c r="AU1844" s="22" t="s">
        <v>3746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6"/>
        <v>1</v>
      </c>
      <c r="Z1845" s="18">
        <f t="shared" si="545"/>
        <v>14400000</v>
      </c>
      <c r="AA1845" s="13">
        <v>7.17E-2</v>
      </c>
      <c r="AB1845" s="21">
        <f t="shared" si="529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0"/>
        <v>499582152.5142017</v>
      </c>
      <c r="AJ1845" s="19">
        <f t="shared" si="531"/>
        <v>59520528.679470733</v>
      </c>
      <c r="AK1845" s="20">
        <f t="shared" si="538"/>
        <v>0.11914062257814291</v>
      </c>
      <c r="AL1845" s="17"/>
      <c r="AM1845" s="17"/>
      <c r="AN1845" s="17"/>
      <c r="AO1845" s="17"/>
      <c r="AP1845" s="28" t="str">
        <f t="shared" si="539"/>
        <v>CancelCancel</v>
      </c>
      <c r="AQ1845" s="28" t="str">
        <f t="shared" si="540"/>
        <v>CancelCancelJPY</v>
      </c>
      <c r="AR1845" s="206" t="str">
        <f t="shared" si="541"/>
        <v>YAMAHA_Mounter</v>
      </c>
      <c r="AS1845" s="22" t="str">
        <f t="shared" si="542"/>
        <v/>
      </c>
      <c r="AT1845" s="24" t="str">
        <f t="shared" si="543"/>
        <v/>
      </c>
      <c r="AU1845" s="22" t="s">
        <v>3746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6"/>
        <v>1</v>
      </c>
      <c r="Z1846" s="18">
        <f t="shared" si="545"/>
        <v>14400000</v>
      </c>
      <c r="AA1846" s="13">
        <v>7.17E-2</v>
      </c>
      <c r="AB1846" s="21">
        <f t="shared" ref="AB1846:AB1909" si="547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0"/>
        <v>499582152.5142017</v>
      </c>
      <c r="AJ1846" s="19">
        <f t="shared" si="531"/>
        <v>59520528.679470733</v>
      </c>
      <c r="AK1846" s="20">
        <f t="shared" si="538"/>
        <v>0.11914062257814291</v>
      </c>
      <c r="AL1846" s="17"/>
      <c r="AM1846" s="17"/>
      <c r="AN1846" s="17"/>
      <c r="AO1846" s="17"/>
      <c r="AP1846" s="28" t="str">
        <f t="shared" si="539"/>
        <v>CancelCancel</v>
      </c>
      <c r="AQ1846" s="28" t="str">
        <f t="shared" si="540"/>
        <v>CancelCancelJPY</v>
      </c>
      <c r="AR1846" s="206" t="str">
        <f t="shared" si="541"/>
        <v>YAMAHA_Mounter</v>
      </c>
      <c r="AS1846" s="22" t="str">
        <f t="shared" si="542"/>
        <v/>
      </c>
      <c r="AT1846" s="24" t="str">
        <f t="shared" si="543"/>
        <v/>
      </c>
      <c r="AU1846" s="22" t="s">
        <v>3746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6"/>
        <v>1</v>
      </c>
      <c r="Z1847" s="18">
        <f t="shared" si="545"/>
        <v>14400000</v>
      </c>
      <c r="AA1847" s="13">
        <v>7.17E-2</v>
      </c>
      <c r="AB1847" s="21">
        <f t="shared" si="547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0"/>
        <v>499582152.5142017</v>
      </c>
      <c r="AJ1847" s="19">
        <f t="shared" si="531"/>
        <v>59520528.679470733</v>
      </c>
      <c r="AK1847" s="20">
        <f t="shared" si="538"/>
        <v>0.11914062257814291</v>
      </c>
      <c r="AL1847" s="17"/>
      <c r="AM1847" s="17"/>
      <c r="AN1847" s="17"/>
      <c r="AO1847" s="17"/>
      <c r="AP1847" s="28" t="str">
        <f t="shared" si="539"/>
        <v>CancelCancel</v>
      </c>
      <c r="AQ1847" s="28" t="str">
        <f t="shared" si="540"/>
        <v>CancelCancelJPY</v>
      </c>
      <c r="AR1847" s="206" t="str">
        <f t="shared" si="541"/>
        <v>YAMAHA_Mounter</v>
      </c>
      <c r="AS1847" s="22" t="str">
        <f t="shared" si="542"/>
        <v/>
      </c>
      <c r="AT1847" s="24" t="str">
        <f t="shared" si="543"/>
        <v/>
      </c>
      <c r="AU1847" s="22" t="s">
        <v>3746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6"/>
        <v>1</v>
      </c>
      <c r="Z1848" s="18">
        <f t="shared" si="545"/>
        <v>9000000</v>
      </c>
      <c r="AA1848" s="13">
        <v>7.17E-2</v>
      </c>
      <c r="AB1848" s="21">
        <f t="shared" si="547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0"/>
        <v>499582152.5142017</v>
      </c>
      <c r="AJ1848" s="19">
        <f t="shared" si="531"/>
        <v>59520528.679470733</v>
      </c>
      <c r="AK1848" s="20">
        <f t="shared" si="538"/>
        <v>0.11914062257814291</v>
      </c>
      <c r="AL1848" s="17"/>
      <c r="AM1848" s="17"/>
      <c r="AN1848" s="17"/>
      <c r="AO1848" s="17"/>
      <c r="AP1848" s="28" t="str">
        <f t="shared" si="539"/>
        <v>CancelCancel</v>
      </c>
      <c r="AQ1848" s="28" t="str">
        <f t="shared" si="540"/>
        <v>CancelCancelJPY</v>
      </c>
      <c r="AR1848" s="206" t="str">
        <f t="shared" si="541"/>
        <v>YAMAHA_Mounter</v>
      </c>
      <c r="AS1848" s="22" t="str">
        <f t="shared" si="542"/>
        <v/>
      </c>
      <c r="AT1848" s="24" t="str">
        <f t="shared" si="543"/>
        <v/>
      </c>
      <c r="AU1848" s="22" t="s">
        <v>3746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6"/>
        <v>1</v>
      </c>
      <c r="Z1849" s="18">
        <f t="shared" si="545"/>
        <v>9000000</v>
      </c>
      <c r="AA1849" s="13">
        <v>7.17E-2</v>
      </c>
      <c r="AB1849" s="21">
        <f t="shared" si="547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0"/>
        <v>499582152.5142017</v>
      </c>
      <c r="AJ1849" s="19">
        <f t="shared" si="531"/>
        <v>59520528.679470733</v>
      </c>
      <c r="AK1849" s="20">
        <f t="shared" si="538"/>
        <v>0.11914062257814291</v>
      </c>
      <c r="AL1849" s="17"/>
      <c r="AM1849" s="17"/>
      <c r="AN1849" s="17"/>
      <c r="AO1849" s="17"/>
      <c r="AP1849" s="28" t="str">
        <f t="shared" si="539"/>
        <v>CancelCancel</v>
      </c>
      <c r="AQ1849" s="28" t="str">
        <f t="shared" si="540"/>
        <v>CancelCancelJPY</v>
      </c>
      <c r="AR1849" s="206" t="str">
        <f t="shared" si="541"/>
        <v>YAMAHA_Mounter</v>
      </c>
      <c r="AS1849" s="22" t="str">
        <f t="shared" si="542"/>
        <v/>
      </c>
      <c r="AT1849" s="24" t="str">
        <f t="shared" si="543"/>
        <v/>
      </c>
      <c r="AU1849" s="22" t="s">
        <v>3746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6"/>
        <v>1</v>
      </c>
      <c r="Z1850" s="18">
        <f t="shared" si="545"/>
        <v>9000000</v>
      </c>
      <c r="AA1850" s="13">
        <v>7.17E-2</v>
      </c>
      <c r="AB1850" s="21">
        <f t="shared" si="547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0"/>
        <v>499582152.5142017</v>
      </c>
      <c r="AJ1850" s="19">
        <f t="shared" si="531"/>
        <v>59520528.679470733</v>
      </c>
      <c r="AK1850" s="20">
        <f t="shared" si="538"/>
        <v>0.11914062257814291</v>
      </c>
      <c r="AL1850" s="17"/>
      <c r="AM1850" s="17"/>
      <c r="AN1850" s="17"/>
      <c r="AO1850" s="17"/>
      <c r="AP1850" s="28" t="str">
        <f t="shared" si="539"/>
        <v>CancelCancel</v>
      </c>
      <c r="AQ1850" s="28" t="str">
        <f t="shared" si="540"/>
        <v>CancelCancelJPY</v>
      </c>
      <c r="AR1850" s="206" t="str">
        <f t="shared" si="541"/>
        <v>YAMAHA_Mounter</v>
      </c>
      <c r="AS1850" s="22" t="str">
        <f t="shared" si="542"/>
        <v/>
      </c>
      <c r="AT1850" s="24" t="str">
        <f t="shared" si="543"/>
        <v/>
      </c>
      <c r="AU1850" s="22" t="s">
        <v>3746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6"/>
        <v>1</v>
      </c>
      <c r="Z1851" s="18">
        <f t="shared" si="545"/>
        <v>9000000</v>
      </c>
      <c r="AA1851" s="13">
        <v>7.17E-2</v>
      </c>
      <c r="AB1851" s="21">
        <f t="shared" si="547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0"/>
        <v>499582152.5142017</v>
      </c>
      <c r="AJ1851" s="19">
        <f t="shared" si="531"/>
        <v>59520528.679470733</v>
      </c>
      <c r="AK1851" s="20">
        <f t="shared" si="538"/>
        <v>0.11914062257814291</v>
      </c>
      <c r="AL1851" s="17"/>
      <c r="AM1851" s="17"/>
      <c r="AN1851" s="17"/>
      <c r="AO1851" s="17"/>
      <c r="AP1851" s="28" t="str">
        <f t="shared" si="539"/>
        <v>CancelCancel</v>
      </c>
      <c r="AQ1851" s="28" t="str">
        <f t="shared" si="540"/>
        <v>CancelCancelJPY</v>
      </c>
      <c r="AR1851" s="206" t="str">
        <f t="shared" si="541"/>
        <v>YAMAHA_Mounter</v>
      </c>
      <c r="AS1851" s="22" t="str">
        <f t="shared" si="542"/>
        <v/>
      </c>
      <c r="AT1851" s="24" t="str">
        <f t="shared" si="543"/>
        <v/>
      </c>
      <c r="AU1851" s="22" t="s">
        <v>3746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5"/>
        <v>16150000</v>
      </c>
      <c r="AA1852" s="13">
        <v>7.2999999999999995E-2</v>
      </c>
      <c r="AB1852" s="21">
        <f t="shared" si="547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0"/>
        <v>499582152.5142017</v>
      </c>
      <c r="AJ1852" s="19">
        <f t="shared" si="531"/>
        <v>59520528.679470733</v>
      </c>
      <c r="AK1852" s="20">
        <f t="shared" si="538"/>
        <v>0.11914062257814291</v>
      </c>
      <c r="AL1852" s="17"/>
      <c r="AM1852" s="17"/>
      <c r="AN1852" s="17"/>
      <c r="AO1852" s="17"/>
      <c r="AP1852" s="28" t="str">
        <f t="shared" si="539"/>
        <v>CancelCancel</v>
      </c>
      <c r="AQ1852" s="28" t="str">
        <f t="shared" si="540"/>
        <v>CancelCancelJPY</v>
      </c>
      <c r="AR1852" s="206" t="str">
        <f t="shared" si="541"/>
        <v>YAMAHA_Mounter</v>
      </c>
      <c r="AS1852" s="22" t="str">
        <f t="shared" si="542"/>
        <v/>
      </c>
      <c r="AT1852" s="24" t="str">
        <f t="shared" si="543"/>
        <v/>
      </c>
      <c r="AU1852" s="22" t="s">
        <v>3745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5"/>
        <v>16150000</v>
      </c>
      <c r="AA1853" s="13">
        <v>7.2999999999999995E-2</v>
      </c>
      <c r="AB1853" s="21">
        <f t="shared" si="547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0"/>
        <v>499582152.5142017</v>
      </c>
      <c r="AJ1853" s="19">
        <f t="shared" si="531"/>
        <v>59520528.679470733</v>
      </c>
      <c r="AK1853" s="20">
        <f t="shared" si="538"/>
        <v>0.11914062257814291</v>
      </c>
      <c r="AL1853" s="17"/>
      <c r="AM1853" s="17"/>
      <c r="AN1853" s="17"/>
      <c r="AO1853" s="17"/>
      <c r="AP1853" s="28" t="str">
        <f t="shared" si="539"/>
        <v>CancelCancel</v>
      </c>
      <c r="AQ1853" s="28" t="str">
        <f t="shared" si="540"/>
        <v>CancelCancelJPY</v>
      </c>
      <c r="AR1853" s="206" t="str">
        <f t="shared" si="541"/>
        <v>YAMAHA_Mounter</v>
      </c>
      <c r="AS1853" s="22" t="str">
        <f t="shared" si="542"/>
        <v/>
      </c>
      <c r="AT1853" s="24" t="str">
        <f t="shared" si="543"/>
        <v/>
      </c>
      <c r="AU1853" s="22" t="s">
        <v>3745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5"/>
        <v>11000000</v>
      </c>
      <c r="AA1854" s="13">
        <v>5.0999999999999997E-2</v>
      </c>
      <c r="AB1854" s="21">
        <f t="shared" si="547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0"/>
        <v>27308925.887079656</v>
      </c>
      <c r="AJ1854" s="27">
        <f t="shared" si="531"/>
        <v>3319273.860338124</v>
      </c>
      <c r="AK1854" s="28">
        <f t="shared" si="538"/>
        <v>0.12154538314919709</v>
      </c>
      <c r="AL1854" s="24"/>
      <c r="AM1854" s="24"/>
      <c r="AN1854" s="24"/>
      <c r="AO1854" s="24"/>
      <c r="AP1854" s="28" t="str">
        <f t="shared" si="539"/>
        <v>20246</v>
      </c>
      <c r="AQ1854" s="28" t="str">
        <f t="shared" si="540"/>
        <v>20246JPY</v>
      </c>
      <c r="AR1854" s="206" t="str">
        <f t="shared" si="541"/>
        <v>YAMAHA_Mounter</v>
      </c>
      <c r="AS1854" s="22">
        <f t="shared" si="542"/>
        <v>3</v>
      </c>
      <c r="AT1854" s="24" t="str">
        <f t="shared" si="543"/>
        <v>0-3 months</v>
      </c>
      <c r="AU1854" s="22" t="s">
        <v>3745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5"/>
        <v>11000000</v>
      </c>
      <c r="AA1855" s="13">
        <v>5.0999999999999997E-2</v>
      </c>
      <c r="AB1855" s="21">
        <f t="shared" si="547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0"/>
        <v>27308925.887079656</v>
      </c>
      <c r="AJ1855" s="27">
        <f t="shared" si="531"/>
        <v>3319273.860338124</v>
      </c>
      <c r="AK1855" s="28">
        <f t="shared" si="538"/>
        <v>0.12154538314919709</v>
      </c>
      <c r="AL1855" s="24"/>
      <c r="AM1855" s="24"/>
      <c r="AN1855" s="24"/>
      <c r="AO1855" s="24"/>
      <c r="AP1855" s="28" t="str">
        <f t="shared" si="539"/>
        <v>20246</v>
      </c>
      <c r="AQ1855" s="28" t="str">
        <f t="shared" si="540"/>
        <v>20246JPY</v>
      </c>
      <c r="AR1855" s="206" t="str">
        <f t="shared" si="541"/>
        <v>YAMAHA_Mounter</v>
      </c>
      <c r="AS1855" s="22">
        <f t="shared" si="542"/>
        <v>3</v>
      </c>
      <c r="AT1855" s="24" t="str">
        <f t="shared" si="543"/>
        <v>0-3 months</v>
      </c>
      <c r="AU1855" s="22" t="s">
        <v>3745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5"/>
        <v>11000000</v>
      </c>
      <c r="AA1856" s="13">
        <v>5.0999999999999997E-2</v>
      </c>
      <c r="AB1856" s="21">
        <f t="shared" si="547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0"/>
        <v>27308925.887079656</v>
      </c>
      <c r="AJ1856" s="27">
        <f t="shared" si="531"/>
        <v>3319273.860338124</v>
      </c>
      <c r="AK1856" s="28">
        <f t="shared" si="538"/>
        <v>0.12154538314919709</v>
      </c>
      <c r="AL1856" s="24"/>
      <c r="AM1856" s="24"/>
      <c r="AN1856" s="24"/>
      <c r="AO1856" s="24"/>
      <c r="AP1856" s="28" t="str">
        <f t="shared" si="539"/>
        <v>20246</v>
      </c>
      <c r="AQ1856" s="28" t="str">
        <f t="shared" si="540"/>
        <v>20246JPY</v>
      </c>
      <c r="AR1856" s="206" t="str">
        <f t="shared" si="541"/>
        <v>YAMAHA_Mounter</v>
      </c>
      <c r="AS1856" s="22">
        <f t="shared" si="542"/>
        <v>3</v>
      </c>
      <c r="AT1856" s="24" t="str">
        <f t="shared" si="543"/>
        <v>0-3 months</v>
      </c>
      <c r="AU1856" s="22" t="s">
        <v>3745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5"/>
        <v>11000000</v>
      </c>
      <c r="AA1857" s="13">
        <v>5.0999999999999997E-2</v>
      </c>
      <c r="AB1857" s="21">
        <f t="shared" si="547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0"/>
        <v>27308925.887079656</v>
      </c>
      <c r="AJ1857" s="27">
        <f t="shared" si="531"/>
        <v>3319273.860338124</v>
      </c>
      <c r="AK1857" s="28">
        <f t="shared" si="538"/>
        <v>0.12154538314919709</v>
      </c>
      <c r="AL1857" s="24"/>
      <c r="AM1857" s="24"/>
      <c r="AN1857" s="24"/>
      <c r="AO1857" s="24"/>
      <c r="AP1857" s="28" t="str">
        <f t="shared" si="539"/>
        <v>20246</v>
      </c>
      <c r="AQ1857" s="28" t="str">
        <f t="shared" si="540"/>
        <v>20246JPY</v>
      </c>
      <c r="AR1857" s="206" t="str">
        <f t="shared" si="541"/>
        <v>YAMAHA_Mounter</v>
      </c>
      <c r="AS1857" s="22">
        <f t="shared" si="542"/>
        <v>3</v>
      </c>
      <c r="AT1857" s="24" t="str">
        <f t="shared" si="543"/>
        <v>0-3 months</v>
      </c>
      <c r="AU1857" s="22" t="s">
        <v>3745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5"/>
        <v>11000000</v>
      </c>
      <c r="AA1858" s="13">
        <v>5.0999999999999997E-2</v>
      </c>
      <c r="AB1858" s="21">
        <f t="shared" si="547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48">IF(P1858="C66 SERVICE","",SUMIFS(AB:AB,F:F,F1858,G:G,G1858,E:E,E1858))</f>
        <v>27308925.887079656</v>
      </c>
      <c r="AJ1858" s="27">
        <f t="shared" ref="AJ1858:AJ1921" si="549">IF(P1858="C66 SERVICE","",SUMIFS(AC:AC,F:F,F1858,G:G,G1858,E:E,E1858))</f>
        <v>3319273.860338124</v>
      </c>
      <c r="AK1858" s="28">
        <f t="shared" si="538"/>
        <v>0.12154538314919709</v>
      </c>
      <c r="AL1858" s="24"/>
      <c r="AM1858" s="24"/>
      <c r="AN1858" s="24"/>
      <c r="AO1858" s="24"/>
      <c r="AP1858" s="28" t="str">
        <f t="shared" si="539"/>
        <v>20246</v>
      </c>
      <c r="AQ1858" s="28" t="str">
        <f t="shared" si="540"/>
        <v>20246JPY</v>
      </c>
      <c r="AR1858" s="206" t="str">
        <f t="shared" si="541"/>
        <v>YAMAHA_Mounter</v>
      </c>
      <c r="AS1858" s="22">
        <f t="shared" si="542"/>
        <v>3</v>
      </c>
      <c r="AT1858" s="24" t="str">
        <f t="shared" si="543"/>
        <v>0-3 months</v>
      </c>
      <c r="AU1858" s="22" t="s">
        <v>3745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5"/>
        <v>13200000</v>
      </c>
      <c r="AA1859" s="13">
        <v>6.9199999999999998E-2</v>
      </c>
      <c r="AB1859" s="21">
        <f t="shared" si="547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48"/>
        <v>28726768.133805312</v>
      </c>
      <c r="AJ1859" s="19">
        <f t="shared" si="549"/>
        <v>3853638.1988864429</v>
      </c>
      <c r="AK1859" s="20">
        <f t="shared" si="538"/>
        <v>0.1341479898099476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6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  <c r="AU1859" s="22" t="s">
        <v>3745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5"/>
        <v>11000000</v>
      </c>
      <c r="AA1860" s="13">
        <v>5.0999999999999997E-2</v>
      </c>
      <c r="AB1860" s="21">
        <f t="shared" si="547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48"/>
        <v>27308925.887079656</v>
      </c>
      <c r="AJ1860" s="27">
        <f t="shared" si="549"/>
        <v>3319273.860338124</v>
      </c>
      <c r="AK1860" s="28">
        <f t="shared" si="538"/>
        <v>0.12154538314919709</v>
      </c>
      <c r="AL1860" s="24"/>
      <c r="AM1860" s="24"/>
      <c r="AN1860" s="24"/>
      <c r="AO1860" s="24"/>
      <c r="AP1860" s="28" t="str">
        <f t="shared" si="539"/>
        <v>20246</v>
      </c>
      <c r="AQ1860" s="28" t="str">
        <f t="shared" si="540"/>
        <v>20246JPY</v>
      </c>
      <c r="AR1860" s="206" t="str">
        <f t="shared" si="541"/>
        <v>YAMAHA_Mounter</v>
      </c>
      <c r="AS1860" s="22">
        <f t="shared" si="542"/>
        <v>3</v>
      </c>
      <c r="AT1860" s="24" t="str">
        <f t="shared" si="543"/>
        <v>0-3 months</v>
      </c>
      <c r="AU1860" s="22" t="s">
        <v>3745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5"/>
        <v>378973.826</v>
      </c>
      <c r="AA1861" s="13">
        <v>1.1399999999999999</v>
      </c>
      <c r="AB1861" s="21">
        <f t="shared" si="547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48"/>
        <v>30573205.452778768</v>
      </c>
      <c r="AJ1861" s="19">
        <f t="shared" si="549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6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5"/>
        <v>377481</v>
      </c>
      <c r="AA1862" s="13">
        <v>1.135</v>
      </c>
      <c r="AB1862" s="21">
        <f t="shared" si="547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48"/>
        <v>28177779.013274338</v>
      </c>
      <c r="AJ1862" s="19">
        <f t="shared" si="549"/>
        <v>4727216.6376190251</v>
      </c>
      <c r="AK1862" s="20">
        <f t="shared" ref="AK1862:AK1925" si="55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7">IF(F1862="","",F1862&amp;G1862)</f>
        <v>20235</v>
      </c>
      <c r="AQ1862" s="28" t="str">
        <f t="shared" ref="AQ1862:AQ1925" si="558">IF(W1862="","",F1862&amp;G1862&amp;W1862)</f>
        <v>20235RMB</v>
      </c>
      <c r="AR1862" s="206" t="str">
        <f t="shared" ref="AR1862:AR1925" si="559">IFERROR(IF(AND(M1862="YAMAHA", R1862="C28"), "YAMAHA_Non_Mounter", IF(AND(M1862="YAMAHA", R1862="C49"), "YAMAHA_Mounter", M1862)),"")</f>
        <v>YAMAHA_Mounter</v>
      </c>
      <c r="AS1862" s="22">
        <f t="shared" ref="AS1862:AS1925" si="560">IFERROR(IF(OR(G1862="TBA", G1862=""), "", DATEDIF(DATE(B1862, C1862, 1), DATE(F1862, G1862, 1), "M")),"")</f>
        <v>2</v>
      </c>
      <c r="AT1862" s="24" t="str">
        <f t="shared" ref="AT1862:AT1925" si="56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5"/>
        <v>244545.14</v>
      </c>
      <c r="AA1863" s="13">
        <v>1.105</v>
      </c>
      <c r="AB1863" s="21">
        <f t="shared" si="547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48"/>
        <v>13640480.497522123</v>
      </c>
      <c r="AJ1863" s="19">
        <f t="shared" si="549"/>
        <v>1928605.8020906283</v>
      </c>
      <c r="AK1863" s="20">
        <f t="shared" si="556"/>
        <v>0.1413884065477731</v>
      </c>
      <c r="AL1863" s="17"/>
      <c r="AM1863" s="17"/>
      <c r="AN1863" s="17"/>
      <c r="AO1863" s="17"/>
      <c r="AP1863" s="28" t="str">
        <f t="shared" si="557"/>
        <v>20236</v>
      </c>
      <c r="AQ1863" s="28" t="str">
        <f t="shared" si="558"/>
        <v>20236RMB</v>
      </c>
      <c r="AR1863" s="206" t="str">
        <f t="shared" si="559"/>
        <v>YAMAHA_Mounter</v>
      </c>
      <c r="AS1863" s="22">
        <f t="shared" si="560"/>
        <v>3</v>
      </c>
      <c r="AT1863" s="24" t="str">
        <f t="shared" si="561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5"/>
        <v>380000</v>
      </c>
      <c r="AA1864" s="13">
        <v>1.125</v>
      </c>
      <c r="AB1864" s="21">
        <f t="shared" si="547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48"/>
        <v>23237072.69172414</v>
      </c>
      <c r="AJ1864" s="19">
        <f t="shared" si="549"/>
        <v>2402195.7372206897</v>
      </c>
      <c r="AK1864" s="20">
        <f t="shared" si="556"/>
        <v>0.10337772614862238</v>
      </c>
      <c r="AL1864" s="17"/>
      <c r="AM1864" s="17"/>
      <c r="AN1864" s="17"/>
      <c r="AO1864" s="17"/>
      <c r="AP1864" s="28" t="str">
        <f t="shared" si="557"/>
        <v>20191</v>
      </c>
      <c r="AQ1864" s="28" t="str">
        <f t="shared" si="558"/>
        <v>20191RMB</v>
      </c>
      <c r="AR1864" s="206" t="str">
        <f t="shared" si="559"/>
        <v>PEMTRON</v>
      </c>
      <c r="AS1864" s="22">
        <f t="shared" si="560"/>
        <v>3</v>
      </c>
      <c r="AT1864" s="24" t="str">
        <f t="shared" si="561"/>
        <v>0-3 months</v>
      </c>
      <c r="AU1864" s="22" t="s">
        <v>3744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5"/>
        <v>1180000</v>
      </c>
      <c r="AA1865" s="13">
        <v>1.125</v>
      </c>
      <c r="AB1865" s="21">
        <f t="shared" si="547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48"/>
        <v>29840797.698275864</v>
      </c>
      <c r="AJ1865" s="19">
        <f t="shared" si="549"/>
        <v>3940167.6555448272</v>
      </c>
      <c r="AK1865" s="20">
        <f t="shared" si="556"/>
        <v>0.13203962224416277</v>
      </c>
      <c r="AL1865" s="17"/>
      <c r="AM1865" s="17"/>
      <c r="AN1865" s="17"/>
      <c r="AO1865" s="17" t="s">
        <v>61</v>
      </c>
      <c r="AP1865" s="28" t="str">
        <f t="shared" si="557"/>
        <v>201812</v>
      </c>
      <c r="AQ1865" s="28" t="str">
        <f t="shared" si="558"/>
        <v>201812RMB</v>
      </c>
      <c r="AR1865" s="206" t="str">
        <f t="shared" si="559"/>
        <v>YAMAHA_Mounter</v>
      </c>
      <c r="AS1865" s="22">
        <f t="shared" si="560"/>
        <v>4</v>
      </c>
      <c r="AT1865" s="24" t="str">
        <f t="shared" si="561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2">IF(X1866="","",X1866*MAX(O1866,N1866))</f>
        <v>1360000</v>
      </c>
      <c r="AA1866" s="13">
        <v>1.125</v>
      </c>
      <c r="AB1866" s="21">
        <f t="shared" si="547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48"/>
        <v>29840797.698275864</v>
      </c>
      <c r="AJ1866" s="19">
        <f t="shared" si="549"/>
        <v>3940167.6555448272</v>
      </c>
      <c r="AK1866" s="20">
        <f t="shared" si="556"/>
        <v>0.13203962224416277</v>
      </c>
      <c r="AL1866" s="17"/>
      <c r="AM1866" s="17"/>
      <c r="AN1866" s="17"/>
      <c r="AO1866" s="17" t="s">
        <v>61</v>
      </c>
      <c r="AP1866" s="28" t="str">
        <f t="shared" si="557"/>
        <v>201812</v>
      </c>
      <c r="AQ1866" s="28" t="str">
        <f t="shared" si="558"/>
        <v>201812RMB</v>
      </c>
      <c r="AR1866" s="206" t="str">
        <f t="shared" si="559"/>
        <v>YAMAHA_Mounter</v>
      </c>
      <c r="AS1866" s="22">
        <f t="shared" si="560"/>
        <v>4</v>
      </c>
      <c r="AT1866" s="24" t="str">
        <f t="shared" si="561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2"/>
        <v>1376000</v>
      </c>
      <c r="AA1867" s="13">
        <v>1.175</v>
      </c>
      <c r="AB1867" s="21">
        <f t="shared" si="547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48"/>
        <v>48763143.537654862</v>
      </c>
      <c r="AJ1867" s="19">
        <f t="shared" si="549"/>
        <v>5924029.9702154724</v>
      </c>
      <c r="AK1867" s="20">
        <f t="shared" si="556"/>
        <v>0.1214858095774925</v>
      </c>
      <c r="AL1867" s="17"/>
      <c r="AM1867" s="17"/>
      <c r="AN1867" s="17"/>
      <c r="AO1867" s="17"/>
      <c r="AP1867" s="28" t="str">
        <f t="shared" si="557"/>
        <v>202012</v>
      </c>
      <c r="AQ1867" s="28" t="str">
        <f t="shared" si="558"/>
        <v>202012RMB</v>
      </c>
      <c r="AR1867" s="206" t="str">
        <f t="shared" si="559"/>
        <v>YAMAHA_Mounter</v>
      </c>
      <c r="AS1867" s="22">
        <f t="shared" si="560"/>
        <v>2</v>
      </c>
      <c r="AT1867" s="24" t="str">
        <f t="shared" si="561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2"/>
        <v>1376000</v>
      </c>
      <c r="AA1868" s="13">
        <v>1.175</v>
      </c>
      <c r="AB1868" s="21">
        <f t="shared" si="547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48"/>
        <v>48763143.537654862</v>
      </c>
      <c r="AJ1868" s="19">
        <f t="shared" si="549"/>
        <v>5924029.9702154724</v>
      </c>
      <c r="AK1868" s="20">
        <f t="shared" si="556"/>
        <v>0.1214858095774925</v>
      </c>
      <c r="AL1868" s="17"/>
      <c r="AM1868" s="17"/>
      <c r="AN1868" s="17"/>
      <c r="AO1868" s="17"/>
      <c r="AP1868" s="28" t="str">
        <f t="shared" si="557"/>
        <v>202012</v>
      </c>
      <c r="AQ1868" s="28" t="str">
        <f t="shared" si="558"/>
        <v>202012RMB</v>
      </c>
      <c r="AR1868" s="206" t="str">
        <f t="shared" si="559"/>
        <v>YAMAHA_Mounter</v>
      </c>
      <c r="AS1868" s="22">
        <f t="shared" si="560"/>
        <v>2</v>
      </c>
      <c r="AT1868" s="24" t="str">
        <f t="shared" si="561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2"/>
        <v>348000</v>
      </c>
      <c r="AA1869" s="13">
        <v>1.175</v>
      </c>
      <c r="AB1869" s="21">
        <f t="shared" si="547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48"/>
        <v>48763143.537654862</v>
      </c>
      <c r="AJ1869" s="19">
        <f t="shared" si="549"/>
        <v>5924029.9702154724</v>
      </c>
      <c r="AK1869" s="20">
        <f t="shared" si="556"/>
        <v>0.1214858095774925</v>
      </c>
      <c r="AL1869" s="17"/>
      <c r="AM1869" s="17"/>
      <c r="AN1869" s="17"/>
      <c r="AO1869" s="17"/>
      <c r="AP1869" s="28" t="str">
        <f t="shared" si="557"/>
        <v>202012</v>
      </c>
      <c r="AQ1869" s="28" t="str">
        <f t="shared" si="558"/>
        <v>202012RMB</v>
      </c>
      <c r="AR1869" s="206" t="str">
        <f t="shared" si="559"/>
        <v>PEMTRON</v>
      </c>
      <c r="AS1869" s="22">
        <f t="shared" si="560"/>
        <v>1</v>
      </c>
      <c r="AT1869" s="24" t="str">
        <f t="shared" si="561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2"/>
        <v>428000</v>
      </c>
      <c r="AA1870" s="13">
        <v>1.175</v>
      </c>
      <c r="AB1870" s="21">
        <f t="shared" si="547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48"/>
        <v>48763143.537654862</v>
      </c>
      <c r="AJ1870" s="19">
        <f t="shared" si="549"/>
        <v>5924029.9702154724</v>
      </c>
      <c r="AK1870" s="20">
        <f t="shared" si="556"/>
        <v>0.1214858095774925</v>
      </c>
      <c r="AL1870" s="17"/>
      <c r="AM1870" s="17"/>
      <c r="AN1870" s="17"/>
      <c r="AO1870" s="17"/>
      <c r="AP1870" s="28" t="str">
        <f t="shared" si="557"/>
        <v>202012</v>
      </c>
      <c r="AQ1870" s="28" t="str">
        <f t="shared" si="558"/>
        <v>202012RMB</v>
      </c>
      <c r="AR1870" s="206" t="str">
        <f t="shared" si="559"/>
        <v>YAMAHA_Non_Mounter</v>
      </c>
      <c r="AS1870" s="22">
        <f t="shared" si="560"/>
        <v>1</v>
      </c>
      <c r="AT1870" s="24" t="str">
        <f t="shared" si="561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2"/>
        <v>928000</v>
      </c>
      <c r="AA1871" s="13">
        <v>1.08</v>
      </c>
      <c r="AB1871" s="21">
        <f t="shared" si="547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48"/>
        <v>31017966.201968137</v>
      </c>
      <c r="AJ1871" s="19">
        <f t="shared" si="549"/>
        <v>4704250.3347305888</v>
      </c>
      <c r="AK1871" s="20">
        <f t="shared" si="556"/>
        <v>0.15166211427595458</v>
      </c>
      <c r="AL1871" s="17"/>
      <c r="AM1871" s="17"/>
      <c r="AN1871" s="17"/>
      <c r="AO1871" s="17"/>
      <c r="AP1871" s="28" t="str">
        <f t="shared" si="557"/>
        <v>202211</v>
      </c>
      <c r="AQ1871" s="28" t="str">
        <f t="shared" si="558"/>
        <v>202211RMB</v>
      </c>
      <c r="AR1871" s="206" t="str">
        <f t="shared" si="559"/>
        <v>PEMTRON</v>
      </c>
      <c r="AS1871" s="22">
        <f t="shared" si="560"/>
        <v>2</v>
      </c>
      <c r="AT1871" s="24" t="str">
        <f t="shared" si="561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2"/>
        <v>580000</v>
      </c>
      <c r="AA1872" s="13">
        <v>1.1850000000000001</v>
      </c>
      <c r="AB1872" s="21">
        <f t="shared" si="547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48"/>
        <v>45803245.025628321</v>
      </c>
      <c r="AJ1872" s="19">
        <f t="shared" si="549"/>
        <v>5664636.2584379362</v>
      </c>
      <c r="AK1872" s="20">
        <f t="shared" si="556"/>
        <v>0.12367325186825515</v>
      </c>
      <c r="AL1872" s="17"/>
      <c r="AM1872" s="17"/>
      <c r="AN1872" s="17"/>
      <c r="AO1872" s="17"/>
      <c r="AP1872" s="28" t="str">
        <f t="shared" si="557"/>
        <v>20211</v>
      </c>
      <c r="AQ1872" s="28" t="str">
        <f t="shared" si="558"/>
        <v>20211RMB</v>
      </c>
      <c r="AR1872" s="206" t="str">
        <f t="shared" si="559"/>
        <v>YAMAHA_Mounter</v>
      </c>
      <c r="AS1872" s="22">
        <f t="shared" si="560"/>
        <v>1</v>
      </c>
      <c r="AT1872" s="24" t="str">
        <f t="shared" si="561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2"/>
        <v>500000</v>
      </c>
      <c r="AA1873" s="13">
        <v>1.17</v>
      </c>
      <c r="AB1873" s="21">
        <f t="shared" si="547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48"/>
        <v>36480247.665929198</v>
      </c>
      <c r="AJ1873" s="19">
        <f t="shared" si="549"/>
        <v>5330996.6372757526</v>
      </c>
      <c r="AK1873" s="20">
        <f t="shared" si="556"/>
        <v>0.14613378412599562</v>
      </c>
      <c r="AL1873" s="17"/>
      <c r="AM1873" s="17"/>
      <c r="AN1873" s="17"/>
      <c r="AO1873" s="17"/>
      <c r="AP1873" s="28" t="str">
        <f t="shared" si="557"/>
        <v>20227</v>
      </c>
      <c r="AQ1873" s="28" t="str">
        <f t="shared" si="558"/>
        <v>20227RMB</v>
      </c>
      <c r="AR1873" s="206" t="str">
        <f t="shared" si="559"/>
        <v>YAMAHA_Mounter</v>
      </c>
      <c r="AS1873" s="22">
        <f t="shared" si="560"/>
        <v>1</v>
      </c>
      <c r="AT1873" s="24" t="str">
        <f t="shared" si="561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2"/>
        <v>550000</v>
      </c>
      <c r="AA1874" s="13">
        <v>1.095</v>
      </c>
      <c r="AB1874" s="21">
        <f t="shared" si="547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48"/>
        <v>28647263.974455759</v>
      </c>
      <c r="AJ1874" s="19">
        <f t="shared" si="549"/>
        <v>3219855.6912513468</v>
      </c>
      <c r="AK1874" s="20">
        <f t="shared" si="556"/>
        <v>0.11239662168514358</v>
      </c>
      <c r="AL1874" s="17"/>
      <c r="AM1874" s="17"/>
      <c r="AN1874" s="17"/>
      <c r="AO1874" s="17"/>
      <c r="AP1874" s="28" t="str">
        <f t="shared" si="557"/>
        <v>201910</v>
      </c>
      <c r="AQ1874" s="28" t="str">
        <f t="shared" si="558"/>
        <v>201910RMB</v>
      </c>
      <c r="AR1874" s="206" t="str">
        <f t="shared" si="559"/>
        <v>YAMAHA_Mounter</v>
      </c>
      <c r="AS1874" s="22">
        <f t="shared" si="560"/>
        <v>0</v>
      </c>
      <c r="AT1874" s="24" t="str">
        <f t="shared" si="561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2"/>
        <v>525000</v>
      </c>
      <c r="AA1875" s="13">
        <v>1.07</v>
      </c>
      <c r="AB1875" s="21">
        <f t="shared" si="547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48"/>
        <v>11730565.00042478</v>
      </c>
      <c r="AJ1875" s="19">
        <f t="shared" si="549"/>
        <v>1439625.5685810833</v>
      </c>
      <c r="AK1875" s="20">
        <f t="shared" si="556"/>
        <v>0.12272431622253084</v>
      </c>
      <c r="AL1875" s="17"/>
      <c r="AM1875" s="17"/>
      <c r="AN1875" s="17"/>
      <c r="AO1875" s="17"/>
      <c r="AP1875" s="28" t="str">
        <f t="shared" si="557"/>
        <v>202311</v>
      </c>
      <c r="AQ1875" s="28" t="str">
        <f t="shared" si="558"/>
        <v>202311RMB</v>
      </c>
      <c r="AR1875" s="206" t="str">
        <f t="shared" si="559"/>
        <v>YAMAHA_Mounter</v>
      </c>
      <c r="AS1875" s="22">
        <f t="shared" si="560"/>
        <v>1</v>
      </c>
      <c r="AT1875" s="24" t="str">
        <f t="shared" si="561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2"/>
        <v>525000</v>
      </c>
      <c r="AA1876" s="13">
        <v>1.07</v>
      </c>
      <c r="AB1876" s="21">
        <f t="shared" si="547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48"/>
        <v>11730565.00042478</v>
      </c>
      <c r="AJ1876" s="19">
        <f t="shared" si="549"/>
        <v>1439625.5685810833</v>
      </c>
      <c r="AK1876" s="20">
        <f t="shared" si="556"/>
        <v>0.12272431622253084</v>
      </c>
      <c r="AL1876" s="17"/>
      <c r="AM1876" s="17"/>
      <c r="AN1876" s="17"/>
      <c r="AO1876" s="17"/>
      <c r="AP1876" s="28" t="str">
        <f t="shared" si="557"/>
        <v>202311</v>
      </c>
      <c r="AQ1876" s="28" t="str">
        <f t="shared" si="558"/>
        <v>202311RMB</v>
      </c>
      <c r="AR1876" s="206" t="str">
        <f t="shared" si="559"/>
        <v>YAMAHA_Mounter</v>
      </c>
      <c r="AS1876" s="22">
        <f t="shared" si="560"/>
        <v>1</v>
      </c>
      <c r="AT1876" s="24" t="str">
        <f t="shared" si="561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2"/>
        <v>475000</v>
      </c>
      <c r="AA1877" s="13">
        <v>1.18</v>
      </c>
      <c r="AB1877" s="21">
        <f t="shared" si="547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48"/>
        <v>43684091.636631854</v>
      </c>
      <c r="AJ1877" s="19">
        <f t="shared" si="549"/>
        <v>6483951.8242071122</v>
      </c>
      <c r="AK1877" s="20">
        <f t="shared" si="556"/>
        <v>0.14842821680123736</v>
      </c>
      <c r="AL1877" s="17"/>
      <c r="AM1877" s="17"/>
      <c r="AN1877" s="17"/>
      <c r="AO1877" s="17"/>
      <c r="AP1877" s="28" t="str">
        <f t="shared" si="557"/>
        <v>20214</v>
      </c>
      <c r="AQ1877" s="28" t="str">
        <f t="shared" si="558"/>
        <v>20214RMB</v>
      </c>
      <c r="AR1877" s="206" t="str">
        <f t="shared" si="559"/>
        <v>YAMAHA_Mounter</v>
      </c>
      <c r="AS1877" s="22">
        <f t="shared" si="560"/>
        <v>3</v>
      </c>
      <c r="AT1877" s="24" t="str">
        <f t="shared" si="561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2"/>
        <v>1110000</v>
      </c>
      <c r="AA1878" s="13">
        <v>1.21</v>
      </c>
      <c r="AB1878" s="21">
        <f t="shared" si="547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48"/>
        <v>29500529.005044252</v>
      </c>
      <c r="AJ1878" s="19">
        <f t="shared" si="549"/>
        <v>3253064.846231177</v>
      </c>
      <c r="AK1878" s="20">
        <f t="shared" si="556"/>
        <v>0.11027140718984871</v>
      </c>
      <c r="AL1878" s="17"/>
      <c r="AM1878" s="17"/>
      <c r="AN1878" s="17"/>
      <c r="AO1878" s="17"/>
      <c r="AP1878" s="28" t="str">
        <f t="shared" si="557"/>
        <v>202111</v>
      </c>
      <c r="AQ1878" s="28" t="str">
        <f t="shared" si="558"/>
        <v>202111RMB</v>
      </c>
      <c r="AR1878" s="206" t="str">
        <f t="shared" si="559"/>
        <v>YAMAHA_Mounter</v>
      </c>
      <c r="AS1878" s="22">
        <f t="shared" si="560"/>
        <v>1</v>
      </c>
      <c r="AT1878" s="24" t="str">
        <f t="shared" si="561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2"/>
        <v>1110000</v>
      </c>
      <c r="AA1879" s="13">
        <v>1.21</v>
      </c>
      <c r="AB1879" s="21">
        <f t="shared" si="547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48"/>
        <v>29500529.005044252</v>
      </c>
      <c r="AJ1879" s="19">
        <f t="shared" si="549"/>
        <v>3253064.846231177</v>
      </c>
      <c r="AK1879" s="20">
        <f t="shared" si="556"/>
        <v>0.11027140718984871</v>
      </c>
      <c r="AL1879" s="17"/>
      <c r="AM1879" s="17"/>
      <c r="AN1879" s="17"/>
      <c r="AO1879" s="17"/>
      <c r="AP1879" s="28" t="str">
        <f t="shared" si="557"/>
        <v>202111</v>
      </c>
      <c r="AQ1879" s="28" t="str">
        <f t="shared" si="558"/>
        <v>202111RMB</v>
      </c>
      <c r="AR1879" s="206" t="str">
        <f t="shared" si="559"/>
        <v>YAMAHA_Mounter</v>
      </c>
      <c r="AS1879" s="22">
        <f t="shared" si="560"/>
        <v>1</v>
      </c>
      <c r="AT1879" s="24" t="str">
        <f t="shared" si="561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4">IF(W1880="","",IF(W1880="RMB","1.13", "1"))</f>
        <v>1</v>
      </c>
      <c r="Z1880" s="18">
        <f t="shared" si="562"/>
        <v>11000000</v>
      </c>
      <c r="AA1880" s="13">
        <v>5.0999999999999997E-2</v>
      </c>
      <c r="AB1880" s="21">
        <f t="shared" si="547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48"/>
        <v>27308925.887079656</v>
      </c>
      <c r="AJ1880" s="27">
        <f t="shared" si="549"/>
        <v>3319273.860338124</v>
      </c>
      <c r="AK1880" s="28">
        <f t="shared" si="556"/>
        <v>0.12154538314919709</v>
      </c>
      <c r="AL1880" s="24"/>
      <c r="AM1880" s="24"/>
      <c r="AN1880" s="24"/>
      <c r="AO1880" s="24"/>
      <c r="AP1880" s="28" t="str">
        <f t="shared" si="557"/>
        <v>20246</v>
      </c>
      <c r="AQ1880" s="28" t="str">
        <f t="shared" si="558"/>
        <v>20246JPY</v>
      </c>
      <c r="AR1880" s="206" t="str">
        <f t="shared" si="559"/>
        <v>YAMAHA_Mounter</v>
      </c>
      <c r="AS1880" s="22">
        <f t="shared" si="560"/>
        <v>3</v>
      </c>
      <c r="AT1880" s="24" t="str">
        <f t="shared" si="561"/>
        <v>0-3 months</v>
      </c>
      <c r="AU1880" s="22" t="s">
        <v>3745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3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4"/>
        <v>1.13</v>
      </c>
      <c r="Z1881" s="18">
        <f t="shared" si="562"/>
        <v>837083.3</v>
      </c>
      <c r="AA1881" s="22">
        <v>1.08</v>
      </c>
      <c r="AB1881" s="21">
        <f t="shared" si="547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48"/>
        <v>27308925.887079656</v>
      </c>
      <c r="AJ1881" s="27">
        <f t="shared" si="549"/>
        <v>3319273.860338124</v>
      </c>
      <c r="AK1881" s="28">
        <f t="shared" si="556"/>
        <v>0.12154538314919709</v>
      </c>
      <c r="AL1881" s="24"/>
      <c r="AM1881" s="24"/>
      <c r="AN1881" s="24"/>
      <c r="AO1881" s="24"/>
      <c r="AP1881" s="28" t="str">
        <f t="shared" si="557"/>
        <v>20246</v>
      </c>
      <c r="AQ1881" s="28" t="str">
        <f t="shared" si="558"/>
        <v>20246RMB</v>
      </c>
      <c r="AR1881" s="206" t="str">
        <f t="shared" si="559"/>
        <v>YAMAHA_Mounter</v>
      </c>
      <c r="AS1881" s="22">
        <f t="shared" si="560"/>
        <v>2</v>
      </c>
      <c r="AT1881" s="24" t="str">
        <f t="shared" si="561"/>
        <v>0-3 months</v>
      </c>
      <c r="AU1881" s="22" t="s">
        <v>3751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3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4"/>
        <v>1.13</v>
      </c>
      <c r="Z1882" s="18">
        <f t="shared" si="562"/>
        <v>837083.3</v>
      </c>
      <c r="AA1882" s="22">
        <v>1.08</v>
      </c>
      <c r="AB1882" s="21">
        <f t="shared" si="547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48"/>
        <v>27308925.887079656</v>
      </c>
      <c r="AJ1882" s="27">
        <f t="shared" si="549"/>
        <v>3319273.860338124</v>
      </c>
      <c r="AK1882" s="28">
        <f t="shared" si="556"/>
        <v>0.12154538314919709</v>
      </c>
      <c r="AL1882" s="24"/>
      <c r="AM1882" s="24"/>
      <c r="AN1882" s="24"/>
      <c r="AO1882" s="24"/>
      <c r="AP1882" s="28" t="str">
        <f t="shared" si="557"/>
        <v>20246</v>
      </c>
      <c r="AQ1882" s="28" t="str">
        <f t="shared" si="558"/>
        <v>20246RMB</v>
      </c>
      <c r="AR1882" s="206" t="str">
        <f t="shared" si="559"/>
        <v>YAMAHA_Mounter</v>
      </c>
      <c r="AS1882" s="22">
        <f t="shared" si="560"/>
        <v>2</v>
      </c>
      <c r="AT1882" s="24" t="str">
        <f t="shared" si="561"/>
        <v>0-3 months</v>
      </c>
      <c r="AU1882" s="22" t="s">
        <v>3751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3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4"/>
        <v>1</v>
      </c>
      <c r="Z1883" s="18">
        <f t="shared" si="562"/>
        <v>6891220</v>
      </c>
      <c r="AA1883" s="22">
        <v>5.0999999999999997E-2</v>
      </c>
      <c r="AB1883" s="21">
        <f t="shared" si="547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48"/>
        <v>27308925.887079656</v>
      </c>
      <c r="AJ1883" s="27">
        <f t="shared" si="549"/>
        <v>3319273.860338124</v>
      </c>
      <c r="AK1883" s="28">
        <f t="shared" si="556"/>
        <v>0.12154538314919709</v>
      </c>
      <c r="AL1883" s="24"/>
      <c r="AM1883" s="24"/>
      <c r="AN1883" s="24"/>
      <c r="AO1883" s="24"/>
      <c r="AP1883" s="28" t="str">
        <f t="shared" si="557"/>
        <v>20246</v>
      </c>
      <c r="AQ1883" s="28" t="str">
        <f t="shared" si="558"/>
        <v>20246JPY</v>
      </c>
      <c r="AR1883" s="206" t="str">
        <f t="shared" si="559"/>
        <v>YAMAHA_Mounter</v>
      </c>
      <c r="AS1883" s="22">
        <f t="shared" si="560"/>
        <v>2</v>
      </c>
      <c r="AT1883" s="24" t="str">
        <f t="shared" si="561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3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4"/>
        <v>1</v>
      </c>
      <c r="Z1884" s="18">
        <f t="shared" si="562"/>
        <v>6891220</v>
      </c>
      <c r="AA1884" s="22">
        <v>5.0999999999999997E-2</v>
      </c>
      <c r="AB1884" s="21">
        <f t="shared" si="547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48"/>
        <v>27308925.887079656</v>
      </c>
      <c r="AJ1884" s="27">
        <f t="shared" si="549"/>
        <v>3319273.860338124</v>
      </c>
      <c r="AK1884" s="28">
        <f t="shared" si="556"/>
        <v>0.12154538314919709</v>
      </c>
      <c r="AL1884" s="24"/>
      <c r="AM1884" s="24"/>
      <c r="AN1884" s="24"/>
      <c r="AO1884" s="24"/>
      <c r="AP1884" s="28" t="str">
        <f t="shared" si="557"/>
        <v>20246</v>
      </c>
      <c r="AQ1884" s="28" t="str">
        <f t="shared" si="558"/>
        <v>20246JPY</v>
      </c>
      <c r="AR1884" s="206" t="str">
        <f t="shared" si="559"/>
        <v>YAMAHA_Mounter</v>
      </c>
      <c r="AS1884" s="22">
        <f t="shared" si="560"/>
        <v>2</v>
      </c>
      <c r="AT1884" s="24" t="str">
        <f t="shared" si="561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4"/>
        <v>1</v>
      </c>
      <c r="Z1885" s="18">
        <f t="shared" si="562"/>
        <v>6891220</v>
      </c>
      <c r="AA1885" s="22">
        <v>5.0999999999999997E-2</v>
      </c>
      <c r="AB1885" s="21">
        <f t="shared" si="547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48"/>
        <v>27308925.887079656</v>
      </c>
      <c r="AJ1885" s="27">
        <f t="shared" si="549"/>
        <v>3319273.860338124</v>
      </c>
      <c r="AK1885" s="28">
        <f t="shared" si="556"/>
        <v>0.12154538314919709</v>
      </c>
      <c r="AL1885" s="24"/>
      <c r="AM1885" s="24"/>
      <c r="AN1885" s="24"/>
      <c r="AO1885" s="24"/>
      <c r="AP1885" s="28" t="str">
        <f t="shared" si="557"/>
        <v>20246</v>
      </c>
      <c r="AQ1885" s="28" t="str">
        <f t="shared" si="558"/>
        <v>20246JPY</v>
      </c>
      <c r="AR1885" s="206" t="str">
        <f t="shared" si="559"/>
        <v>YAMAHA_Mounter</v>
      </c>
      <c r="AS1885" s="22">
        <f t="shared" si="560"/>
        <v>2</v>
      </c>
      <c r="AT1885" s="24" t="str">
        <f t="shared" si="561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3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4"/>
        <v>1</v>
      </c>
      <c r="Z1886" s="18">
        <f t="shared" si="562"/>
        <v>6891220</v>
      </c>
      <c r="AA1886" s="22">
        <v>5.0999999999999997E-2</v>
      </c>
      <c r="AB1886" s="21">
        <f t="shared" si="547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48"/>
        <v>27308925.887079656</v>
      </c>
      <c r="AJ1886" s="27">
        <f t="shared" si="549"/>
        <v>3319273.860338124</v>
      </c>
      <c r="AK1886" s="28">
        <f t="shared" si="556"/>
        <v>0.12154538314919709</v>
      </c>
      <c r="AL1886" s="24"/>
      <c r="AM1886" s="24"/>
      <c r="AN1886" s="24"/>
      <c r="AO1886" s="24"/>
      <c r="AP1886" s="28" t="str">
        <f t="shared" si="557"/>
        <v>20246</v>
      </c>
      <c r="AQ1886" s="28" t="str">
        <f t="shared" si="558"/>
        <v>20246JPY</v>
      </c>
      <c r="AR1886" s="206" t="str">
        <f t="shared" si="559"/>
        <v>YAMAHA_Mounter</v>
      </c>
      <c r="AS1886" s="22">
        <f t="shared" si="560"/>
        <v>2</v>
      </c>
      <c r="AT1886" s="24" t="str">
        <f t="shared" si="561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2"/>
        <v>800000</v>
      </c>
      <c r="AA1887" s="13">
        <v>1.23</v>
      </c>
      <c r="AB1887" s="21">
        <f t="shared" si="547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48"/>
        <v>34109166.105589926</v>
      </c>
      <c r="AJ1887" s="19">
        <f t="shared" si="549"/>
        <v>4642032.7199573703</v>
      </c>
      <c r="AK1887" s="20">
        <f t="shared" si="55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7"/>
        <v>20185</v>
      </c>
      <c r="AQ1887" s="28" t="str">
        <f t="shared" si="558"/>
        <v>20185RMB</v>
      </c>
      <c r="AR1887" s="206" t="str">
        <f t="shared" si="559"/>
        <v>YAMAHA_Mounter</v>
      </c>
      <c r="AS1887" s="22">
        <f t="shared" si="560"/>
        <v>6</v>
      </c>
      <c r="AT1887" s="24" t="str">
        <f t="shared" si="561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2"/>
        <v>710000</v>
      </c>
      <c r="AA1888" s="13">
        <v>1.23</v>
      </c>
      <c r="AB1888" s="21">
        <f t="shared" si="547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48"/>
        <v>34109166.105589926</v>
      </c>
      <c r="AJ1888" s="19">
        <f t="shared" si="549"/>
        <v>4642032.7199573703</v>
      </c>
      <c r="AK1888" s="20">
        <f t="shared" si="55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7"/>
        <v>20185</v>
      </c>
      <c r="AQ1888" s="28" t="str">
        <f t="shared" si="558"/>
        <v>20185RMB</v>
      </c>
      <c r="AR1888" s="206" t="str">
        <f t="shared" si="559"/>
        <v>YAMAHA_Mounter</v>
      </c>
      <c r="AS1888" s="22">
        <f t="shared" si="560"/>
        <v>6</v>
      </c>
      <c r="AT1888" s="24" t="str">
        <f t="shared" si="561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2"/>
        <v>630000</v>
      </c>
      <c r="AA1889" s="13">
        <v>1.22</v>
      </c>
      <c r="AB1889" s="21">
        <f t="shared" si="547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48"/>
        <v>26407088.359292038</v>
      </c>
      <c r="AJ1889" s="19">
        <f t="shared" si="549"/>
        <v>3424510.6998470789</v>
      </c>
      <c r="AK1889" s="20">
        <f t="shared" si="556"/>
        <v>0.12968149510667554</v>
      </c>
      <c r="AL1889" s="17"/>
      <c r="AM1889" s="17"/>
      <c r="AN1889" s="17"/>
      <c r="AO1889" s="17"/>
      <c r="AP1889" s="28" t="str">
        <f t="shared" si="557"/>
        <v>20221</v>
      </c>
      <c r="AQ1889" s="28" t="str">
        <f t="shared" si="558"/>
        <v>20221RMB</v>
      </c>
      <c r="AR1889" s="206" t="str">
        <f t="shared" si="559"/>
        <v>YAMAHA_Mounter</v>
      </c>
      <c r="AS1889" s="22">
        <f t="shared" si="560"/>
        <v>2</v>
      </c>
      <c r="AT1889" s="24" t="str">
        <f t="shared" si="561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2"/>
        <v>1000000</v>
      </c>
      <c r="AA1890" s="13">
        <v>1.22</v>
      </c>
      <c r="AB1890" s="21">
        <f t="shared" si="547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48"/>
        <v>26407088.359292038</v>
      </c>
      <c r="AJ1890" s="19">
        <f t="shared" si="549"/>
        <v>3424510.6998470789</v>
      </c>
      <c r="AK1890" s="20">
        <f t="shared" si="556"/>
        <v>0.12968149510667554</v>
      </c>
      <c r="AL1890" s="17"/>
      <c r="AM1890" s="17"/>
      <c r="AN1890" s="17"/>
      <c r="AO1890" s="17"/>
      <c r="AP1890" s="28" t="str">
        <f t="shared" si="557"/>
        <v>20221</v>
      </c>
      <c r="AQ1890" s="28" t="str">
        <f t="shared" si="558"/>
        <v>20221RMB</v>
      </c>
      <c r="AR1890" s="206" t="str">
        <f t="shared" si="559"/>
        <v>YAMAHA_Mounter</v>
      </c>
      <c r="AS1890" s="22">
        <f t="shared" si="560"/>
        <v>2</v>
      </c>
      <c r="AT1890" s="24" t="str">
        <f t="shared" si="561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2"/>
        <v>1000000</v>
      </c>
      <c r="AA1891" s="13">
        <v>1.175</v>
      </c>
      <c r="AB1891" s="21">
        <f t="shared" si="547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48"/>
        <v>35682787.057522126</v>
      </c>
      <c r="AJ1891" s="19">
        <f t="shared" si="549"/>
        <v>5833368.3789623892</v>
      </c>
      <c r="AK1891" s="20">
        <f t="shared" si="556"/>
        <v>0.16347849649632912</v>
      </c>
      <c r="AL1891" s="17"/>
      <c r="AM1891" s="17"/>
      <c r="AN1891" s="17"/>
      <c r="AO1891" s="17"/>
      <c r="AP1891" s="28" t="str">
        <f t="shared" si="557"/>
        <v>20226</v>
      </c>
      <c r="AQ1891" s="28" t="str">
        <f t="shared" si="558"/>
        <v>20226RMB</v>
      </c>
      <c r="AR1891" s="206" t="str">
        <f t="shared" si="559"/>
        <v>YAMAHA_Mounter</v>
      </c>
      <c r="AS1891" s="22">
        <f t="shared" si="560"/>
        <v>3</v>
      </c>
      <c r="AT1891" s="24" t="str">
        <f t="shared" si="561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2"/>
        <v>610000</v>
      </c>
      <c r="AA1892" s="13">
        <v>1.175</v>
      </c>
      <c r="AB1892" s="21">
        <f t="shared" si="547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48"/>
        <v>35682787.057522126</v>
      </c>
      <c r="AJ1892" s="19">
        <f t="shared" si="549"/>
        <v>5833368.3789623892</v>
      </c>
      <c r="AK1892" s="20">
        <f t="shared" si="556"/>
        <v>0.16347849649632912</v>
      </c>
      <c r="AL1892" s="17"/>
      <c r="AM1892" s="17"/>
      <c r="AN1892" s="17"/>
      <c r="AO1892" s="17"/>
      <c r="AP1892" s="28" t="str">
        <f t="shared" si="557"/>
        <v>20226</v>
      </c>
      <c r="AQ1892" s="28" t="str">
        <f t="shared" si="558"/>
        <v>20226RMB</v>
      </c>
      <c r="AR1892" s="206" t="str">
        <f t="shared" si="559"/>
        <v>YAMAHA_Mounter</v>
      </c>
      <c r="AS1892" s="22">
        <f t="shared" si="560"/>
        <v>3</v>
      </c>
      <c r="AT1892" s="24" t="str">
        <f t="shared" si="561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2"/>
        <v>7200000</v>
      </c>
      <c r="AA1893" s="13">
        <v>7.2800000000000004E-2</v>
      </c>
      <c r="AB1893" s="21">
        <f t="shared" si="547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48"/>
        <v>499582152.5142017</v>
      </c>
      <c r="AJ1893" s="19">
        <f t="shared" si="549"/>
        <v>59520528.679470733</v>
      </c>
      <c r="AK1893" s="20">
        <f t="shared" si="556"/>
        <v>0.11914062257814291</v>
      </c>
      <c r="AL1893" s="17"/>
      <c r="AM1893" s="17"/>
      <c r="AN1893" s="17"/>
      <c r="AO1893" s="17"/>
      <c r="AP1893" s="28" t="str">
        <f t="shared" si="557"/>
        <v>CancelCANCEL</v>
      </c>
      <c r="AQ1893" s="28" t="str">
        <f t="shared" si="558"/>
        <v>CancelCANCELJPY</v>
      </c>
      <c r="AR1893" s="206" t="str">
        <f t="shared" si="559"/>
        <v>YAMAHA_Mounter</v>
      </c>
      <c r="AS1893" s="22" t="str">
        <f t="shared" si="560"/>
        <v/>
      </c>
      <c r="AT1893" s="24" t="str">
        <f t="shared" si="561"/>
        <v/>
      </c>
      <c r="AU1893" s="22" t="s">
        <v>3745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2"/>
        <v>11000000</v>
      </c>
      <c r="AA1894" s="13">
        <v>7.3400000000000007E-2</v>
      </c>
      <c r="AB1894" s="21">
        <f t="shared" si="547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48"/>
        <v>35384300.169380538</v>
      </c>
      <c r="AJ1894" s="19">
        <f t="shared" si="549"/>
        <v>5044538.8896988509</v>
      </c>
      <c r="AK1894" s="20">
        <f t="shared" si="556"/>
        <v>0.14256432557804533</v>
      </c>
      <c r="AL1894" s="17"/>
      <c r="AM1894" s="17"/>
      <c r="AN1894" s="17"/>
      <c r="AO1894" s="17"/>
      <c r="AP1894" s="28" t="str">
        <f t="shared" si="557"/>
        <v>20207</v>
      </c>
      <c r="AQ1894" s="28" t="str">
        <f t="shared" si="558"/>
        <v>20207JPY</v>
      </c>
      <c r="AR1894" s="206" t="str">
        <f t="shared" si="559"/>
        <v>YAMAHA_Mounter</v>
      </c>
      <c r="AS1894" s="22">
        <f t="shared" si="560"/>
        <v>4</v>
      </c>
      <c r="AT1894" s="24" t="str">
        <f t="shared" si="561"/>
        <v>4-6 months</v>
      </c>
      <c r="AU1894" s="22" t="s">
        <v>3745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2"/>
        <v>9800000</v>
      </c>
      <c r="AA1895" s="13">
        <v>7.4300000000000005E-2</v>
      </c>
      <c r="AB1895" s="21">
        <f t="shared" si="547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48"/>
        <v>28065694.408805311</v>
      </c>
      <c r="AJ1895" s="19">
        <f t="shared" si="549"/>
        <v>4157433.2906989697</v>
      </c>
      <c r="AK1895" s="20">
        <f t="shared" si="556"/>
        <v>0.14813220831602228</v>
      </c>
      <c r="AL1895" s="17"/>
      <c r="AM1895" s="17"/>
      <c r="AN1895" s="17"/>
      <c r="AO1895" s="17"/>
      <c r="AP1895" s="28" t="str">
        <f t="shared" si="557"/>
        <v>20205</v>
      </c>
      <c r="AQ1895" s="28" t="str">
        <f t="shared" si="558"/>
        <v>20205JPY</v>
      </c>
      <c r="AR1895" s="206" t="str">
        <f t="shared" si="559"/>
        <v>YAMAHA_Mounter</v>
      </c>
      <c r="AS1895" s="22">
        <f t="shared" si="560"/>
        <v>2</v>
      </c>
      <c r="AT1895" s="24" t="str">
        <f t="shared" si="561"/>
        <v>0-3 months</v>
      </c>
      <c r="AU1895" s="22" t="s">
        <v>3745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2"/>
        <v>11834000</v>
      </c>
      <c r="AA1896" s="13">
        <v>7.4899999999999994E-2</v>
      </c>
      <c r="AB1896" s="21">
        <f t="shared" si="547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48"/>
        <v>47907808.356810622</v>
      </c>
      <c r="AJ1896" s="19">
        <f t="shared" si="549"/>
        <v>6027384.8806384448</v>
      </c>
      <c r="AK1896" s="20">
        <f t="shared" si="556"/>
        <v>0.12581216063459488</v>
      </c>
      <c r="AL1896" s="17"/>
      <c r="AM1896" s="17"/>
      <c r="AN1896" s="17"/>
      <c r="AO1896" s="17"/>
      <c r="AP1896" s="28" t="str">
        <f t="shared" si="557"/>
        <v>20209</v>
      </c>
      <c r="AQ1896" s="28" t="str">
        <f t="shared" si="558"/>
        <v>20209JPY</v>
      </c>
      <c r="AR1896" s="206" t="str">
        <f t="shared" si="559"/>
        <v>YAMAHA_Mounter</v>
      </c>
      <c r="AS1896" s="22">
        <f t="shared" si="560"/>
        <v>2</v>
      </c>
      <c r="AT1896" s="24" t="str">
        <f t="shared" si="561"/>
        <v>0-3 months</v>
      </c>
      <c r="AU1896" s="22" t="s">
        <v>3745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2"/>
        <v>7942000</v>
      </c>
      <c r="AA1897" s="13">
        <v>7.4899999999999994E-2</v>
      </c>
      <c r="AB1897" s="21">
        <f t="shared" si="547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48"/>
        <v>47907808.356810622</v>
      </c>
      <c r="AJ1897" s="19">
        <f t="shared" si="549"/>
        <v>6027384.8806384448</v>
      </c>
      <c r="AK1897" s="20">
        <f t="shared" si="556"/>
        <v>0.12581216063459488</v>
      </c>
      <c r="AL1897" s="17"/>
      <c r="AM1897" s="17"/>
      <c r="AN1897" s="17"/>
      <c r="AO1897" s="17"/>
      <c r="AP1897" s="28" t="str">
        <f t="shared" si="557"/>
        <v>20209</v>
      </c>
      <c r="AQ1897" s="28" t="str">
        <f t="shared" si="558"/>
        <v>20209JPY</v>
      </c>
      <c r="AR1897" s="206" t="str">
        <f t="shared" si="559"/>
        <v>YAMAHA_Mounter</v>
      </c>
      <c r="AS1897" s="22">
        <f t="shared" si="560"/>
        <v>2</v>
      </c>
      <c r="AT1897" s="24" t="str">
        <f t="shared" si="561"/>
        <v>0-3 months</v>
      </c>
      <c r="AU1897" s="22" t="s">
        <v>3745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2"/>
        <v>7186000</v>
      </c>
      <c r="AA1898" s="13">
        <v>7.6799999999999993E-2</v>
      </c>
      <c r="AB1898" s="21">
        <f t="shared" si="547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48"/>
        <v>45803245.025628321</v>
      </c>
      <c r="AJ1898" s="19">
        <f t="shared" si="549"/>
        <v>5664636.2584379362</v>
      </c>
      <c r="AK1898" s="20">
        <f t="shared" si="556"/>
        <v>0.12367325186825515</v>
      </c>
      <c r="AL1898" s="17"/>
      <c r="AM1898" s="17"/>
      <c r="AN1898" s="17"/>
      <c r="AO1898" s="17"/>
      <c r="AP1898" s="28" t="str">
        <f t="shared" si="557"/>
        <v>20211</v>
      </c>
      <c r="AQ1898" s="28" t="str">
        <f t="shared" si="558"/>
        <v>20211JPY</v>
      </c>
      <c r="AR1898" s="206" t="str">
        <f t="shared" si="559"/>
        <v>YAMAHA_Mounter</v>
      </c>
      <c r="AS1898" s="22">
        <f t="shared" si="560"/>
        <v>2</v>
      </c>
      <c r="AT1898" s="24" t="str">
        <f t="shared" si="561"/>
        <v>0-3 months</v>
      </c>
      <c r="AU1898" s="22" t="s">
        <v>3745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2"/>
        <v>7340000</v>
      </c>
      <c r="AA1899" s="13">
        <v>7.2400000000000006E-2</v>
      </c>
      <c r="AB1899" s="21">
        <f t="shared" si="547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48"/>
        <v>499582152.5142017</v>
      </c>
      <c r="AJ1899" s="19">
        <f t="shared" si="549"/>
        <v>59520528.679470733</v>
      </c>
      <c r="AK1899" s="20">
        <f t="shared" si="556"/>
        <v>0.11914062257814291</v>
      </c>
      <c r="AL1899" s="17"/>
      <c r="AM1899" s="17"/>
      <c r="AN1899" s="17"/>
      <c r="AO1899" s="17"/>
      <c r="AP1899" s="28" t="str">
        <f t="shared" si="557"/>
        <v>CancelCancel</v>
      </c>
      <c r="AQ1899" s="28" t="str">
        <f t="shared" si="558"/>
        <v>CancelCancelJPY</v>
      </c>
      <c r="AR1899" s="206" t="str">
        <f t="shared" si="559"/>
        <v>YAMAHA_Mounter</v>
      </c>
      <c r="AS1899" s="22" t="str">
        <f t="shared" si="560"/>
        <v/>
      </c>
      <c r="AT1899" s="24" t="str">
        <f t="shared" si="561"/>
        <v/>
      </c>
      <c r="AU1899" s="22" t="s">
        <v>3745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2"/>
        <v>14190000</v>
      </c>
      <c r="AA1900" s="13">
        <v>6.25E-2</v>
      </c>
      <c r="AB1900" s="21">
        <f t="shared" si="547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48"/>
        <v>35682787.057522126</v>
      </c>
      <c r="AJ1900" s="19">
        <f t="shared" si="549"/>
        <v>5833368.3789623892</v>
      </c>
      <c r="AK1900" s="20">
        <f t="shared" si="556"/>
        <v>0.16347849649632912</v>
      </c>
      <c r="AL1900" s="17"/>
      <c r="AM1900" s="17"/>
      <c r="AN1900" s="17"/>
      <c r="AO1900" s="17"/>
      <c r="AP1900" s="28" t="str">
        <f t="shared" si="557"/>
        <v>20226</v>
      </c>
      <c r="AQ1900" s="28" t="str">
        <f t="shared" si="558"/>
        <v>20226JPY</v>
      </c>
      <c r="AR1900" s="206" t="str">
        <f t="shared" si="559"/>
        <v>YAMAHA_Mounter</v>
      </c>
      <c r="AS1900" s="22">
        <f t="shared" si="560"/>
        <v>4</v>
      </c>
      <c r="AT1900" s="24" t="str">
        <f t="shared" si="561"/>
        <v>4-6 months</v>
      </c>
      <c r="AU1900" s="22" t="s">
        <v>3745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2"/>
        <v>12274000</v>
      </c>
      <c r="AA1901" s="13">
        <v>7.2999999999999995E-2</v>
      </c>
      <c r="AB1901" s="21">
        <f t="shared" si="547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48"/>
        <v>499582152.5142017</v>
      </c>
      <c r="AJ1901" s="19">
        <f t="shared" si="549"/>
        <v>59520528.679470733</v>
      </c>
      <c r="AK1901" s="20">
        <f t="shared" si="556"/>
        <v>0.11914062257814291</v>
      </c>
      <c r="AL1901" s="17"/>
      <c r="AM1901" s="17"/>
      <c r="AN1901" s="17"/>
      <c r="AO1901" s="17"/>
      <c r="AP1901" s="28" t="str">
        <f t="shared" si="557"/>
        <v>CancelCancel</v>
      </c>
      <c r="AQ1901" s="28" t="str">
        <f t="shared" si="558"/>
        <v>CancelCancelJPY</v>
      </c>
      <c r="AR1901" s="206" t="str">
        <f t="shared" si="559"/>
        <v>YAMAHA_Mounter</v>
      </c>
      <c r="AS1901" s="22" t="str">
        <f t="shared" si="560"/>
        <v/>
      </c>
      <c r="AT1901" s="24" t="str">
        <f t="shared" si="561"/>
        <v/>
      </c>
      <c r="AU1901" s="22" t="s">
        <v>3745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2"/>
        <v>14356000</v>
      </c>
      <c r="AA1902" s="13">
        <v>7.3400000000000007E-2</v>
      </c>
      <c r="AB1902" s="21">
        <f t="shared" si="547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48"/>
        <v>499582152.5142017</v>
      </c>
      <c r="AJ1902" s="19">
        <f t="shared" si="549"/>
        <v>59520528.679470733</v>
      </c>
      <c r="AK1902" s="20">
        <f t="shared" si="556"/>
        <v>0.11914062257814291</v>
      </c>
      <c r="AL1902" s="17"/>
      <c r="AM1902" s="17"/>
      <c r="AN1902" s="17"/>
      <c r="AO1902" s="17"/>
      <c r="AP1902" s="28" t="str">
        <f t="shared" si="557"/>
        <v>CancelCancel</v>
      </c>
      <c r="AQ1902" s="28" t="str">
        <f t="shared" si="558"/>
        <v>CancelCancelJPY</v>
      </c>
      <c r="AR1902" s="206" t="str">
        <f t="shared" si="559"/>
        <v>YAMAHA_Mounter</v>
      </c>
      <c r="AS1902" s="22" t="str">
        <f t="shared" si="560"/>
        <v/>
      </c>
      <c r="AT1902" s="24" t="str">
        <f t="shared" si="561"/>
        <v/>
      </c>
      <c r="AU1902" s="22" t="s">
        <v>3745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2"/>
        <v>8758000</v>
      </c>
      <c r="AA1903" s="13">
        <v>7.5700000000000003E-2</v>
      </c>
      <c r="AB1903" s="21">
        <f t="shared" si="547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48"/>
        <v>499582152.5142017</v>
      </c>
      <c r="AJ1903" s="19">
        <f t="shared" si="549"/>
        <v>59520528.679470733</v>
      </c>
      <c r="AK1903" s="20">
        <f t="shared" si="556"/>
        <v>0.11914062257814291</v>
      </c>
      <c r="AL1903" s="17"/>
      <c r="AM1903" s="17"/>
      <c r="AN1903" s="17"/>
      <c r="AO1903" s="17"/>
      <c r="AP1903" s="28" t="str">
        <f t="shared" si="557"/>
        <v>CancelCancel</v>
      </c>
      <c r="AQ1903" s="28" t="str">
        <f t="shared" si="558"/>
        <v>CancelCancelJPY</v>
      </c>
      <c r="AR1903" s="206" t="str">
        <f t="shared" si="559"/>
        <v>YAMAHA_Mounter</v>
      </c>
      <c r="AS1903" s="22" t="str">
        <f t="shared" si="560"/>
        <v/>
      </c>
      <c r="AT1903" s="24" t="str">
        <f t="shared" si="561"/>
        <v/>
      </c>
      <c r="AU1903" s="22" t="s">
        <v>3745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2"/>
        <v>7932000</v>
      </c>
      <c r="AA1904" s="13">
        <v>7.4899999999999994E-2</v>
      </c>
      <c r="AB1904" s="21">
        <f t="shared" si="547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48"/>
        <v>499582152.5142017</v>
      </c>
      <c r="AJ1904" s="19">
        <f t="shared" si="549"/>
        <v>59520528.679470733</v>
      </c>
      <c r="AK1904" s="20">
        <f t="shared" si="556"/>
        <v>0.11914062257814291</v>
      </c>
      <c r="AL1904" s="17"/>
      <c r="AM1904" s="17"/>
      <c r="AN1904" s="17"/>
      <c r="AO1904" s="17"/>
      <c r="AP1904" s="28" t="str">
        <f t="shared" si="557"/>
        <v>CancelCancel</v>
      </c>
      <c r="AQ1904" s="28" t="str">
        <f t="shared" si="558"/>
        <v>CancelCancelJPY</v>
      </c>
      <c r="AR1904" s="206" t="str">
        <f t="shared" si="559"/>
        <v>YAMAHA_Mounter</v>
      </c>
      <c r="AS1904" s="22" t="str">
        <f t="shared" si="560"/>
        <v/>
      </c>
      <c r="AT1904" s="24" t="str">
        <f t="shared" si="561"/>
        <v/>
      </c>
      <c r="AU1904" s="22" t="s">
        <v>3745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2"/>
        <v>12306000</v>
      </c>
      <c r="AA1905" s="13">
        <v>7.4899999999999994E-2</v>
      </c>
      <c r="AB1905" s="21">
        <f t="shared" si="547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48"/>
        <v>499582152.5142017</v>
      </c>
      <c r="AJ1905" s="19">
        <f t="shared" si="549"/>
        <v>59520528.679470733</v>
      </c>
      <c r="AK1905" s="20">
        <f t="shared" si="556"/>
        <v>0.11914062257814291</v>
      </c>
      <c r="AL1905" s="17"/>
      <c r="AM1905" s="17"/>
      <c r="AN1905" s="17"/>
      <c r="AO1905" s="17"/>
      <c r="AP1905" s="28" t="str">
        <f t="shared" si="557"/>
        <v>CancelCancel</v>
      </c>
      <c r="AQ1905" s="28" t="str">
        <f t="shared" si="558"/>
        <v>CancelCancelJPY</v>
      </c>
      <c r="AR1905" s="206" t="str">
        <f t="shared" si="559"/>
        <v>YAMAHA_Mounter</v>
      </c>
      <c r="AS1905" s="22" t="str">
        <f t="shared" si="560"/>
        <v/>
      </c>
      <c r="AT1905" s="24" t="str">
        <f t="shared" si="561"/>
        <v/>
      </c>
      <c r="AU1905" s="22" t="s">
        <v>3745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2"/>
        <v>708000</v>
      </c>
      <c r="AA1906" s="13">
        <v>1.1399999999999999</v>
      </c>
      <c r="AB1906" s="21">
        <f t="shared" si="547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48"/>
        <v>29840797.698275864</v>
      </c>
      <c r="AJ1906" s="19">
        <f t="shared" si="549"/>
        <v>3940167.6555448272</v>
      </c>
      <c r="AK1906" s="20">
        <f t="shared" si="556"/>
        <v>0.13203962224416277</v>
      </c>
      <c r="AL1906" s="17"/>
      <c r="AM1906" s="17"/>
      <c r="AN1906" s="17"/>
      <c r="AO1906" s="17" t="s">
        <v>61</v>
      </c>
      <c r="AP1906" s="28" t="str">
        <f t="shared" si="557"/>
        <v>201812</v>
      </c>
      <c r="AQ1906" s="28" t="str">
        <f t="shared" si="558"/>
        <v>201812RMB</v>
      </c>
      <c r="AR1906" s="206" t="str">
        <f t="shared" si="559"/>
        <v>YAMAHA_Mounter</v>
      </c>
      <c r="AS1906" s="22">
        <f t="shared" si="560"/>
        <v>3</v>
      </c>
      <c r="AT1906" s="24" t="str">
        <f t="shared" si="561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2"/>
        <v>1020000</v>
      </c>
      <c r="AA1907" s="13">
        <v>1.077</v>
      </c>
      <c r="AB1907" s="21">
        <f t="shared" si="547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48"/>
        <v>26078226.463097349</v>
      </c>
      <c r="AJ1907" s="19">
        <f t="shared" si="549"/>
        <v>3137870.4427774516</v>
      </c>
      <c r="AK1907" s="20">
        <f t="shared" si="556"/>
        <v>0.12032530077218917</v>
      </c>
      <c r="AL1907" s="17"/>
      <c r="AM1907" s="17"/>
      <c r="AN1907" s="17"/>
      <c r="AO1907" s="17"/>
      <c r="AP1907" s="28" t="str">
        <f t="shared" si="557"/>
        <v>20239</v>
      </c>
      <c r="AQ1907" s="28" t="str">
        <f t="shared" si="558"/>
        <v>20239RMB</v>
      </c>
      <c r="AR1907" s="206" t="str">
        <f t="shared" si="559"/>
        <v>YAMAHA_Mounter</v>
      </c>
      <c r="AS1907" s="22">
        <f t="shared" si="560"/>
        <v>11</v>
      </c>
      <c r="AT1907" s="24" t="str">
        <f t="shared" si="561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2"/>
        <v>450000</v>
      </c>
      <c r="AA1908" s="13">
        <v>1.077</v>
      </c>
      <c r="AB1908" s="21">
        <f t="shared" si="547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48"/>
        <v>26078226.463097349</v>
      </c>
      <c r="AJ1908" s="19">
        <f t="shared" si="549"/>
        <v>3137870.4427774516</v>
      </c>
      <c r="AK1908" s="20">
        <f t="shared" si="556"/>
        <v>0.12032530077218917</v>
      </c>
      <c r="AL1908" s="17"/>
      <c r="AM1908" s="17"/>
      <c r="AN1908" s="17"/>
      <c r="AO1908" s="17"/>
      <c r="AP1908" s="28" t="str">
        <f t="shared" si="557"/>
        <v>20239</v>
      </c>
      <c r="AQ1908" s="28" t="str">
        <f t="shared" si="558"/>
        <v>20239RMB</v>
      </c>
      <c r="AR1908" s="206" t="str">
        <f t="shared" si="559"/>
        <v>YAMAHA_Non_Mounter</v>
      </c>
      <c r="AS1908" s="22">
        <f t="shared" si="560"/>
        <v>11</v>
      </c>
      <c r="AT1908" s="24" t="str">
        <f t="shared" si="561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5">IF(W1909="RMB","1.13", "1")</f>
        <v>1.13</v>
      </c>
      <c r="Z1909" s="18">
        <f t="shared" si="562"/>
        <v>600000</v>
      </c>
      <c r="AA1909" s="13">
        <v>1.0900000000000001</v>
      </c>
      <c r="AB1909" s="21">
        <f t="shared" si="547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48"/>
        <v>17329060.066371687</v>
      </c>
      <c r="AJ1909" s="19">
        <f t="shared" si="549"/>
        <v>2472600.2142256643</v>
      </c>
      <c r="AK1909" s="20">
        <f t="shared" si="556"/>
        <v>0.14268518919984163</v>
      </c>
      <c r="AL1909" s="17"/>
      <c r="AM1909" s="17"/>
      <c r="AN1909" s="17"/>
      <c r="AO1909" s="17"/>
      <c r="AP1909" s="28" t="str">
        <f t="shared" si="557"/>
        <v>202212</v>
      </c>
      <c r="AQ1909" s="28" t="str">
        <f t="shared" si="558"/>
        <v>202212RMB</v>
      </c>
      <c r="AR1909" s="206" t="str">
        <f t="shared" si="559"/>
        <v>YAMAHA_Mounter</v>
      </c>
      <c r="AS1909" s="22">
        <f t="shared" si="560"/>
        <v>0</v>
      </c>
      <c r="AT1909" s="24" t="str">
        <f t="shared" si="561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5"/>
        <v>1</v>
      </c>
      <c r="Z1910" s="18">
        <f t="shared" si="562"/>
        <v>10550000</v>
      </c>
      <c r="AA1910" s="13">
        <v>7.5700000000000003E-2</v>
      </c>
      <c r="AB1910" s="21">
        <f t="shared" ref="AB1910:AB1973" si="566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48"/>
        <v>31097187.02948761</v>
      </c>
      <c r="AJ1910" s="19">
        <f t="shared" si="549"/>
        <v>3892353.6644401965</v>
      </c>
      <c r="AK1910" s="20">
        <f t="shared" si="556"/>
        <v>0.12516738767237401</v>
      </c>
      <c r="AL1910" s="17"/>
      <c r="AM1910" s="17"/>
      <c r="AN1910" s="17"/>
      <c r="AO1910" s="17"/>
      <c r="AP1910" s="28" t="str">
        <f t="shared" si="557"/>
        <v>20212</v>
      </c>
      <c r="AQ1910" s="28" t="str">
        <f t="shared" si="558"/>
        <v>20212JPY</v>
      </c>
      <c r="AR1910" s="206" t="str">
        <f t="shared" si="559"/>
        <v>YAMAHA_Mounter</v>
      </c>
      <c r="AS1910" s="22">
        <f t="shared" si="560"/>
        <v>3</v>
      </c>
      <c r="AT1910" s="24" t="str">
        <f t="shared" si="561"/>
        <v>0-3 months</v>
      </c>
      <c r="AU1910" s="22" t="s">
        <v>3745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5"/>
        <v>1</v>
      </c>
      <c r="Z1911" s="18">
        <f t="shared" si="562"/>
        <v>6400000</v>
      </c>
      <c r="AA1911" s="13">
        <v>7.5700000000000003E-2</v>
      </c>
      <c r="AB1911" s="21">
        <f t="shared" si="566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48"/>
        <v>31097187.02948761</v>
      </c>
      <c r="AJ1911" s="19">
        <f t="shared" si="549"/>
        <v>3892353.6644401965</v>
      </c>
      <c r="AK1911" s="20">
        <f t="shared" si="556"/>
        <v>0.12516738767237401</v>
      </c>
      <c r="AL1911" s="17"/>
      <c r="AM1911" s="17"/>
      <c r="AN1911" s="17"/>
      <c r="AO1911" s="17" t="s">
        <v>1540</v>
      </c>
      <c r="AP1911" s="28" t="str">
        <f t="shared" si="557"/>
        <v>20212</v>
      </c>
      <c r="AQ1911" s="28" t="str">
        <f t="shared" si="558"/>
        <v>20212JPY</v>
      </c>
      <c r="AR1911" s="206" t="str">
        <f t="shared" si="559"/>
        <v>YAMAHA_Mounter</v>
      </c>
      <c r="AS1911" s="22">
        <f t="shared" si="560"/>
        <v>3</v>
      </c>
      <c r="AT1911" s="24" t="str">
        <f t="shared" si="561"/>
        <v>0-3 months</v>
      </c>
      <c r="AU1911" s="22" t="s">
        <v>3745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5"/>
        <v>1</v>
      </c>
      <c r="Z1912" s="18">
        <f t="shared" si="562"/>
        <v>6400000</v>
      </c>
      <c r="AA1912" s="13">
        <v>7.5700000000000003E-2</v>
      </c>
      <c r="AB1912" s="21">
        <f t="shared" si="566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48"/>
        <v>31097187.02948761</v>
      </c>
      <c r="AJ1912" s="19">
        <f t="shared" si="549"/>
        <v>3892353.6644401965</v>
      </c>
      <c r="AK1912" s="20">
        <f t="shared" si="556"/>
        <v>0.12516738767237401</v>
      </c>
      <c r="AL1912" s="17"/>
      <c r="AM1912" s="17"/>
      <c r="AN1912" s="17"/>
      <c r="AO1912" s="17" t="s">
        <v>1540</v>
      </c>
      <c r="AP1912" s="28" t="str">
        <f t="shared" si="557"/>
        <v>20212</v>
      </c>
      <c r="AQ1912" s="28" t="str">
        <f t="shared" si="558"/>
        <v>20212JPY</v>
      </c>
      <c r="AR1912" s="206" t="str">
        <f t="shared" si="559"/>
        <v>YAMAHA_Mounter</v>
      </c>
      <c r="AS1912" s="22">
        <f t="shared" si="560"/>
        <v>3</v>
      </c>
      <c r="AT1912" s="24" t="str">
        <f t="shared" si="561"/>
        <v>0-3 months</v>
      </c>
      <c r="AU1912" s="22" t="s">
        <v>3745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5"/>
        <v>1</v>
      </c>
      <c r="Z1913" s="18">
        <f t="shared" si="562"/>
        <v>10550000</v>
      </c>
      <c r="AA1913" s="13">
        <v>7.2099999999999997E-2</v>
      </c>
      <c r="AB1913" s="21">
        <f t="shared" si="566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48"/>
        <v>54700260.692079648</v>
      </c>
      <c r="AJ1913" s="19">
        <f t="shared" si="549"/>
        <v>7482899.5749188727</v>
      </c>
      <c r="AK1913" s="20">
        <f t="shared" si="556"/>
        <v>0.13679824337660537</v>
      </c>
      <c r="AL1913" s="17"/>
      <c r="AM1913" s="17"/>
      <c r="AN1913" s="17"/>
      <c r="AO1913" s="17"/>
      <c r="AP1913" s="28" t="str">
        <f t="shared" si="557"/>
        <v>20216</v>
      </c>
      <c r="AQ1913" s="28" t="str">
        <f t="shared" si="558"/>
        <v>20216JPY</v>
      </c>
      <c r="AR1913" s="206" t="str">
        <f t="shared" si="559"/>
        <v>YAMAHA_Mounter</v>
      </c>
      <c r="AS1913" s="22">
        <f t="shared" si="560"/>
        <v>7</v>
      </c>
      <c r="AT1913" s="24" t="str">
        <f t="shared" si="561"/>
        <v>&gt; 6 months</v>
      </c>
      <c r="AU1913" s="22" t="s">
        <v>3745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5"/>
        <v>1</v>
      </c>
      <c r="Z1914" s="18">
        <f t="shared" si="562"/>
        <v>10550000</v>
      </c>
      <c r="AA1914" s="13">
        <v>7.2400000000000006E-2</v>
      </c>
      <c r="AB1914" s="21">
        <f t="shared" si="566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48"/>
        <v>47458373.787610628</v>
      </c>
      <c r="AJ1914" s="19">
        <f t="shared" si="549"/>
        <v>7436880.1411522133</v>
      </c>
      <c r="AK1914" s="20">
        <f t="shared" si="556"/>
        <v>0.15670322321692506</v>
      </c>
      <c r="AL1914" s="17"/>
      <c r="AM1914" s="17"/>
      <c r="AN1914" s="17"/>
      <c r="AO1914" s="17"/>
      <c r="AP1914" s="28" t="str">
        <f t="shared" si="557"/>
        <v>20218</v>
      </c>
      <c r="AQ1914" s="28" t="str">
        <f t="shared" si="558"/>
        <v>20218JPY</v>
      </c>
      <c r="AR1914" s="206" t="str">
        <f t="shared" si="559"/>
        <v>YAMAHA_Mounter</v>
      </c>
      <c r="AS1914" s="22">
        <f t="shared" si="560"/>
        <v>9</v>
      </c>
      <c r="AT1914" s="24" t="str">
        <f t="shared" si="561"/>
        <v>&gt; 6 months</v>
      </c>
      <c r="AU1914" s="22" t="s">
        <v>3745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5"/>
        <v>1</v>
      </c>
      <c r="Z1915" s="18">
        <f t="shared" si="562"/>
        <v>10550000</v>
      </c>
      <c r="AA1915" s="13">
        <v>7.2400000000000006E-2</v>
      </c>
      <c r="AB1915" s="21">
        <f t="shared" si="566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48"/>
        <v>499582152.5142017</v>
      </c>
      <c r="AJ1915" s="19">
        <f t="shared" si="549"/>
        <v>59520528.679470733</v>
      </c>
      <c r="AK1915" s="20">
        <f t="shared" si="556"/>
        <v>0.11914062257814291</v>
      </c>
      <c r="AL1915" s="17"/>
      <c r="AM1915" s="17"/>
      <c r="AN1915" s="17"/>
      <c r="AO1915" s="17"/>
      <c r="AP1915" s="28" t="str">
        <f t="shared" si="557"/>
        <v>CancelCancel</v>
      </c>
      <c r="AQ1915" s="28" t="str">
        <f t="shared" si="558"/>
        <v>CancelCancelJPY</v>
      </c>
      <c r="AR1915" s="206" t="str">
        <f t="shared" si="559"/>
        <v>YAMAHA_Mounter</v>
      </c>
      <c r="AS1915" s="22" t="str">
        <f t="shared" si="560"/>
        <v/>
      </c>
      <c r="AT1915" s="24" t="str">
        <f t="shared" si="561"/>
        <v/>
      </c>
      <c r="AU1915" s="22" t="s">
        <v>3745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5"/>
        <v>1</v>
      </c>
      <c r="Z1916" s="18">
        <f t="shared" si="562"/>
        <v>10550000</v>
      </c>
      <c r="AA1916" s="13">
        <v>7.2400000000000006E-2</v>
      </c>
      <c r="AB1916" s="21">
        <f t="shared" si="566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48"/>
        <v>499582152.5142017</v>
      </c>
      <c r="AJ1916" s="19">
        <f t="shared" si="549"/>
        <v>59520528.679470733</v>
      </c>
      <c r="AK1916" s="20">
        <f t="shared" si="556"/>
        <v>0.11914062257814291</v>
      </c>
      <c r="AL1916" s="17"/>
      <c r="AM1916" s="17"/>
      <c r="AN1916" s="17"/>
      <c r="AO1916" s="17"/>
      <c r="AP1916" s="28" t="str">
        <f t="shared" si="557"/>
        <v>CancelCancel</v>
      </c>
      <c r="AQ1916" s="28" t="str">
        <f t="shared" si="558"/>
        <v>CancelCancelJPY</v>
      </c>
      <c r="AR1916" s="206" t="str">
        <f t="shared" si="559"/>
        <v>YAMAHA_Mounter</v>
      </c>
      <c r="AS1916" s="22" t="str">
        <f t="shared" si="560"/>
        <v/>
      </c>
      <c r="AT1916" s="24" t="str">
        <f t="shared" si="561"/>
        <v/>
      </c>
      <c r="AU1916" s="22" t="s">
        <v>3745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5"/>
        <v>1</v>
      </c>
      <c r="Z1917" s="18">
        <f t="shared" si="562"/>
        <v>10550000</v>
      </c>
      <c r="AA1917" s="13">
        <v>7.2400000000000006E-2</v>
      </c>
      <c r="AB1917" s="21">
        <f t="shared" si="566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48"/>
        <v>499582152.5142017</v>
      </c>
      <c r="AJ1917" s="19">
        <f t="shared" si="549"/>
        <v>59520528.679470733</v>
      </c>
      <c r="AK1917" s="20">
        <f t="shared" si="556"/>
        <v>0.11914062257814291</v>
      </c>
      <c r="AL1917" s="17"/>
      <c r="AM1917" s="17"/>
      <c r="AN1917" s="17"/>
      <c r="AO1917" s="17"/>
      <c r="AP1917" s="28" t="str">
        <f t="shared" si="557"/>
        <v>CancelCancel</v>
      </c>
      <c r="AQ1917" s="28" t="str">
        <f t="shared" si="558"/>
        <v>CancelCancelJPY</v>
      </c>
      <c r="AR1917" s="206" t="str">
        <f t="shared" si="559"/>
        <v>YAMAHA_Mounter</v>
      </c>
      <c r="AS1917" s="22" t="str">
        <f t="shared" si="560"/>
        <v/>
      </c>
      <c r="AT1917" s="24" t="str">
        <f t="shared" si="561"/>
        <v/>
      </c>
      <c r="AU1917" s="22" t="s">
        <v>3745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5"/>
        <v>1</v>
      </c>
      <c r="Z1918" s="18">
        <f t="shared" si="562"/>
        <v>10550000</v>
      </c>
      <c r="AA1918" s="13">
        <v>7.2400000000000006E-2</v>
      </c>
      <c r="AB1918" s="21">
        <f t="shared" si="566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48"/>
        <v>499582152.5142017</v>
      </c>
      <c r="AJ1918" s="19">
        <f t="shared" si="549"/>
        <v>59520528.679470733</v>
      </c>
      <c r="AK1918" s="20">
        <f t="shared" si="556"/>
        <v>0.11914062257814291</v>
      </c>
      <c r="AL1918" s="17"/>
      <c r="AM1918" s="17"/>
      <c r="AN1918" s="17"/>
      <c r="AO1918" s="17"/>
      <c r="AP1918" s="28" t="str">
        <f t="shared" si="557"/>
        <v>CancelCancel</v>
      </c>
      <c r="AQ1918" s="28" t="str">
        <f t="shared" si="558"/>
        <v>CancelCancelJPY</v>
      </c>
      <c r="AR1918" s="206" t="str">
        <f t="shared" si="559"/>
        <v>YAMAHA_Mounter</v>
      </c>
      <c r="AS1918" s="22" t="str">
        <f t="shared" si="560"/>
        <v/>
      </c>
      <c r="AT1918" s="24" t="str">
        <f t="shared" si="561"/>
        <v/>
      </c>
      <c r="AU1918" s="22" t="s">
        <v>3745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5"/>
        <v>1</v>
      </c>
      <c r="Z1919" s="18">
        <f t="shared" si="562"/>
        <v>10550000</v>
      </c>
      <c r="AA1919" s="13">
        <v>7.2400000000000006E-2</v>
      </c>
      <c r="AB1919" s="21">
        <f t="shared" si="566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48"/>
        <v>499582152.5142017</v>
      </c>
      <c r="AJ1919" s="19">
        <f t="shared" si="549"/>
        <v>59520528.679470733</v>
      </c>
      <c r="AK1919" s="20">
        <f t="shared" si="556"/>
        <v>0.11914062257814291</v>
      </c>
      <c r="AL1919" s="17"/>
      <c r="AM1919" s="17"/>
      <c r="AN1919" s="17"/>
      <c r="AO1919" s="17"/>
      <c r="AP1919" s="28" t="str">
        <f t="shared" si="557"/>
        <v>CancelCancel</v>
      </c>
      <c r="AQ1919" s="28" t="str">
        <f t="shared" si="558"/>
        <v>CancelCancelJPY</v>
      </c>
      <c r="AR1919" s="206" t="str">
        <f t="shared" si="559"/>
        <v>YAMAHA_Mounter</v>
      </c>
      <c r="AS1919" s="22" t="str">
        <f t="shared" si="560"/>
        <v/>
      </c>
      <c r="AT1919" s="24" t="str">
        <f t="shared" si="561"/>
        <v/>
      </c>
      <c r="AU1919" s="22" t="s">
        <v>3745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5"/>
        <v>1</v>
      </c>
      <c r="Z1920" s="18">
        <f t="shared" si="562"/>
        <v>10550000</v>
      </c>
      <c r="AA1920" s="13">
        <v>7.2400000000000006E-2</v>
      </c>
      <c r="AB1920" s="21">
        <f t="shared" si="566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48"/>
        <v>499582152.5142017</v>
      </c>
      <c r="AJ1920" s="19">
        <f t="shared" si="549"/>
        <v>59520528.679470733</v>
      </c>
      <c r="AK1920" s="20">
        <f t="shared" si="556"/>
        <v>0.11914062257814291</v>
      </c>
      <c r="AL1920" s="17"/>
      <c r="AM1920" s="17"/>
      <c r="AN1920" s="17"/>
      <c r="AO1920" s="17"/>
      <c r="AP1920" s="28" t="str">
        <f t="shared" si="557"/>
        <v>CancelCancel</v>
      </c>
      <c r="AQ1920" s="28" t="str">
        <f t="shared" si="558"/>
        <v>CancelCancelJPY</v>
      </c>
      <c r="AR1920" s="206" t="str">
        <f t="shared" si="559"/>
        <v>YAMAHA_Mounter</v>
      </c>
      <c r="AS1920" s="22" t="str">
        <f t="shared" si="560"/>
        <v/>
      </c>
      <c r="AT1920" s="24" t="str">
        <f t="shared" si="561"/>
        <v/>
      </c>
      <c r="AU1920" s="22" t="s">
        <v>3745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5"/>
        <v>1</v>
      </c>
      <c r="Z1921" s="18">
        <f t="shared" si="562"/>
        <v>10550000</v>
      </c>
      <c r="AA1921" s="13">
        <v>7.2400000000000006E-2</v>
      </c>
      <c r="AB1921" s="21">
        <f t="shared" si="566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48"/>
        <v>499582152.5142017</v>
      </c>
      <c r="AJ1921" s="19">
        <f t="shared" si="549"/>
        <v>59520528.679470733</v>
      </c>
      <c r="AK1921" s="20">
        <f t="shared" si="556"/>
        <v>0.11914062257814291</v>
      </c>
      <c r="AL1921" s="17"/>
      <c r="AM1921" s="17"/>
      <c r="AN1921" s="17"/>
      <c r="AO1921" s="17"/>
      <c r="AP1921" s="28" t="str">
        <f t="shared" si="557"/>
        <v>CancelCancel</v>
      </c>
      <c r="AQ1921" s="28" t="str">
        <f t="shared" si="558"/>
        <v>CancelCancelJPY</v>
      </c>
      <c r="AR1921" s="206" t="str">
        <f t="shared" si="559"/>
        <v>YAMAHA_Mounter</v>
      </c>
      <c r="AS1921" s="22" t="str">
        <f t="shared" si="560"/>
        <v/>
      </c>
      <c r="AT1921" s="24" t="str">
        <f t="shared" si="561"/>
        <v/>
      </c>
      <c r="AU1921" s="22" t="s">
        <v>3745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5"/>
        <v>1</v>
      </c>
      <c r="Z1922" s="18">
        <f t="shared" si="562"/>
        <v>6400000</v>
      </c>
      <c r="AA1922" s="13">
        <v>7.2400000000000006E-2</v>
      </c>
      <c r="AB1922" s="21">
        <f t="shared" si="566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67">IF(P1922="C66 SERVICE","",SUMIFS(AB:AB,F:F,F1922,G:G,G1922,E:E,E1922))</f>
        <v>499582152.5142017</v>
      </c>
      <c r="AJ1922" s="19">
        <f t="shared" ref="AJ1922:AJ1985" si="568">IF(P1922="C66 SERVICE","",SUMIFS(AC:AC,F:F,F1922,G:G,G1922,E:E,E1922))</f>
        <v>59520528.679470733</v>
      </c>
      <c r="AK1922" s="20">
        <f t="shared" si="556"/>
        <v>0.11914062257814291</v>
      </c>
      <c r="AL1922" s="17"/>
      <c r="AM1922" s="17"/>
      <c r="AN1922" s="17"/>
      <c r="AO1922" s="17"/>
      <c r="AP1922" s="28" t="str">
        <f t="shared" si="557"/>
        <v>CancelCancel</v>
      </c>
      <c r="AQ1922" s="28" t="str">
        <f t="shared" si="558"/>
        <v>CancelCancelJPY</v>
      </c>
      <c r="AR1922" s="206" t="str">
        <f t="shared" si="559"/>
        <v>YAMAHA_Mounter</v>
      </c>
      <c r="AS1922" s="22" t="str">
        <f t="shared" si="560"/>
        <v/>
      </c>
      <c r="AT1922" s="24" t="str">
        <f t="shared" si="561"/>
        <v/>
      </c>
      <c r="AU1922" s="22" t="s">
        <v>3745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5"/>
        <v>1</v>
      </c>
      <c r="Z1923" s="18">
        <f t="shared" si="562"/>
        <v>6400000</v>
      </c>
      <c r="AA1923" s="13">
        <v>7.2400000000000006E-2</v>
      </c>
      <c r="AB1923" s="21">
        <f t="shared" si="566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67"/>
        <v>499582152.5142017</v>
      </c>
      <c r="AJ1923" s="19">
        <f t="shared" si="568"/>
        <v>59520528.679470733</v>
      </c>
      <c r="AK1923" s="20">
        <f t="shared" si="556"/>
        <v>0.11914062257814291</v>
      </c>
      <c r="AL1923" s="17"/>
      <c r="AM1923" s="17"/>
      <c r="AN1923" s="17"/>
      <c r="AO1923" s="17"/>
      <c r="AP1923" s="28" t="str">
        <f t="shared" si="557"/>
        <v>CancelCancel</v>
      </c>
      <c r="AQ1923" s="28" t="str">
        <f t="shared" si="558"/>
        <v>CancelCancelJPY</v>
      </c>
      <c r="AR1923" s="206" t="str">
        <f t="shared" si="559"/>
        <v>YAMAHA_Mounter</v>
      </c>
      <c r="AS1923" s="22" t="str">
        <f t="shared" si="560"/>
        <v/>
      </c>
      <c r="AT1923" s="24" t="str">
        <f t="shared" si="561"/>
        <v/>
      </c>
      <c r="AU1923" s="22" t="s">
        <v>3745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5"/>
        <v>1</v>
      </c>
      <c r="Z1924" s="18">
        <f t="shared" si="562"/>
        <v>6400000</v>
      </c>
      <c r="AA1924" s="13">
        <v>7.2400000000000006E-2</v>
      </c>
      <c r="AB1924" s="21">
        <f t="shared" si="566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67"/>
        <v>499582152.5142017</v>
      </c>
      <c r="AJ1924" s="19">
        <f t="shared" si="568"/>
        <v>59520528.679470733</v>
      </c>
      <c r="AK1924" s="20">
        <f t="shared" si="556"/>
        <v>0.11914062257814291</v>
      </c>
      <c r="AL1924" s="17"/>
      <c r="AM1924" s="17"/>
      <c r="AN1924" s="17"/>
      <c r="AO1924" s="17"/>
      <c r="AP1924" s="28" t="str">
        <f t="shared" si="557"/>
        <v>CancelCancel</v>
      </c>
      <c r="AQ1924" s="28" t="str">
        <f t="shared" si="558"/>
        <v>CancelCancelJPY</v>
      </c>
      <c r="AR1924" s="206" t="str">
        <f t="shared" si="559"/>
        <v>YAMAHA_Mounter</v>
      </c>
      <c r="AS1924" s="22" t="str">
        <f t="shared" si="560"/>
        <v/>
      </c>
      <c r="AT1924" s="24" t="str">
        <f t="shared" si="561"/>
        <v/>
      </c>
      <c r="AU1924" s="22" t="s">
        <v>3745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2"/>
        <v>16833680</v>
      </c>
      <c r="AA1925" s="13">
        <v>7.2099999999999997E-2</v>
      </c>
      <c r="AB1925" s="21">
        <f t="shared" si="566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67"/>
        <v>26754147.763010349</v>
      </c>
      <c r="AJ1925" s="19">
        <f t="shared" si="568"/>
        <v>3429137.9965357962</v>
      </c>
      <c r="AK1925" s="20">
        <f t="shared" si="556"/>
        <v>0.12817220069617921</v>
      </c>
      <c r="AL1925" s="17"/>
      <c r="AM1925" s="17"/>
      <c r="AN1925" s="17"/>
      <c r="AO1925" s="17"/>
      <c r="AP1925" s="28" t="str">
        <f t="shared" si="557"/>
        <v>20188</v>
      </c>
      <c r="AQ1925" s="28" t="str">
        <f t="shared" si="558"/>
        <v>20188JPY</v>
      </c>
      <c r="AR1925" s="206" t="str">
        <f t="shared" si="559"/>
        <v>YAMAHA_Mounter</v>
      </c>
      <c r="AS1925" s="22">
        <f t="shared" si="560"/>
        <v>5</v>
      </c>
      <c r="AT1925" s="24" t="str">
        <f t="shared" si="561"/>
        <v>4-6 months</v>
      </c>
      <c r="AU1925" s="22" t="s">
        <v>3746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2"/>
        <v>14820000</v>
      </c>
      <c r="AA1926" s="13">
        <v>7.2300000000000003E-2</v>
      </c>
      <c r="AB1926" s="21">
        <f t="shared" si="566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67"/>
        <v>499582152.5142017</v>
      </c>
      <c r="AJ1926" s="19">
        <f t="shared" si="568"/>
        <v>59520528.679470733</v>
      </c>
      <c r="AK1926" s="20">
        <f t="shared" ref="AK1926:AK1989" si="575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6">IF(F1926="","",F1926&amp;G1926)</f>
        <v>CancelCancel</v>
      </c>
      <c r="AQ1926" s="28" t="str">
        <f t="shared" ref="AQ1926:AQ1989" si="577">IF(W1926="","",F1926&amp;G1926&amp;W1926)</f>
        <v>CancelCancelJPY</v>
      </c>
      <c r="AR1926" s="206" t="str">
        <f t="shared" ref="AR1926:AR1989" si="578">IFERROR(IF(AND(M1926="YAMAHA", R1926="C28"), "YAMAHA_Non_Mounter", IF(AND(M1926="YAMAHA", R1926="C49"), "YAMAHA_Mounter", M1926)),"")</f>
        <v>YAMAHA_Mounter</v>
      </c>
      <c r="AS1926" s="22" t="str">
        <f t="shared" ref="AS1926:AS1989" si="579">IFERROR(IF(OR(G1926="TBA", G1926=""), "", DATEDIF(DATE(B1926, C1926, 1), DATE(F1926, G1926, 1), "M")),"")</f>
        <v/>
      </c>
      <c r="AT1926" s="24" t="str">
        <f t="shared" ref="AT1926:AT1989" si="580">IF(ISNUMBER(AS1926), IF(AS1926&gt;=0, IF(AS1926&lt;=3, "0-3 months", IF(AS1926&lt;=6, "4-6 months", "&gt; 6 months"))), "")</f>
        <v/>
      </c>
      <c r="AU1926" s="22" t="s">
        <v>3746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2"/>
        <v>17593685</v>
      </c>
      <c r="AA1927" s="13">
        <v>7.3599999999999999E-2</v>
      </c>
      <c r="AB1927" s="21">
        <f t="shared" si="566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67"/>
        <v>33477255.428389374</v>
      </c>
      <c r="AJ1927" s="19">
        <f t="shared" si="568"/>
        <v>4578663.362915583</v>
      </c>
      <c r="AK1927" s="20">
        <f t="shared" si="575"/>
        <v>0.13676937682988152</v>
      </c>
      <c r="AL1927" s="17"/>
      <c r="AM1927" s="17"/>
      <c r="AN1927" s="17"/>
      <c r="AO1927" s="17"/>
      <c r="AP1927" s="28" t="str">
        <f t="shared" si="576"/>
        <v>20204</v>
      </c>
      <c r="AQ1927" s="28" t="str">
        <f t="shared" si="577"/>
        <v>20204JPY</v>
      </c>
      <c r="AR1927" s="206" t="str">
        <f t="shared" si="578"/>
        <v>YAMAHA_Mounter</v>
      </c>
      <c r="AS1927" s="22">
        <f t="shared" si="579"/>
        <v>1</v>
      </c>
      <c r="AT1927" s="24" t="str">
        <f t="shared" si="580"/>
        <v>0-3 months</v>
      </c>
      <c r="AU1927" s="22" t="s">
        <v>3745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2"/>
        <v>11200000</v>
      </c>
      <c r="AA1928" s="13">
        <v>7.2099999999999997E-2</v>
      </c>
      <c r="AB1928" s="21">
        <f t="shared" si="566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67"/>
        <v>54700260.692079648</v>
      </c>
      <c r="AJ1928" s="19">
        <f t="shared" si="568"/>
        <v>7482899.5749188727</v>
      </c>
      <c r="AK1928" s="20">
        <f t="shared" si="575"/>
        <v>0.13679824337660537</v>
      </c>
      <c r="AL1928" s="17"/>
      <c r="AM1928" s="17"/>
      <c r="AN1928" s="17"/>
      <c r="AO1928" s="17"/>
      <c r="AP1928" s="28" t="str">
        <f t="shared" si="576"/>
        <v>20216</v>
      </c>
      <c r="AQ1928" s="28" t="str">
        <f t="shared" si="577"/>
        <v>20216JPY</v>
      </c>
      <c r="AR1928" s="206" t="str">
        <f t="shared" si="578"/>
        <v>YAMAHA_Mounter</v>
      </c>
      <c r="AS1928" s="22">
        <f t="shared" si="579"/>
        <v>3</v>
      </c>
      <c r="AT1928" s="24" t="str">
        <f t="shared" si="580"/>
        <v>0-3 months</v>
      </c>
      <c r="AU1928" s="22" t="s">
        <v>3745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2"/>
        <v>900000</v>
      </c>
      <c r="AA1929" s="13">
        <v>1.22</v>
      </c>
      <c r="AB1929" s="21">
        <f t="shared" si="566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67"/>
        <v>46600814.041769907</v>
      </c>
      <c r="AJ1929" s="19">
        <f t="shared" si="568"/>
        <v>5956366.3435927071</v>
      </c>
      <c r="AK1929" s="20">
        <f t="shared" si="575"/>
        <v>0.1278167874546958</v>
      </c>
      <c r="AL1929" s="17"/>
      <c r="AM1929" s="17"/>
      <c r="AN1929" s="17"/>
      <c r="AO1929" s="17" t="s">
        <v>2148</v>
      </c>
      <c r="AP1929" s="28" t="str">
        <f t="shared" si="576"/>
        <v>20224</v>
      </c>
      <c r="AQ1929" s="28" t="str">
        <f t="shared" si="577"/>
        <v>20224RMB</v>
      </c>
      <c r="AR1929" s="206" t="str">
        <f t="shared" si="578"/>
        <v>YAMAHA_Mounter</v>
      </c>
      <c r="AS1929" s="22">
        <f t="shared" si="579"/>
        <v>1</v>
      </c>
      <c r="AT1929" s="24" t="str">
        <f t="shared" si="580"/>
        <v>0-3 months</v>
      </c>
      <c r="AU1929" s="22" t="s">
        <v>3751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1">IF(X1930="","",X1930*MAX(O1930,N1930))</f>
        <v>860640</v>
      </c>
      <c r="AA1930" s="13">
        <v>1.163</v>
      </c>
      <c r="AB1930" s="21">
        <f t="shared" si="566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67"/>
        <v>35073581.838938057</v>
      </c>
      <c r="AJ1930" s="19">
        <f t="shared" si="568"/>
        <v>5034113.9728989396</v>
      </c>
      <c r="AK1930" s="20">
        <f t="shared" si="575"/>
        <v>0.14353007902118958</v>
      </c>
      <c r="AL1930" s="17"/>
      <c r="AM1930" s="17"/>
      <c r="AN1930" s="17"/>
      <c r="AO1930" s="17"/>
      <c r="AP1930" s="28" t="str">
        <f t="shared" si="576"/>
        <v>20228</v>
      </c>
      <c r="AQ1930" s="28" t="str">
        <f t="shared" si="577"/>
        <v>20228RMB</v>
      </c>
      <c r="AR1930" s="206" t="str">
        <f t="shared" si="578"/>
        <v>YAMAHA_Mounter</v>
      </c>
      <c r="AS1930" s="22">
        <f t="shared" si="579"/>
        <v>1</v>
      </c>
      <c r="AT1930" s="24" t="str">
        <f t="shared" si="580"/>
        <v>0-3 months</v>
      </c>
      <c r="AU1930" s="22" t="s">
        <v>3751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1"/>
        <v>8500000</v>
      </c>
      <c r="AA1931" s="13">
        <v>7.6100000000000001E-2</v>
      </c>
      <c r="AB1931" s="21">
        <f t="shared" si="566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67"/>
        <v>48763143.537654862</v>
      </c>
      <c r="AJ1931" s="19">
        <f t="shared" si="568"/>
        <v>5924029.9702154724</v>
      </c>
      <c r="AK1931" s="20">
        <f t="shared" si="575"/>
        <v>0.1214858095774925</v>
      </c>
      <c r="AL1931" s="17"/>
      <c r="AM1931" s="17"/>
      <c r="AN1931" s="17"/>
      <c r="AO1931" s="17" t="s">
        <v>1440</v>
      </c>
      <c r="AP1931" s="28" t="str">
        <f t="shared" si="576"/>
        <v>202012</v>
      </c>
      <c r="AQ1931" s="28" t="str">
        <f t="shared" si="577"/>
        <v>202012JPY</v>
      </c>
      <c r="AR1931" s="206" t="str">
        <f t="shared" si="578"/>
        <v>YAMAHA_Mounter</v>
      </c>
      <c r="AS1931" s="22">
        <f t="shared" si="579"/>
        <v>3</v>
      </c>
      <c r="AT1931" s="24" t="str">
        <f t="shared" si="580"/>
        <v>0-3 months</v>
      </c>
      <c r="AU1931" s="22" t="s">
        <v>3745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1"/>
        <v>1200000</v>
      </c>
      <c r="AA1932" s="13">
        <v>1.095</v>
      </c>
      <c r="AB1932" s="21">
        <f t="shared" si="566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67"/>
        <v>28647263.974455759</v>
      </c>
      <c r="AJ1932" s="19">
        <f t="shared" si="568"/>
        <v>3219855.6912513468</v>
      </c>
      <c r="AK1932" s="20">
        <f t="shared" si="575"/>
        <v>0.11239662168514358</v>
      </c>
      <c r="AL1932" s="17"/>
      <c r="AM1932" s="17"/>
      <c r="AN1932" s="17"/>
      <c r="AO1932" s="17"/>
      <c r="AP1932" s="28" t="str">
        <f t="shared" si="576"/>
        <v>201910</v>
      </c>
      <c r="AQ1932" s="28" t="str">
        <f t="shared" si="577"/>
        <v>201910RMB</v>
      </c>
      <c r="AR1932" s="206" t="str">
        <f t="shared" si="578"/>
        <v>YAMAHA_Mounter</v>
      </c>
      <c r="AS1932" s="22">
        <f t="shared" si="579"/>
        <v>2</v>
      </c>
      <c r="AT1932" s="24" t="str">
        <f t="shared" si="580"/>
        <v>0-3 months</v>
      </c>
      <c r="AU1932" s="22" t="s">
        <v>3744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1"/>
        <v>800000</v>
      </c>
      <c r="AA1933" s="13">
        <v>1.095</v>
      </c>
      <c r="AB1933" s="21">
        <f t="shared" si="566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67"/>
        <v>28647263.974455759</v>
      </c>
      <c r="AJ1933" s="19">
        <f t="shared" si="568"/>
        <v>3219855.6912513468</v>
      </c>
      <c r="AK1933" s="20">
        <f t="shared" si="575"/>
        <v>0.11239662168514358</v>
      </c>
      <c r="AL1933" s="17"/>
      <c r="AM1933" s="17"/>
      <c r="AN1933" s="17"/>
      <c r="AO1933" s="17"/>
      <c r="AP1933" s="28" t="str">
        <f t="shared" si="576"/>
        <v>201910</v>
      </c>
      <c r="AQ1933" s="28" t="str">
        <f t="shared" si="577"/>
        <v>201910RMB</v>
      </c>
      <c r="AR1933" s="206" t="str">
        <f t="shared" si="578"/>
        <v>YAMAHA_Mounter</v>
      </c>
      <c r="AS1933" s="22">
        <f t="shared" si="579"/>
        <v>2</v>
      </c>
      <c r="AT1933" s="24" t="str">
        <f t="shared" si="580"/>
        <v>0-3 months</v>
      </c>
      <c r="AU1933" s="22" t="s">
        <v>3744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1"/>
        <v>800000</v>
      </c>
      <c r="AA1934" s="13">
        <v>1.095</v>
      </c>
      <c r="AB1934" s="21">
        <f t="shared" si="566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67"/>
        <v>28647263.974455759</v>
      </c>
      <c r="AJ1934" s="19">
        <f t="shared" si="568"/>
        <v>3219855.6912513468</v>
      </c>
      <c r="AK1934" s="20">
        <f t="shared" si="575"/>
        <v>0.11239662168514358</v>
      </c>
      <c r="AL1934" s="17"/>
      <c r="AM1934" s="17"/>
      <c r="AN1934" s="17"/>
      <c r="AO1934" s="17"/>
      <c r="AP1934" s="28" t="str">
        <f t="shared" si="576"/>
        <v>201910</v>
      </c>
      <c r="AQ1934" s="28" t="str">
        <f t="shared" si="577"/>
        <v>201910RMB</v>
      </c>
      <c r="AR1934" s="206" t="str">
        <f t="shared" si="578"/>
        <v>YAMAHA_Mounter</v>
      </c>
      <c r="AS1934" s="22">
        <f t="shared" si="579"/>
        <v>2</v>
      </c>
      <c r="AT1934" s="24" t="str">
        <f t="shared" si="580"/>
        <v>0-3 months</v>
      </c>
      <c r="AU1934" s="22" t="s">
        <v>3744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1"/>
        <v>12800000</v>
      </c>
      <c r="AA1935" s="22">
        <v>5.0999999999999997E-2</v>
      </c>
      <c r="AB1935" s="197">
        <f t="shared" si="566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67"/>
        <v>27308925.887079656</v>
      </c>
      <c r="AJ1935" s="200">
        <f t="shared" si="568"/>
        <v>3319273.860338124</v>
      </c>
      <c r="AK1935" s="201">
        <f t="shared" si="575"/>
        <v>0.12154538314919709</v>
      </c>
      <c r="AL1935" s="24"/>
      <c r="AM1935" s="24"/>
      <c r="AN1935" s="24"/>
      <c r="AO1935" s="24"/>
      <c r="AP1935" s="28" t="str">
        <f t="shared" si="576"/>
        <v>20246</v>
      </c>
      <c r="AQ1935" s="28" t="str">
        <f t="shared" si="577"/>
        <v>20246JPY</v>
      </c>
      <c r="AR1935" s="206" t="str">
        <f t="shared" si="578"/>
        <v>YAMAHA_Mounter</v>
      </c>
      <c r="AS1935" s="22">
        <f t="shared" si="579"/>
        <v>1</v>
      </c>
      <c r="AT1935" s="24" t="str">
        <f t="shared" si="580"/>
        <v>0-3 months</v>
      </c>
      <c r="AU1935" s="22" t="s">
        <v>3745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1"/>
        <v>6750000</v>
      </c>
      <c r="AA1936" s="22">
        <v>5.0999999999999997E-2</v>
      </c>
      <c r="AB1936" s="21">
        <f t="shared" si="566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67"/>
        <v>27308925.887079656</v>
      </c>
      <c r="AJ1936" s="27">
        <f t="shared" si="568"/>
        <v>3319273.860338124</v>
      </c>
      <c r="AK1936" s="28">
        <f t="shared" si="575"/>
        <v>0.12154538314919709</v>
      </c>
      <c r="AL1936" s="24"/>
      <c r="AM1936" s="24"/>
      <c r="AN1936" s="24"/>
      <c r="AO1936" s="24"/>
      <c r="AP1936" s="28" t="str">
        <f t="shared" si="576"/>
        <v>20246</v>
      </c>
      <c r="AQ1936" s="28" t="str">
        <f t="shared" si="577"/>
        <v>20246JPY</v>
      </c>
      <c r="AR1936" s="206" t="str">
        <f t="shared" si="578"/>
        <v>YAMAHA_Mounter</v>
      </c>
      <c r="AS1936" s="22">
        <f t="shared" si="579"/>
        <v>2</v>
      </c>
      <c r="AT1936" s="24" t="str">
        <f t="shared" si="580"/>
        <v>0-3 months</v>
      </c>
      <c r="AU1936" s="22" t="s">
        <v>3745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1"/>
        <v>12000000</v>
      </c>
      <c r="AA1937" s="22">
        <v>5.0999999999999997E-2</v>
      </c>
      <c r="AB1937" s="21">
        <f t="shared" si="566"/>
        <v>612000</v>
      </c>
      <c r="AC1937" s="25">
        <f t="shared" si="573"/>
        <v>50428.800000000003</v>
      </c>
      <c r="AD1937" s="22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67"/>
        <v>27308925.887079656</v>
      </c>
      <c r="AJ1937" s="27">
        <f t="shared" si="568"/>
        <v>3319273.860338124</v>
      </c>
      <c r="AK1937" s="28">
        <f t="shared" si="575"/>
        <v>0.12154538314919709</v>
      </c>
      <c r="AL1937" s="24"/>
      <c r="AM1937" s="24"/>
      <c r="AN1937" s="24"/>
      <c r="AO1937" s="24"/>
      <c r="AP1937" s="28" t="str">
        <f t="shared" si="576"/>
        <v>20246</v>
      </c>
      <c r="AQ1937" s="28" t="str">
        <f t="shared" si="577"/>
        <v>20246JPY</v>
      </c>
      <c r="AR1937" s="206" t="str">
        <f t="shared" si="578"/>
        <v>YAMAHA_Mounter</v>
      </c>
      <c r="AS1937" s="22">
        <f t="shared" si="579"/>
        <v>2</v>
      </c>
      <c r="AT1937" s="24" t="str">
        <f t="shared" si="580"/>
        <v>0-3 months</v>
      </c>
      <c r="AU1937" s="22" t="s">
        <v>3745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1"/>
        <v>12000000</v>
      </c>
      <c r="AA1938" s="22">
        <v>5.0999999999999997E-2</v>
      </c>
      <c r="AB1938" s="21">
        <f t="shared" si="566"/>
        <v>612000</v>
      </c>
      <c r="AC1938" s="25">
        <f t="shared" si="573"/>
        <v>50428.800000000003</v>
      </c>
      <c r="AD1938" s="22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67"/>
        <v>27308925.887079656</v>
      </c>
      <c r="AJ1938" s="27">
        <f t="shared" si="568"/>
        <v>3319273.860338124</v>
      </c>
      <c r="AK1938" s="28">
        <f t="shared" si="575"/>
        <v>0.12154538314919709</v>
      </c>
      <c r="AL1938" s="24"/>
      <c r="AM1938" s="24"/>
      <c r="AN1938" s="24"/>
      <c r="AO1938" s="24"/>
      <c r="AP1938" s="28" t="str">
        <f t="shared" si="576"/>
        <v>20246</v>
      </c>
      <c r="AQ1938" s="28" t="str">
        <f t="shared" si="577"/>
        <v>20246JPY</v>
      </c>
      <c r="AR1938" s="206" t="str">
        <f t="shared" si="578"/>
        <v>YAMAHA_Mounter</v>
      </c>
      <c r="AS1938" s="22">
        <f t="shared" si="579"/>
        <v>2</v>
      </c>
      <c r="AT1938" s="24" t="str">
        <f t="shared" si="580"/>
        <v>0-3 months</v>
      </c>
      <c r="AU1938" s="22" t="s">
        <v>3745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2">IF(W1939="RMB","1.13", "1")</f>
        <v>1</v>
      </c>
      <c r="Z1939" s="18">
        <f t="shared" si="581"/>
        <v>11800000</v>
      </c>
      <c r="AA1939" s="13">
        <v>6.9199999999999998E-2</v>
      </c>
      <c r="AB1939" s="21">
        <f t="shared" si="566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67"/>
        <v>26407088.359292038</v>
      </c>
      <c r="AJ1939" s="19">
        <f t="shared" si="568"/>
        <v>3424510.6998470789</v>
      </c>
      <c r="AK1939" s="20">
        <f t="shared" si="575"/>
        <v>0.12968149510667554</v>
      </c>
      <c r="AL1939" s="17"/>
      <c r="AM1939" s="17"/>
      <c r="AN1939" s="17"/>
      <c r="AO1939" s="17"/>
      <c r="AP1939" s="28" t="str">
        <f t="shared" si="576"/>
        <v>20221</v>
      </c>
      <c r="AQ1939" s="28" t="str">
        <f t="shared" si="577"/>
        <v>20221JPY</v>
      </c>
      <c r="AR1939" s="206" t="str">
        <f t="shared" si="578"/>
        <v>YAMAHA_Mounter</v>
      </c>
      <c r="AS1939" s="22">
        <f t="shared" si="579"/>
        <v>10</v>
      </c>
      <c r="AT1939" s="24" t="str">
        <f t="shared" si="580"/>
        <v>&gt; 6 months</v>
      </c>
      <c r="AU1939" s="22" t="s">
        <v>3746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2"/>
        <v>1</v>
      </c>
      <c r="Z1940" s="18">
        <f t="shared" si="581"/>
        <v>8000000</v>
      </c>
      <c r="AA1940" s="13">
        <v>6.9199999999999998E-2</v>
      </c>
      <c r="AB1940" s="21">
        <f t="shared" si="566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67"/>
        <v>28726768.133805312</v>
      </c>
      <c r="AJ1940" s="19">
        <f t="shared" si="568"/>
        <v>3853638.1988864429</v>
      </c>
      <c r="AK1940" s="20">
        <f t="shared" si="575"/>
        <v>0.1341479898099476</v>
      </c>
      <c r="AL1940" s="17"/>
      <c r="AM1940" s="17"/>
      <c r="AN1940" s="17"/>
      <c r="AO1940" s="17"/>
      <c r="AP1940" s="28" t="str">
        <f t="shared" si="576"/>
        <v>20223</v>
      </c>
      <c r="AQ1940" s="28" t="str">
        <f t="shared" si="577"/>
        <v>20223JPY</v>
      </c>
      <c r="AR1940" s="206" t="str">
        <f t="shared" si="578"/>
        <v>YAMAHA_Mounter</v>
      </c>
      <c r="AS1940" s="22">
        <f t="shared" si="579"/>
        <v>12</v>
      </c>
      <c r="AT1940" s="24" t="str">
        <f t="shared" si="580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2"/>
        <v>1</v>
      </c>
      <c r="Z1941" s="18">
        <f t="shared" si="581"/>
        <v>12600000</v>
      </c>
      <c r="AA1941" s="13">
        <v>5.5399999999999998E-2</v>
      </c>
      <c r="AB1941" s="21">
        <f t="shared" si="566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67"/>
        <v>22717528.991150443</v>
      </c>
      <c r="AJ1941" s="19">
        <f t="shared" si="568"/>
        <v>3947747.192555753</v>
      </c>
      <c r="AK1941" s="20">
        <f t="shared" si="575"/>
        <v>0.1737753782153679</v>
      </c>
      <c r="AL1941" s="17"/>
      <c r="AM1941" s="17"/>
      <c r="AN1941" s="17"/>
      <c r="AO1941" s="17"/>
      <c r="AP1941" s="28" t="str">
        <f t="shared" si="576"/>
        <v>202210</v>
      </c>
      <c r="AQ1941" s="28" t="str">
        <f t="shared" si="577"/>
        <v>202210JPY</v>
      </c>
      <c r="AR1941" s="206" t="str">
        <f t="shared" si="578"/>
        <v>YAMAHA_Mounter</v>
      </c>
      <c r="AS1941" s="22">
        <f t="shared" si="579"/>
        <v>1</v>
      </c>
      <c r="AT1941" s="24" t="str">
        <f t="shared" si="580"/>
        <v>0-3 months</v>
      </c>
      <c r="AU1941" s="22" t="s">
        <v>3745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2"/>
        <v>1</v>
      </c>
      <c r="Z1942" s="18">
        <f t="shared" si="581"/>
        <v>7600000</v>
      </c>
      <c r="AA1942" s="13">
        <v>5.5399999999999998E-2</v>
      </c>
      <c r="AB1942" s="21">
        <f t="shared" si="566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67"/>
        <v>22717528.991150443</v>
      </c>
      <c r="AJ1942" s="19">
        <f t="shared" si="568"/>
        <v>3947747.192555753</v>
      </c>
      <c r="AK1942" s="20">
        <f t="shared" si="575"/>
        <v>0.1737753782153679</v>
      </c>
      <c r="AL1942" s="17"/>
      <c r="AM1942" s="17"/>
      <c r="AN1942" s="17"/>
      <c r="AO1942" s="17"/>
      <c r="AP1942" s="28" t="str">
        <f t="shared" si="576"/>
        <v>202210</v>
      </c>
      <c r="AQ1942" s="28" t="str">
        <f t="shared" si="577"/>
        <v>202210JPY</v>
      </c>
      <c r="AR1942" s="206" t="str">
        <f t="shared" si="578"/>
        <v>YAMAHA_Mounter</v>
      </c>
      <c r="AS1942" s="22">
        <f t="shared" si="579"/>
        <v>1</v>
      </c>
      <c r="AT1942" s="24" t="str">
        <f t="shared" si="580"/>
        <v>0-3 months</v>
      </c>
      <c r="AU1942" s="22" t="s">
        <v>3745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2"/>
        <v>1</v>
      </c>
      <c r="Z1943" s="18">
        <f t="shared" si="581"/>
        <v>7600000</v>
      </c>
      <c r="AA1943" s="13">
        <v>5.5399999999999998E-2</v>
      </c>
      <c r="AB1943" s="21">
        <f t="shared" si="566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67"/>
        <v>22717528.991150443</v>
      </c>
      <c r="AJ1943" s="19">
        <f t="shared" si="568"/>
        <v>3947747.192555753</v>
      </c>
      <c r="AK1943" s="20">
        <f t="shared" si="575"/>
        <v>0.1737753782153679</v>
      </c>
      <c r="AL1943" s="17"/>
      <c r="AM1943" s="17"/>
      <c r="AN1943" s="17"/>
      <c r="AO1943" s="17"/>
      <c r="AP1943" s="28" t="str">
        <f t="shared" si="576"/>
        <v>202210</v>
      </c>
      <c r="AQ1943" s="28" t="str">
        <f t="shared" si="577"/>
        <v>202210JPY</v>
      </c>
      <c r="AR1943" s="206" t="str">
        <f t="shared" si="578"/>
        <v>YAMAHA_Mounter</v>
      </c>
      <c r="AS1943" s="22">
        <f t="shared" si="579"/>
        <v>1</v>
      </c>
      <c r="AT1943" s="24" t="str">
        <f t="shared" si="580"/>
        <v>0-3 months</v>
      </c>
      <c r="AU1943" s="22" t="s">
        <v>3745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2"/>
        <v>1</v>
      </c>
      <c r="Z1944" s="18">
        <f t="shared" si="581"/>
        <v>7600000</v>
      </c>
      <c r="AA1944" s="13">
        <v>5.5399999999999998E-2</v>
      </c>
      <c r="AB1944" s="21">
        <f t="shared" si="566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67"/>
        <v>22717528.991150443</v>
      </c>
      <c r="AJ1944" s="19">
        <f t="shared" si="568"/>
        <v>3947747.192555753</v>
      </c>
      <c r="AK1944" s="20">
        <f t="shared" si="575"/>
        <v>0.1737753782153679</v>
      </c>
      <c r="AL1944" s="17"/>
      <c r="AM1944" s="17"/>
      <c r="AN1944" s="17"/>
      <c r="AO1944" s="17"/>
      <c r="AP1944" s="28" t="str">
        <f t="shared" si="576"/>
        <v>202210</v>
      </c>
      <c r="AQ1944" s="28" t="str">
        <f t="shared" si="577"/>
        <v>202210JPY</v>
      </c>
      <c r="AR1944" s="206" t="str">
        <f t="shared" si="578"/>
        <v>YAMAHA_Mounter</v>
      </c>
      <c r="AS1944" s="22">
        <f t="shared" si="579"/>
        <v>1</v>
      </c>
      <c r="AT1944" s="24" t="str">
        <f t="shared" si="580"/>
        <v>0-3 months</v>
      </c>
      <c r="AU1944" s="22" t="s">
        <v>3745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1"/>
        <v>9098400</v>
      </c>
      <c r="AA1945" s="13">
        <v>7.3200000000000001E-2</v>
      </c>
      <c r="AB1945" s="21">
        <f t="shared" si="566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67"/>
        <v>13250187.062905986</v>
      </c>
      <c r="AJ1945" s="19">
        <f t="shared" si="568"/>
        <v>1545643.7555487182</v>
      </c>
      <c r="AK1945" s="20">
        <f t="shared" si="575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6"/>
        <v>20183</v>
      </c>
      <c r="AQ1945" s="28" t="str">
        <f t="shared" si="577"/>
        <v>20183JPY</v>
      </c>
      <c r="AR1945" s="206" t="str">
        <f t="shared" si="578"/>
        <v>YAMAHA_Mounter</v>
      </c>
      <c r="AS1945" s="22">
        <f t="shared" si="579"/>
        <v>0</v>
      </c>
      <c r="AT1945" s="24" t="str">
        <f t="shared" si="580"/>
        <v>0-3 months</v>
      </c>
      <c r="AU1945" s="22" t="s">
        <v>3745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1"/>
        <v>9098400</v>
      </c>
      <c r="AA1946" s="13">
        <v>7.3200000000000001E-2</v>
      </c>
      <c r="AB1946" s="21">
        <f t="shared" si="566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67"/>
        <v>499582152.5142017</v>
      </c>
      <c r="AJ1946" s="19">
        <f t="shared" si="568"/>
        <v>59520528.679470733</v>
      </c>
      <c r="AK1946" s="20">
        <f t="shared" si="575"/>
        <v>0.11914062257814291</v>
      </c>
      <c r="AL1946" s="17"/>
      <c r="AM1946" s="17"/>
      <c r="AN1946" s="17"/>
      <c r="AO1946" s="17"/>
      <c r="AP1946" s="28" t="str">
        <f t="shared" si="576"/>
        <v>CancelCancel</v>
      </c>
      <c r="AQ1946" s="28" t="str">
        <f t="shared" si="577"/>
        <v>CancelCancelJPY</v>
      </c>
      <c r="AR1946" s="206" t="str">
        <f t="shared" si="578"/>
        <v>YAMAHA_Mounter</v>
      </c>
      <c r="AS1946" s="22" t="str">
        <f t="shared" si="579"/>
        <v/>
      </c>
      <c r="AT1946" s="24" t="str">
        <f t="shared" si="580"/>
        <v/>
      </c>
      <c r="AU1946" s="22" t="s">
        <v>3745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1"/>
        <v>12293400</v>
      </c>
      <c r="AA1947" s="13">
        <v>7.22E-2</v>
      </c>
      <c r="AB1947" s="21">
        <f t="shared" si="566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67"/>
        <v>47416008.333399981</v>
      </c>
      <c r="AJ1947" s="19">
        <f t="shared" si="568"/>
        <v>6981738.4465290187</v>
      </c>
      <c r="AK1947" s="20">
        <f t="shared" si="575"/>
        <v>0.14724433143839863</v>
      </c>
      <c r="AL1947" s="17"/>
      <c r="AM1947" s="17"/>
      <c r="AN1947" s="17"/>
      <c r="AO1947" s="17"/>
      <c r="AP1947" s="28" t="str">
        <f t="shared" si="576"/>
        <v>20193</v>
      </c>
      <c r="AQ1947" s="28" t="str">
        <f t="shared" si="577"/>
        <v>20193JPY</v>
      </c>
      <c r="AR1947" s="206" t="str">
        <f t="shared" si="578"/>
        <v>YAMAHA_Mounter</v>
      </c>
      <c r="AS1947" s="22">
        <f t="shared" si="579"/>
        <v>0</v>
      </c>
      <c r="AT1947" s="24" t="str">
        <f t="shared" si="580"/>
        <v>0-3 months</v>
      </c>
      <c r="AU1947" s="22" t="s">
        <v>3745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1"/>
        <v>9563000</v>
      </c>
      <c r="AA1948" s="13">
        <v>7.22E-2</v>
      </c>
      <c r="AB1948" s="21">
        <f t="shared" si="566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67"/>
        <v>47416008.333399981</v>
      </c>
      <c r="AJ1948" s="19">
        <f t="shared" si="568"/>
        <v>6981738.4465290187</v>
      </c>
      <c r="AK1948" s="20">
        <f t="shared" si="575"/>
        <v>0.14724433143839863</v>
      </c>
      <c r="AL1948" s="17"/>
      <c r="AM1948" s="17"/>
      <c r="AN1948" s="17"/>
      <c r="AO1948" s="17"/>
      <c r="AP1948" s="28" t="str">
        <f t="shared" si="576"/>
        <v>20193</v>
      </c>
      <c r="AQ1948" s="28" t="str">
        <f t="shared" si="577"/>
        <v>20193JPY</v>
      </c>
      <c r="AR1948" s="206" t="str">
        <f t="shared" si="578"/>
        <v>YAMAHA_Mounter</v>
      </c>
      <c r="AS1948" s="22">
        <f t="shared" si="579"/>
        <v>0</v>
      </c>
      <c r="AT1948" s="24" t="str">
        <f t="shared" si="580"/>
        <v>0-3 months</v>
      </c>
      <c r="AU1948" s="22" t="s">
        <v>3745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1"/>
        <v>9300000</v>
      </c>
      <c r="AA1949" s="13">
        <v>7.6100000000000001E-2</v>
      </c>
      <c r="AB1949" s="21">
        <f t="shared" si="566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67"/>
        <v>44078731.611185849</v>
      </c>
      <c r="AJ1949" s="19">
        <f t="shared" si="568"/>
        <v>5508173.2163771465</v>
      </c>
      <c r="AK1949" s="20">
        <f t="shared" si="575"/>
        <v>0.12496215328889679</v>
      </c>
      <c r="AL1949" s="17"/>
      <c r="AM1949" s="17"/>
      <c r="AN1949" s="17"/>
      <c r="AO1949" s="17"/>
      <c r="AP1949" s="28" t="str">
        <f t="shared" si="576"/>
        <v>202011</v>
      </c>
      <c r="AQ1949" s="28" t="str">
        <f t="shared" si="577"/>
        <v>202011JPY</v>
      </c>
      <c r="AR1949" s="206" t="str">
        <f t="shared" si="578"/>
        <v>YAMAHA_Mounter</v>
      </c>
      <c r="AS1949" s="22">
        <f t="shared" si="579"/>
        <v>4</v>
      </c>
      <c r="AT1949" s="24" t="str">
        <f t="shared" si="580"/>
        <v>4-6 months</v>
      </c>
      <c r="AU1949" s="22" t="s">
        <v>3745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1"/>
        <v>13000000</v>
      </c>
      <c r="AA1950" s="13">
        <v>7.17E-2</v>
      </c>
      <c r="AB1950" s="21">
        <f t="shared" si="566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67"/>
        <v>43684091.636631854</v>
      </c>
      <c r="AJ1950" s="19">
        <f t="shared" si="568"/>
        <v>6483951.8242071122</v>
      </c>
      <c r="AK1950" s="20">
        <f t="shared" si="575"/>
        <v>0.14842821680123736</v>
      </c>
      <c r="AL1950" s="17"/>
      <c r="AM1950" s="17"/>
      <c r="AN1950" s="17"/>
      <c r="AO1950" s="17"/>
      <c r="AP1950" s="28" t="str">
        <f t="shared" si="576"/>
        <v>20214</v>
      </c>
      <c r="AQ1950" s="28" t="str">
        <f t="shared" si="577"/>
        <v>20214JPY</v>
      </c>
      <c r="AR1950" s="206" t="str">
        <f t="shared" si="578"/>
        <v>YAMAHA_Mounter</v>
      </c>
      <c r="AS1950" s="22">
        <f t="shared" si="579"/>
        <v>4</v>
      </c>
      <c r="AT1950" s="24" t="str">
        <f t="shared" si="580"/>
        <v>4-6 months</v>
      </c>
      <c r="AU1950" s="22" t="s">
        <v>3745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1"/>
        <v>9000000</v>
      </c>
      <c r="AA1951" s="13">
        <v>7.3499999999999996E-2</v>
      </c>
      <c r="AB1951" s="21">
        <f t="shared" si="566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67"/>
        <v>26147030.909862842</v>
      </c>
      <c r="AJ1951" s="19">
        <f t="shared" si="568"/>
        <v>2743862.8630715334</v>
      </c>
      <c r="AK1951" s="20">
        <f t="shared" si="575"/>
        <v>0.10493974908778378</v>
      </c>
      <c r="AL1951" s="17"/>
      <c r="AM1951" s="17"/>
      <c r="AN1951" s="17"/>
      <c r="AO1951" s="17"/>
      <c r="AP1951" s="28" t="str">
        <f t="shared" si="576"/>
        <v>201911</v>
      </c>
      <c r="AQ1951" s="28" t="str">
        <f t="shared" si="577"/>
        <v>201911JPY</v>
      </c>
      <c r="AR1951" s="206" t="str">
        <f t="shared" si="578"/>
        <v>YAMAHA_Mounter</v>
      </c>
      <c r="AS1951" s="22">
        <f t="shared" si="579"/>
        <v>0</v>
      </c>
      <c r="AT1951" s="24" t="str">
        <f t="shared" si="580"/>
        <v>0-3 months</v>
      </c>
      <c r="AU1951" s="22" t="s">
        <v>3746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1"/>
        <v>12900000</v>
      </c>
      <c r="AA1952" s="13">
        <v>7.3499999999999996E-2</v>
      </c>
      <c r="AB1952" s="21">
        <f t="shared" si="566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67"/>
        <v>26147030.909862842</v>
      </c>
      <c r="AJ1952" s="19">
        <f t="shared" si="568"/>
        <v>2743862.8630715334</v>
      </c>
      <c r="AK1952" s="20">
        <f t="shared" si="575"/>
        <v>0.10493974908778378</v>
      </c>
      <c r="AL1952" s="17"/>
      <c r="AM1952" s="17"/>
      <c r="AN1952" s="17"/>
      <c r="AO1952" s="17"/>
      <c r="AP1952" s="28" t="str">
        <f t="shared" si="576"/>
        <v>201911</v>
      </c>
      <c r="AQ1952" s="28" t="str">
        <f t="shared" si="577"/>
        <v>201911JPY</v>
      </c>
      <c r="AR1952" s="206" t="str">
        <f t="shared" si="578"/>
        <v>YAMAHA_Mounter</v>
      </c>
      <c r="AS1952" s="22">
        <f t="shared" si="579"/>
        <v>0</v>
      </c>
      <c r="AT1952" s="24" t="str">
        <f t="shared" si="580"/>
        <v>0-3 months</v>
      </c>
      <c r="AU1952" s="22" t="s">
        <v>3746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1"/>
        <v>12900000</v>
      </c>
      <c r="AA1953" s="13">
        <v>7.3499999999999996E-2</v>
      </c>
      <c r="AB1953" s="21">
        <f t="shared" si="566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67"/>
        <v>26147030.909862842</v>
      </c>
      <c r="AJ1953" s="19">
        <f t="shared" si="568"/>
        <v>2743862.8630715334</v>
      </c>
      <c r="AK1953" s="20">
        <f t="shared" si="575"/>
        <v>0.10493974908778378</v>
      </c>
      <c r="AL1953" s="17"/>
      <c r="AM1953" s="17"/>
      <c r="AN1953" s="17"/>
      <c r="AO1953" s="17"/>
      <c r="AP1953" s="28" t="str">
        <f t="shared" si="576"/>
        <v>201911</v>
      </c>
      <c r="AQ1953" s="28" t="str">
        <f t="shared" si="577"/>
        <v>201911JPY</v>
      </c>
      <c r="AR1953" s="206" t="str">
        <f t="shared" si="578"/>
        <v>YAMAHA_Mounter</v>
      </c>
      <c r="AS1953" s="22">
        <f t="shared" si="579"/>
        <v>0</v>
      </c>
      <c r="AT1953" s="24" t="str">
        <f t="shared" si="580"/>
        <v>0-3 months</v>
      </c>
      <c r="AU1953" s="22" t="s">
        <v>3746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1"/>
        <v>9000000</v>
      </c>
      <c r="AA1954" s="13">
        <v>7.1599999999999997E-2</v>
      </c>
      <c r="AB1954" s="21">
        <f t="shared" si="566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67"/>
        <v>499582152.5142017</v>
      </c>
      <c r="AJ1954" s="19">
        <f t="shared" si="568"/>
        <v>59520528.679470733</v>
      </c>
      <c r="AK1954" s="20">
        <f t="shared" si="575"/>
        <v>0.11914062257814291</v>
      </c>
      <c r="AL1954" s="17"/>
      <c r="AM1954" s="17"/>
      <c r="AN1954" s="17"/>
      <c r="AO1954" s="17"/>
      <c r="AP1954" s="28" t="str">
        <f t="shared" si="576"/>
        <v>CancelCancel</v>
      </c>
      <c r="AQ1954" s="28" t="str">
        <f t="shared" si="577"/>
        <v>CancelCancelJPY</v>
      </c>
      <c r="AR1954" s="206" t="str">
        <f t="shared" si="578"/>
        <v>YAMAHA_Mounter</v>
      </c>
      <c r="AS1954" s="22" t="str">
        <f t="shared" si="579"/>
        <v/>
      </c>
      <c r="AT1954" s="24" t="str">
        <f t="shared" si="580"/>
        <v/>
      </c>
      <c r="AU1954" s="22" t="s">
        <v>3746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1"/>
        <v>13500000</v>
      </c>
      <c r="AA1955" s="13">
        <v>7.1599999999999997E-2</v>
      </c>
      <c r="AB1955" s="21">
        <f t="shared" si="566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67"/>
        <v>499582152.5142017</v>
      </c>
      <c r="AJ1955" s="19">
        <f t="shared" si="568"/>
        <v>59520528.679470733</v>
      </c>
      <c r="AK1955" s="20">
        <f t="shared" si="575"/>
        <v>0.11914062257814291</v>
      </c>
      <c r="AL1955" s="17"/>
      <c r="AM1955" s="17"/>
      <c r="AN1955" s="17"/>
      <c r="AO1955" s="17"/>
      <c r="AP1955" s="28" t="str">
        <f t="shared" si="576"/>
        <v>CancelCancel</v>
      </c>
      <c r="AQ1955" s="28" t="str">
        <f t="shared" si="577"/>
        <v>CancelCancelJPY</v>
      </c>
      <c r="AR1955" s="206" t="str">
        <f t="shared" si="578"/>
        <v>YAMAHA_Mounter</v>
      </c>
      <c r="AS1955" s="22" t="str">
        <f t="shared" si="579"/>
        <v/>
      </c>
      <c r="AT1955" s="24" t="str">
        <f t="shared" si="580"/>
        <v/>
      </c>
      <c r="AU1955" s="22" t="s">
        <v>3746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1"/>
        <v>13500000</v>
      </c>
      <c r="AA1956" s="13">
        <v>7.1599999999999997E-2</v>
      </c>
      <c r="AB1956" s="21">
        <f t="shared" si="566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67"/>
        <v>499582152.5142017</v>
      </c>
      <c r="AJ1956" s="19">
        <f t="shared" si="568"/>
        <v>59520528.679470733</v>
      </c>
      <c r="AK1956" s="20">
        <f t="shared" si="575"/>
        <v>0.11914062257814291</v>
      </c>
      <c r="AL1956" s="17"/>
      <c r="AM1956" s="17"/>
      <c r="AN1956" s="17"/>
      <c r="AO1956" s="17"/>
      <c r="AP1956" s="28" t="str">
        <f t="shared" si="576"/>
        <v>CancelCancel</v>
      </c>
      <c r="AQ1956" s="28" t="str">
        <f t="shared" si="577"/>
        <v>CancelCancelJPY</v>
      </c>
      <c r="AR1956" s="206" t="str">
        <f t="shared" si="578"/>
        <v>YAMAHA_Mounter</v>
      </c>
      <c r="AS1956" s="22" t="str">
        <f t="shared" si="579"/>
        <v/>
      </c>
      <c r="AT1956" s="24" t="str">
        <f t="shared" si="580"/>
        <v/>
      </c>
      <c r="AU1956" s="22" t="s">
        <v>3746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1"/>
        <v>9000000</v>
      </c>
      <c r="AA1957" s="13">
        <v>7.3400000000000007E-2</v>
      </c>
      <c r="AB1957" s="21">
        <f t="shared" si="566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67"/>
        <v>31296887.037898075</v>
      </c>
      <c r="AJ1957" s="19">
        <f t="shared" si="568"/>
        <v>3588873.9502021763</v>
      </c>
      <c r="AK1957" s="20">
        <f t="shared" si="575"/>
        <v>0.11467191436184473</v>
      </c>
      <c r="AL1957" s="17"/>
      <c r="AM1957" s="17"/>
      <c r="AN1957" s="17"/>
      <c r="AO1957" s="17"/>
      <c r="AP1957" s="28" t="str">
        <f t="shared" si="576"/>
        <v>20196</v>
      </c>
      <c r="AQ1957" s="28" t="str">
        <f t="shared" si="577"/>
        <v>20196JPY</v>
      </c>
      <c r="AR1957" s="206" t="str">
        <f t="shared" si="578"/>
        <v>YAMAHA_Mounter</v>
      </c>
      <c r="AS1957" s="22">
        <f t="shared" si="579"/>
        <v>1</v>
      </c>
      <c r="AT1957" s="24" t="str">
        <f t="shared" si="580"/>
        <v>0-3 months</v>
      </c>
      <c r="AU1957" s="22" t="s">
        <v>3746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1"/>
        <v>13500000</v>
      </c>
      <c r="AA1958" s="13">
        <v>7.3400000000000007E-2</v>
      </c>
      <c r="AB1958" s="21">
        <f t="shared" si="566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67"/>
        <v>31296887.037898075</v>
      </c>
      <c r="AJ1958" s="19">
        <f t="shared" si="568"/>
        <v>3588873.9502021763</v>
      </c>
      <c r="AK1958" s="20">
        <f t="shared" si="575"/>
        <v>0.11467191436184473</v>
      </c>
      <c r="AL1958" s="17"/>
      <c r="AM1958" s="17"/>
      <c r="AN1958" s="17"/>
      <c r="AO1958" s="17"/>
      <c r="AP1958" s="28" t="str">
        <f t="shared" si="576"/>
        <v>20196</v>
      </c>
      <c r="AQ1958" s="28" t="str">
        <f t="shared" si="577"/>
        <v>20196JPY</v>
      </c>
      <c r="AR1958" s="206" t="str">
        <f t="shared" si="578"/>
        <v>YAMAHA_Mounter</v>
      </c>
      <c r="AS1958" s="22">
        <f t="shared" si="579"/>
        <v>1</v>
      </c>
      <c r="AT1958" s="24" t="str">
        <f t="shared" si="580"/>
        <v>0-3 months</v>
      </c>
      <c r="AU1958" s="22" t="s">
        <v>3746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1"/>
        <v>13500000</v>
      </c>
      <c r="AA1959" s="13">
        <v>7.3400000000000007E-2</v>
      </c>
      <c r="AB1959" s="21">
        <f t="shared" si="566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67"/>
        <v>31296887.037898075</v>
      </c>
      <c r="AJ1959" s="19">
        <f t="shared" si="568"/>
        <v>3588873.9502021763</v>
      </c>
      <c r="AK1959" s="20">
        <f t="shared" si="575"/>
        <v>0.11467191436184473</v>
      </c>
      <c r="AL1959" s="17"/>
      <c r="AM1959" s="17"/>
      <c r="AN1959" s="17"/>
      <c r="AO1959" s="17"/>
      <c r="AP1959" s="28" t="str">
        <f t="shared" si="576"/>
        <v>20196</v>
      </c>
      <c r="AQ1959" s="28" t="str">
        <f t="shared" si="577"/>
        <v>20196JPY</v>
      </c>
      <c r="AR1959" s="206" t="str">
        <f t="shared" si="578"/>
        <v>YAMAHA_Mounter</v>
      </c>
      <c r="AS1959" s="22">
        <f t="shared" si="579"/>
        <v>1</v>
      </c>
      <c r="AT1959" s="24" t="str">
        <f t="shared" si="580"/>
        <v>0-3 months</v>
      </c>
      <c r="AU1959" s="22" t="s">
        <v>3746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1"/>
        <v>810000</v>
      </c>
      <c r="AA1960" s="13">
        <v>1.1299999999999999</v>
      </c>
      <c r="AB1960" s="21">
        <f t="shared" si="566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67"/>
        <v>33543315.897345133</v>
      </c>
      <c r="AJ1960" s="19">
        <f t="shared" si="568"/>
        <v>4706169.3252984071</v>
      </c>
      <c r="AK1960" s="20">
        <f t="shared" si="575"/>
        <v>0.14030125523967318</v>
      </c>
      <c r="AL1960" s="17"/>
      <c r="AM1960" s="17"/>
      <c r="AN1960" s="17"/>
      <c r="AO1960" s="17"/>
      <c r="AP1960" s="28" t="str">
        <f t="shared" si="576"/>
        <v>20233</v>
      </c>
      <c r="AQ1960" s="28" t="str">
        <f t="shared" si="577"/>
        <v>20233RMB</v>
      </c>
      <c r="AR1960" s="206" t="str">
        <f t="shared" si="578"/>
        <v>YAMAHA_Mounter</v>
      </c>
      <c r="AS1960" s="22">
        <f t="shared" si="579"/>
        <v>0</v>
      </c>
      <c r="AT1960" s="24" t="str">
        <f t="shared" si="580"/>
        <v>0-3 months</v>
      </c>
      <c r="AU1960" s="22" t="s">
        <v>3751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1"/>
        <v>490000</v>
      </c>
      <c r="AA1961" s="13">
        <v>1.1299999999999999</v>
      </c>
      <c r="AB1961" s="21">
        <f t="shared" si="566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67"/>
        <v>33543315.897345133</v>
      </c>
      <c r="AJ1961" s="19">
        <f t="shared" si="568"/>
        <v>4706169.3252984071</v>
      </c>
      <c r="AK1961" s="20">
        <f t="shared" si="575"/>
        <v>0.14030125523967318</v>
      </c>
      <c r="AL1961" s="17"/>
      <c r="AM1961" s="17"/>
      <c r="AN1961" s="17"/>
      <c r="AO1961" s="17"/>
      <c r="AP1961" s="28" t="str">
        <f t="shared" si="576"/>
        <v>20233</v>
      </c>
      <c r="AQ1961" s="28" t="str">
        <f t="shared" si="577"/>
        <v>20233RMB</v>
      </c>
      <c r="AR1961" s="206" t="str">
        <f t="shared" si="578"/>
        <v>YAMAHA_Mounter</v>
      </c>
      <c r="AS1961" s="22">
        <f t="shared" si="579"/>
        <v>0</v>
      </c>
      <c r="AT1961" s="24" t="str">
        <f t="shared" si="580"/>
        <v>0-3 months</v>
      </c>
      <c r="AU1961" s="22" t="s">
        <v>3751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3">IF(W1962="","",IF(W1962="RMB","1.13", "1"))</f>
        <v>1.13</v>
      </c>
      <c r="Z1962" s="18">
        <f t="shared" si="581"/>
        <v>129000</v>
      </c>
      <c r="AA1962" s="13">
        <v>1.1399999999999999</v>
      </c>
      <c r="AB1962" s="21">
        <f t="shared" si="566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67"/>
        <v>30573205.452778768</v>
      </c>
      <c r="AJ1962" s="19">
        <f t="shared" si="568"/>
        <v>3790930.1683151261</v>
      </c>
      <c r="AK1962" s="20">
        <f t="shared" si="575"/>
        <v>0.12399518179964254</v>
      </c>
      <c r="AL1962" s="17"/>
      <c r="AM1962" s="17"/>
      <c r="AN1962" s="17"/>
      <c r="AO1962" s="17"/>
      <c r="AP1962" s="28" t="str">
        <f t="shared" si="576"/>
        <v>20234</v>
      </c>
      <c r="AQ1962" s="28" t="str">
        <f t="shared" si="577"/>
        <v>20234RMB</v>
      </c>
      <c r="AR1962" s="206" t="str">
        <f t="shared" si="578"/>
        <v>LOCAL SUPPLIER</v>
      </c>
      <c r="AS1962" s="22">
        <f t="shared" si="579"/>
        <v>1</v>
      </c>
      <c r="AT1962" s="24" t="str">
        <f t="shared" si="580"/>
        <v>0-3 months</v>
      </c>
      <c r="AU1962" s="22" t="s">
        <v>3751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3"/>
        <v>1.13</v>
      </c>
      <c r="Z1963" s="18">
        <f t="shared" si="581"/>
        <v>171000</v>
      </c>
      <c r="AA1963" s="13">
        <v>1.1399999999999999</v>
      </c>
      <c r="AB1963" s="21">
        <f t="shared" si="566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67"/>
        <v>30573205.452778768</v>
      </c>
      <c r="AJ1963" s="19">
        <f t="shared" si="568"/>
        <v>3790930.1683151261</v>
      </c>
      <c r="AK1963" s="20">
        <f t="shared" si="575"/>
        <v>0.12399518179964254</v>
      </c>
      <c r="AL1963" s="17"/>
      <c r="AM1963" s="17"/>
      <c r="AN1963" s="17"/>
      <c r="AO1963" s="17"/>
      <c r="AP1963" s="28" t="str">
        <f t="shared" si="576"/>
        <v>20234</v>
      </c>
      <c r="AQ1963" s="28" t="str">
        <f t="shared" si="577"/>
        <v>20234RMB</v>
      </c>
      <c r="AR1963" s="206" t="str">
        <f t="shared" si="578"/>
        <v>LOCAL SUPPLIER</v>
      </c>
      <c r="AS1963" s="22">
        <f t="shared" si="579"/>
        <v>1</v>
      </c>
      <c r="AT1963" s="24" t="str">
        <f t="shared" si="580"/>
        <v>0-3 months</v>
      </c>
      <c r="AU1963" s="22" t="s">
        <v>3751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3"/>
        <v>1.13</v>
      </c>
      <c r="Z1964" s="18">
        <f t="shared" si="581"/>
        <v>171000</v>
      </c>
      <c r="AA1964" s="13">
        <v>1.1399999999999999</v>
      </c>
      <c r="AB1964" s="21">
        <f t="shared" si="566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67"/>
        <v>30573205.452778768</v>
      </c>
      <c r="AJ1964" s="19">
        <f t="shared" si="568"/>
        <v>3790930.1683151261</v>
      </c>
      <c r="AK1964" s="20">
        <f t="shared" si="575"/>
        <v>0.12399518179964254</v>
      </c>
      <c r="AL1964" s="17"/>
      <c r="AM1964" s="17"/>
      <c r="AN1964" s="17"/>
      <c r="AO1964" s="17"/>
      <c r="AP1964" s="28" t="str">
        <f t="shared" si="576"/>
        <v>20234</v>
      </c>
      <c r="AQ1964" s="28" t="str">
        <f t="shared" si="577"/>
        <v>20234RMB</v>
      </c>
      <c r="AR1964" s="206" t="str">
        <f t="shared" si="578"/>
        <v>LOCAL SUPPLIER</v>
      </c>
      <c r="AS1964" s="22">
        <f t="shared" si="579"/>
        <v>1</v>
      </c>
      <c r="AT1964" s="24" t="str">
        <f t="shared" si="580"/>
        <v>0-3 months</v>
      </c>
      <c r="AU1964" s="22" t="s">
        <v>3751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3"/>
        <v>1.13</v>
      </c>
      <c r="Z1965" s="18">
        <f t="shared" si="581"/>
        <v>195000</v>
      </c>
      <c r="AA1965" s="13">
        <v>1.1399999999999999</v>
      </c>
      <c r="AB1965" s="21">
        <f t="shared" si="566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67"/>
        <v>30573205.452778768</v>
      </c>
      <c r="AJ1965" s="19">
        <f t="shared" si="568"/>
        <v>3790930.1683151261</v>
      </c>
      <c r="AK1965" s="20">
        <f t="shared" si="575"/>
        <v>0.12399518179964254</v>
      </c>
      <c r="AL1965" s="17"/>
      <c r="AM1965" s="17"/>
      <c r="AN1965" s="17"/>
      <c r="AO1965" s="17"/>
      <c r="AP1965" s="28" t="str">
        <f t="shared" si="576"/>
        <v>20234</v>
      </c>
      <c r="AQ1965" s="28" t="str">
        <f t="shared" si="577"/>
        <v>20234RMB</v>
      </c>
      <c r="AR1965" s="206" t="str">
        <f t="shared" si="578"/>
        <v>LOCAL SUPPLIER</v>
      </c>
      <c r="AS1965" s="22">
        <f t="shared" si="579"/>
        <v>1</v>
      </c>
      <c r="AT1965" s="24" t="str">
        <f t="shared" si="580"/>
        <v>0-3 months</v>
      </c>
      <c r="AU1965" s="22" t="s">
        <v>3751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3"/>
        <v>1.13</v>
      </c>
      <c r="Z1966" s="18">
        <f t="shared" si="581"/>
        <v>127000</v>
      </c>
      <c r="AA1966" s="13">
        <v>1.1399999999999999</v>
      </c>
      <c r="AB1966" s="21">
        <f t="shared" si="566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67"/>
        <v>30573205.452778768</v>
      </c>
      <c r="AJ1966" s="19">
        <f t="shared" si="568"/>
        <v>3790930.1683151261</v>
      </c>
      <c r="AK1966" s="20">
        <f t="shared" si="575"/>
        <v>0.12399518179964254</v>
      </c>
      <c r="AL1966" s="17"/>
      <c r="AM1966" s="17"/>
      <c r="AN1966" s="17"/>
      <c r="AO1966" s="17"/>
      <c r="AP1966" s="28" t="str">
        <f t="shared" si="576"/>
        <v>20234</v>
      </c>
      <c r="AQ1966" s="28" t="str">
        <f t="shared" si="577"/>
        <v>20234RMB</v>
      </c>
      <c r="AR1966" s="206" t="str">
        <f t="shared" si="578"/>
        <v>LOCAL SUPPLIER</v>
      </c>
      <c r="AS1966" s="22">
        <f t="shared" si="579"/>
        <v>1</v>
      </c>
      <c r="AT1966" s="24" t="str">
        <f t="shared" si="580"/>
        <v>0-3 months</v>
      </c>
      <c r="AU1966" s="22" t="s">
        <v>3751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3"/>
        <v>1.13</v>
      </c>
      <c r="Z1967" s="18">
        <f t="shared" si="581"/>
        <v>12600</v>
      </c>
      <c r="AA1967" s="13">
        <v>1.1399999999999999</v>
      </c>
      <c r="AB1967" s="21">
        <f t="shared" si="566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67"/>
        <v>30573205.452778768</v>
      </c>
      <c r="AJ1967" s="19">
        <f t="shared" si="568"/>
        <v>3790930.1683151261</v>
      </c>
      <c r="AK1967" s="20">
        <f t="shared" si="575"/>
        <v>0.12399518179964254</v>
      </c>
      <c r="AL1967" s="17"/>
      <c r="AM1967" s="17"/>
      <c r="AN1967" s="17"/>
      <c r="AO1967" s="17"/>
      <c r="AP1967" s="28" t="str">
        <f t="shared" si="576"/>
        <v>20234</v>
      </c>
      <c r="AQ1967" s="28" t="str">
        <f t="shared" si="577"/>
        <v>20234RMB</v>
      </c>
      <c r="AR1967" s="206" t="str">
        <f t="shared" si="578"/>
        <v>LOCAL SUPPLIER</v>
      </c>
      <c r="AS1967" s="22">
        <f t="shared" si="579"/>
        <v>1</v>
      </c>
      <c r="AT1967" s="24" t="str">
        <f t="shared" si="580"/>
        <v>0-3 months</v>
      </c>
      <c r="AU1967" s="22" t="s">
        <v>3751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3"/>
        <v>1.13</v>
      </c>
      <c r="Z1968" s="18">
        <f t="shared" si="581"/>
        <v>2700</v>
      </c>
      <c r="AA1968" s="13">
        <v>1.1399999999999999</v>
      </c>
      <c r="AB1968" s="21">
        <f t="shared" si="566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67"/>
        <v>30573205.452778768</v>
      </c>
      <c r="AJ1968" s="19">
        <f t="shared" si="568"/>
        <v>3790930.1683151261</v>
      </c>
      <c r="AK1968" s="20">
        <f t="shared" si="575"/>
        <v>0.12399518179964254</v>
      </c>
      <c r="AL1968" s="17"/>
      <c r="AM1968" s="17"/>
      <c r="AN1968" s="17"/>
      <c r="AO1968" s="17"/>
      <c r="AP1968" s="28" t="str">
        <f t="shared" si="576"/>
        <v>20234</v>
      </c>
      <c r="AQ1968" s="28" t="str">
        <f t="shared" si="577"/>
        <v>20234RMB</v>
      </c>
      <c r="AR1968" s="206" t="str">
        <f t="shared" si="578"/>
        <v>LOCAL SUPPLIER</v>
      </c>
      <c r="AS1968" s="22">
        <f t="shared" si="579"/>
        <v>1</v>
      </c>
      <c r="AT1968" s="24" t="str">
        <f t="shared" si="580"/>
        <v>0-3 months</v>
      </c>
      <c r="AU1968" s="22" t="s">
        <v>3751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3"/>
        <v>1.13</v>
      </c>
      <c r="Z1969" s="18">
        <f t="shared" si="581"/>
        <v>32000</v>
      </c>
      <c r="AA1969" s="13">
        <v>1.1399999999999999</v>
      </c>
      <c r="AB1969" s="21">
        <f t="shared" si="566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67"/>
        <v>30573205.452778768</v>
      </c>
      <c r="AJ1969" s="19">
        <f t="shared" si="568"/>
        <v>3790930.1683151261</v>
      </c>
      <c r="AK1969" s="20">
        <f t="shared" si="575"/>
        <v>0.12399518179964254</v>
      </c>
      <c r="AL1969" s="17"/>
      <c r="AM1969" s="17"/>
      <c r="AN1969" s="17"/>
      <c r="AO1969" s="17"/>
      <c r="AP1969" s="28" t="str">
        <f t="shared" si="576"/>
        <v>20234</v>
      </c>
      <c r="AQ1969" s="28" t="str">
        <f t="shared" si="577"/>
        <v>20234RMB</v>
      </c>
      <c r="AR1969" s="206" t="str">
        <f t="shared" si="578"/>
        <v>LOCAL SUPPLIER</v>
      </c>
      <c r="AS1969" s="22">
        <f t="shared" si="579"/>
        <v>1</v>
      </c>
      <c r="AT1969" s="24" t="str">
        <f t="shared" si="580"/>
        <v>0-3 months</v>
      </c>
      <c r="AU1969" s="22" t="s">
        <v>3751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4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3"/>
        <v>1.13</v>
      </c>
      <c r="Z1970" s="18">
        <f t="shared" si="581"/>
        <v>4000</v>
      </c>
      <c r="AA1970" s="13">
        <v>1.1399999999999999</v>
      </c>
      <c r="AB1970" s="21">
        <f t="shared" si="566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67"/>
        <v>30573205.452778768</v>
      </c>
      <c r="AJ1970" s="19">
        <f t="shared" si="568"/>
        <v>3790930.1683151261</v>
      </c>
      <c r="AK1970" s="20">
        <f t="shared" si="575"/>
        <v>0.12399518179964254</v>
      </c>
      <c r="AL1970" s="17"/>
      <c r="AM1970" s="17"/>
      <c r="AN1970" s="17"/>
      <c r="AO1970" s="17"/>
      <c r="AP1970" s="28" t="str">
        <f t="shared" si="576"/>
        <v>20234</v>
      </c>
      <c r="AQ1970" s="28" t="str">
        <f t="shared" si="577"/>
        <v>20234RMB</v>
      </c>
      <c r="AR1970" s="206" t="str">
        <f t="shared" si="578"/>
        <v>LOCAL SUPPLIER</v>
      </c>
      <c r="AS1970" s="22">
        <f t="shared" si="579"/>
        <v>1</v>
      </c>
      <c r="AT1970" s="24" t="str">
        <f t="shared" si="580"/>
        <v>0-3 months</v>
      </c>
      <c r="AU1970" s="22" t="s">
        <v>3751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4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3"/>
        <v>1.13</v>
      </c>
      <c r="Z1971" s="18">
        <f t="shared" si="581"/>
        <v>6200</v>
      </c>
      <c r="AA1971" s="13">
        <v>1.1399999999999999</v>
      </c>
      <c r="AB1971" s="21">
        <f t="shared" si="566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67"/>
        <v>30573205.452778768</v>
      </c>
      <c r="AJ1971" s="19">
        <f t="shared" si="568"/>
        <v>3790930.1683151261</v>
      </c>
      <c r="AK1971" s="20">
        <f t="shared" si="575"/>
        <v>0.12399518179964254</v>
      </c>
      <c r="AL1971" s="17"/>
      <c r="AM1971" s="17"/>
      <c r="AN1971" s="17"/>
      <c r="AO1971" s="17"/>
      <c r="AP1971" s="28" t="str">
        <f t="shared" si="576"/>
        <v>20234</v>
      </c>
      <c r="AQ1971" s="28" t="str">
        <f t="shared" si="577"/>
        <v>20234RMB</v>
      </c>
      <c r="AR1971" s="206" t="str">
        <f t="shared" si="578"/>
        <v>LOCAL SUPPLIER</v>
      </c>
      <c r="AS1971" s="22">
        <f t="shared" si="579"/>
        <v>1</v>
      </c>
      <c r="AT1971" s="24" t="str">
        <f t="shared" si="580"/>
        <v>0-3 months</v>
      </c>
      <c r="AU1971" s="22" t="s">
        <v>3751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4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3"/>
        <v>1.13</v>
      </c>
      <c r="Z1972" s="18">
        <f t="shared" si="581"/>
        <v>30000</v>
      </c>
      <c r="AA1972" s="13">
        <v>1.1399999999999999</v>
      </c>
      <c r="AB1972" s="21">
        <f t="shared" si="566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67"/>
        <v>30573205.452778768</v>
      </c>
      <c r="AJ1972" s="19">
        <f t="shared" si="568"/>
        <v>3790930.1683151261</v>
      </c>
      <c r="AK1972" s="20">
        <f t="shared" si="575"/>
        <v>0.12399518179964254</v>
      </c>
      <c r="AL1972" s="17"/>
      <c r="AM1972" s="17"/>
      <c r="AN1972" s="17"/>
      <c r="AO1972" s="17"/>
      <c r="AP1972" s="28" t="str">
        <f t="shared" si="576"/>
        <v>20234</v>
      </c>
      <c r="AQ1972" s="28" t="str">
        <f t="shared" si="577"/>
        <v>20234RMB</v>
      </c>
      <c r="AR1972" s="206" t="str">
        <f t="shared" si="578"/>
        <v>LOCAL SUPPLIER</v>
      </c>
      <c r="AS1972" s="22">
        <f t="shared" si="579"/>
        <v>1</v>
      </c>
      <c r="AT1972" s="24" t="str">
        <f t="shared" si="580"/>
        <v>0-3 months</v>
      </c>
      <c r="AU1972" s="22" t="s">
        <v>3751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4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3"/>
        <v>1.13</v>
      </c>
      <c r="Z1973" s="18">
        <f t="shared" si="581"/>
        <v>12500</v>
      </c>
      <c r="AA1973" s="13">
        <v>1.1399999999999999</v>
      </c>
      <c r="AB1973" s="21">
        <f t="shared" si="566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67"/>
        <v>30573205.452778768</v>
      </c>
      <c r="AJ1973" s="19">
        <f t="shared" si="568"/>
        <v>3790930.1683151261</v>
      </c>
      <c r="AK1973" s="20">
        <f t="shared" si="575"/>
        <v>0.12399518179964254</v>
      </c>
      <c r="AL1973" s="17"/>
      <c r="AM1973" s="17"/>
      <c r="AN1973" s="17"/>
      <c r="AO1973" s="17"/>
      <c r="AP1973" s="28" t="str">
        <f t="shared" si="576"/>
        <v>20234</v>
      </c>
      <c r="AQ1973" s="28" t="str">
        <f t="shared" si="577"/>
        <v>20234RMB</v>
      </c>
      <c r="AR1973" s="206" t="str">
        <f t="shared" si="578"/>
        <v>LOCAL SUPPLIER</v>
      </c>
      <c r="AS1973" s="22">
        <f t="shared" si="579"/>
        <v>1</v>
      </c>
      <c r="AT1973" s="24" t="str">
        <f t="shared" si="580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4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3"/>
        <v>1.13</v>
      </c>
      <c r="Z1974" s="18">
        <f t="shared" si="581"/>
        <v>12500</v>
      </c>
      <c r="AA1974" s="13">
        <v>1.1399999999999999</v>
      </c>
      <c r="AB1974" s="21">
        <f t="shared" ref="AB1974:AB2037" si="585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67"/>
        <v>30573205.452778768</v>
      </c>
      <c r="AJ1974" s="19">
        <f t="shared" si="568"/>
        <v>3790930.1683151261</v>
      </c>
      <c r="AK1974" s="20">
        <f t="shared" si="575"/>
        <v>0.12399518179964254</v>
      </c>
      <c r="AL1974" s="17"/>
      <c r="AM1974" s="17"/>
      <c r="AN1974" s="17"/>
      <c r="AO1974" s="17"/>
      <c r="AP1974" s="28" t="str">
        <f t="shared" si="576"/>
        <v>20234</v>
      </c>
      <c r="AQ1974" s="28" t="str">
        <f t="shared" si="577"/>
        <v>20234RMB</v>
      </c>
      <c r="AR1974" s="206" t="str">
        <f t="shared" si="578"/>
        <v>LOCAL SUPPLIER</v>
      </c>
      <c r="AS1974" s="22">
        <f t="shared" si="579"/>
        <v>1</v>
      </c>
      <c r="AT1974" s="24" t="str">
        <f t="shared" si="580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4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3"/>
        <v>1.13</v>
      </c>
      <c r="Z1975" s="18">
        <f t="shared" si="581"/>
        <v>12500</v>
      </c>
      <c r="AA1975" s="13">
        <v>1.1399999999999999</v>
      </c>
      <c r="AB1975" s="21">
        <f t="shared" si="585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67"/>
        <v>30573205.452778768</v>
      </c>
      <c r="AJ1975" s="19">
        <f t="shared" si="568"/>
        <v>3790930.1683151261</v>
      </c>
      <c r="AK1975" s="20">
        <f t="shared" si="575"/>
        <v>0.12399518179964254</v>
      </c>
      <c r="AL1975" s="17"/>
      <c r="AM1975" s="17"/>
      <c r="AN1975" s="17"/>
      <c r="AO1975" s="17"/>
      <c r="AP1975" s="28" t="str">
        <f t="shared" si="576"/>
        <v>20234</v>
      </c>
      <c r="AQ1975" s="28" t="str">
        <f t="shared" si="577"/>
        <v>20234RMB</v>
      </c>
      <c r="AR1975" s="206" t="str">
        <f t="shared" si="578"/>
        <v>LOCAL SUPPLIER</v>
      </c>
      <c r="AS1975" s="22">
        <f t="shared" si="579"/>
        <v>1</v>
      </c>
      <c r="AT1975" s="24" t="str">
        <f t="shared" si="580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4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3"/>
        <v>1.13</v>
      </c>
      <c r="Z1976" s="18">
        <f t="shared" si="581"/>
        <v>11500</v>
      </c>
      <c r="AA1976" s="13">
        <v>1.1399999999999999</v>
      </c>
      <c r="AB1976" s="21">
        <f t="shared" si="585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67"/>
        <v>30573205.452778768</v>
      </c>
      <c r="AJ1976" s="19">
        <f t="shared" si="568"/>
        <v>3790930.1683151261</v>
      </c>
      <c r="AK1976" s="20">
        <f t="shared" si="575"/>
        <v>0.12399518179964254</v>
      </c>
      <c r="AL1976" s="17"/>
      <c r="AM1976" s="17"/>
      <c r="AN1976" s="17"/>
      <c r="AO1976" s="17"/>
      <c r="AP1976" s="28" t="str">
        <f t="shared" si="576"/>
        <v>20234</v>
      </c>
      <c r="AQ1976" s="28" t="str">
        <f t="shared" si="577"/>
        <v>20234RMB</v>
      </c>
      <c r="AR1976" s="206" t="str">
        <f t="shared" si="578"/>
        <v>LOCAL SUPPLIER</v>
      </c>
      <c r="AS1976" s="22">
        <f t="shared" si="579"/>
        <v>1</v>
      </c>
      <c r="AT1976" s="24" t="str">
        <f t="shared" si="580"/>
        <v>0-3 months</v>
      </c>
      <c r="AU1976" s="22" t="s">
        <v>3751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4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3"/>
        <v>1.13</v>
      </c>
      <c r="Z1977" s="18">
        <f t="shared" si="581"/>
        <v>800000</v>
      </c>
      <c r="AA1977" s="13">
        <v>1.0900000000000001</v>
      </c>
      <c r="AB1977" s="21">
        <f t="shared" si="585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67"/>
        <v>23146578.081415929</v>
      </c>
      <c r="AJ1977" s="19">
        <f t="shared" si="568"/>
        <v>2745231.3889985834</v>
      </c>
      <c r="AK1977" s="20">
        <f t="shared" si="575"/>
        <v>0.11860204041143742</v>
      </c>
      <c r="AL1977" s="17"/>
      <c r="AM1977" s="17"/>
      <c r="AN1977" s="17"/>
      <c r="AO1977" s="17"/>
      <c r="AP1977" s="28" t="str">
        <f t="shared" si="576"/>
        <v>20241</v>
      </c>
      <c r="AQ1977" s="28" t="str">
        <f t="shared" si="577"/>
        <v>20241RMB</v>
      </c>
      <c r="AR1977" s="206" t="str">
        <f t="shared" si="578"/>
        <v>YAMAHA_Mounter</v>
      </c>
      <c r="AS1977" s="22">
        <f t="shared" si="579"/>
        <v>1</v>
      </c>
      <c r="AT1977" s="24" t="str">
        <f t="shared" si="580"/>
        <v>0-3 months</v>
      </c>
      <c r="AU1977" s="22" t="s">
        <v>3751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4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3"/>
        <v>1.13</v>
      </c>
      <c r="Z1978" s="18">
        <f t="shared" si="581"/>
        <v>800000</v>
      </c>
      <c r="AA1978" s="13">
        <v>1.0900000000000001</v>
      </c>
      <c r="AB1978" s="21">
        <f t="shared" si="585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67"/>
        <v>23146578.081415929</v>
      </c>
      <c r="AJ1978" s="19">
        <f t="shared" si="568"/>
        <v>2745231.3889985834</v>
      </c>
      <c r="AK1978" s="20">
        <f t="shared" si="575"/>
        <v>0.11860204041143742</v>
      </c>
      <c r="AL1978" s="17"/>
      <c r="AM1978" s="17"/>
      <c r="AN1978" s="17"/>
      <c r="AO1978" s="17"/>
      <c r="AP1978" s="28" t="str">
        <f t="shared" si="576"/>
        <v>20241</v>
      </c>
      <c r="AQ1978" s="28" t="str">
        <f t="shared" si="577"/>
        <v>20241RMB</v>
      </c>
      <c r="AR1978" s="206" t="str">
        <f t="shared" si="578"/>
        <v>YAMAHA_Mounter</v>
      </c>
      <c r="AS1978" s="22">
        <f t="shared" si="579"/>
        <v>1</v>
      </c>
      <c r="AT1978" s="24" t="str">
        <f t="shared" si="580"/>
        <v>0-3 months</v>
      </c>
      <c r="AU1978" s="22" t="s">
        <v>3751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4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3"/>
        <v>1.13</v>
      </c>
      <c r="Z1979" s="18">
        <f t="shared" si="581"/>
        <v>554800</v>
      </c>
      <c r="AA1979" s="13">
        <v>1.0900000000000001</v>
      </c>
      <c r="AB1979" s="21">
        <f t="shared" si="585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67"/>
        <v>23146578.081415929</v>
      </c>
      <c r="AJ1979" s="19">
        <f t="shared" si="568"/>
        <v>2745231.3889985834</v>
      </c>
      <c r="AK1979" s="20">
        <f t="shared" si="575"/>
        <v>0.11860204041143742</v>
      </c>
      <c r="AL1979" s="17"/>
      <c r="AM1979" s="17"/>
      <c r="AN1979" s="17"/>
      <c r="AO1979" s="17"/>
      <c r="AP1979" s="28" t="str">
        <f t="shared" si="576"/>
        <v>20241</v>
      </c>
      <c r="AQ1979" s="28" t="str">
        <f t="shared" si="577"/>
        <v>20241RMB</v>
      </c>
      <c r="AR1979" s="206" t="str">
        <f t="shared" si="578"/>
        <v>YAMAHA_Mounter</v>
      </c>
      <c r="AS1979" s="22">
        <f t="shared" si="579"/>
        <v>1</v>
      </c>
      <c r="AT1979" s="24" t="str">
        <f t="shared" si="580"/>
        <v>0-3 months</v>
      </c>
      <c r="AU1979" s="22" t="s">
        <v>3751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4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3"/>
        <v>1.13</v>
      </c>
      <c r="Z1980" s="18">
        <f t="shared" si="581"/>
        <v>900000</v>
      </c>
      <c r="AA1980" s="13">
        <v>1.0900000000000001</v>
      </c>
      <c r="AB1980" s="21">
        <f t="shared" si="585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67"/>
        <v>10524262.405309737</v>
      </c>
      <c r="AJ1980" s="19">
        <f t="shared" si="568"/>
        <v>1479050.9527127435</v>
      </c>
      <c r="AK1980" s="20">
        <f t="shared" si="575"/>
        <v>0.14053725532028996</v>
      </c>
      <c r="AL1980" s="17"/>
      <c r="AM1980" s="17"/>
      <c r="AN1980" s="17"/>
      <c r="AO1980" s="17"/>
      <c r="AP1980" s="28" t="str">
        <f t="shared" si="576"/>
        <v>20242</v>
      </c>
      <c r="AQ1980" s="28" t="str">
        <f t="shared" si="577"/>
        <v>20242RMB</v>
      </c>
      <c r="AR1980" s="206" t="str">
        <f t="shared" si="578"/>
        <v>YAMAHA_Mounter</v>
      </c>
      <c r="AS1980" s="22">
        <f t="shared" si="579"/>
        <v>2</v>
      </c>
      <c r="AT1980" s="24" t="str">
        <f t="shared" si="580"/>
        <v>0-3 months</v>
      </c>
      <c r="AU1980" s="22" t="s">
        <v>3751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4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3"/>
        <v>1.13</v>
      </c>
      <c r="Z1981" s="18">
        <f t="shared" si="581"/>
        <v>900000</v>
      </c>
      <c r="AA1981" s="13">
        <v>1.0900000000000001</v>
      </c>
      <c r="AB1981" s="21">
        <f t="shared" si="585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67"/>
        <v>10524262.405309737</v>
      </c>
      <c r="AJ1981" s="19">
        <f t="shared" si="568"/>
        <v>1479050.9527127435</v>
      </c>
      <c r="AK1981" s="20">
        <f t="shared" si="575"/>
        <v>0.14053725532028996</v>
      </c>
      <c r="AL1981" s="17"/>
      <c r="AM1981" s="17"/>
      <c r="AN1981" s="17"/>
      <c r="AO1981" s="17"/>
      <c r="AP1981" s="28" t="str">
        <f t="shared" si="576"/>
        <v>20242</v>
      </c>
      <c r="AQ1981" s="28" t="str">
        <f t="shared" si="577"/>
        <v>20242RMB</v>
      </c>
      <c r="AR1981" s="206" t="str">
        <f t="shared" si="578"/>
        <v>YAMAHA_Mounter</v>
      </c>
      <c r="AS1981" s="22">
        <f t="shared" si="579"/>
        <v>2</v>
      </c>
      <c r="AT1981" s="24" t="str">
        <f t="shared" si="580"/>
        <v>0-3 months</v>
      </c>
      <c r="AU1981" s="22" t="s">
        <v>3751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1"/>
        <v>9766000</v>
      </c>
      <c r="AA1982" s="13">
        <v>7.3499999999999996E-2</v>
      </c>
      <c r="AB1982" s="21">
        <f t="shared" si="585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67"/>
        <v>16455710.386637932</v>
      </c>
      <c r="AJ1982" s="19">
        <f t="shared" si="568"/>
        <v>2150644.6466930606</v>
      </c>
      <c r="AK1982" s="20">
        <f t="shared" si="575"/>
        <v>0.13069290818580451</v>
      </c>
      <c r="AL1982" s="17"/>
      <c r="AM1982" s="17"/>
      <c r="AN1982" s="17"/>
      <c r="AO1982" s="17"/>
      <c r="AP1982" s="28" t="str">
        <f t="shared" si="576"/>
        <v>20192</v>
      </c>
      <c r="AQ1982" s="28" t="str">
        <f t="shared" si="577"/>
        <v>20192JPY</v>
      </c>
      <c r="AR1982" s="206" t="str">
        <f t="shared" si="578"/>
        <v>YAMAHA_Mounter</v>
      </c>
      <c r="AS1982" s="22">
        <f t="shared" si="579"/>
        <v>2</v>
      </c>
      <c r="AT1982" s="24" t="str">
        <f t="shared" si="580"/>
        <v>0-3 months</v>
      </c>
      <c r="AU1982" s="22" t="s">
        <v>3745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1"/>
        <v>1000000</v>
      </c>
      <c r="AA1983" s="13">
        <v>1.1100000000000001</v>
      </c>
      <c r="AB1983" s="21">
        <f t="shared" si="585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67"/>
        <v>26147030.909862842</v>
      </c>
      <c r="AJ1983" s="19">
        <f t="shared" si="568"/>
        <v>2743862.8630715334</v>
      </c>
      <c r="AK1983" s="20">
        <f t="shared" si="575"/>
        <v>0.10493974908778378</v>
      </c>
      <c r="AL1983" s="17"/>
      <c r="AM1983" s="17"/>
      <c r="AN1983" s="17"/>
      <c r="AO1983" s="17"/>
      <c r="AP1983" s="28" t="str">
        <f t="shared" si="576"/>
        <v>201911</v>
      </c>
      <c r="AQ1983" s="28" t="str">
        <f t="shared" si="577"/>
        <v>201911RMB</v>
      </c>
      <c r="AR1983" s="206" t="str">
        <f t="shared" si="578"/>
        <v>YAMAHA_Mounter</v>
      </c>
      <c r="AS1983" s="22">
        <f t="shared" si="579"/>
        <v>1</v>
      </c>
      <c r="AT1983" s="24" t="str">
        <f t="shared" si="580"/>
        <v>0-3 months</v>
      </c>
      <c r="AU1983" s="22" t="s">
        <v>3744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1"/>
        <v>580000</v>
      </c>
      <c r="AA1984" s="13">
        <v>1.1100000000000001</v>
      </c>
      <c r="AB1984" s="21">
        <f t="shared" si="585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67"/>
        <v>26147030.909862842</v>
      </c>
      <c r="AJ1984" s="19">
        <f t="shared" si="568"/>
        <v>2743862.8630715334</v>
      </c>
      <c r="AK1984" s="20">
        <f t="shared" si="575"/>
        <v>0.10493974908778378</v>
      </c>
      <c r="AL1984" s="17"/>
      <c r="AM1984" s="17"/>
      <c r="AN1984" s="17"/>
      <c r="AO1984" s="17"/>
      <c r="AP1984" s="28" t="str">
        <f t="shared" si="576"/>
        <v>201911</v>
      </c>
      <c r="AQ1984" s="28" t="str">
        <f t="shared" si="577"/>
        <v>201911RMB</v>
      </c>
      <c r="AR1984" s="206" t="str">
        <f t="shared" si="578"/>
        <v>YAMAHA_Mounter</v>
      </c>
      <c r="AS1984" s="22">
        <f t="shared" si="579"/>
        <v>1</v>
      </c>
      <c r="AT1984" s="24" t="str">
        <f t="shared" si="580"/>
        <v>0-3 months</v>
      </c>
      <c r="AU1984" s="22" t="s">
        <v>3744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1"/>
        <v>640000</v>
      </c>
      <c r="AA1985" s="13">
        <v>1.18</v>
      </c>
      <c r="AB1985" s="21">
        <f t="shared" si="585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67"/>
        <v>43684091.636631854</v>
      </c>
      <c r="AJ1985" s="19">
        <f t="shared" si="568"/>
        <v>6483951.8242071122</v>
      </c>
      <c r="AK1985" s="20">
        <f t="shared" si="575"/>
        <v>0.14842821680123736</v>
      </c>
      <c r="AL1985" s="17"/>
      <c r="AM1985" s="17"/>
      <c r="AN1985" s="17"/>
      <c r="AO1985" s="17"/>
      <c r="AP1985" s="28" t="str">
        <f t="shared" si="576"/>
        <v>20214</v>
      </c>
      <c r="AQ1985" s="28" t="str">
        <f t="shared" si="577"/>
        <v>20214RMB</v>
      </c>
      <c r="AR1985" s="206" t="str">
        <f t="shared" si="578"/>
        <v>YAMAHA_Mounter</v>
      </c>
      <c r="AS1985" s="22">
        <f t="shared" si="579"/>
        <v>4</v>
      </c>
      <c r="AT1985" s="24" t="str">
        <f t="shared" si="580"/>
        <v>4-6 months</v>
      </c>
      <c r="AU1985" s="22" t="s">
        <v>3744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1"/>
        <v>640000</v>
      </c>
      <c r="AA1986" s="13">
        <v>1.18</v>
      </c>
      <c r="AB1986" s="21">
        <f t="shared" si="585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86">IF(P1986="C66 SERVICE","",SUMIFS(AB:AB,F:F,F1986,G:G,G1986,E:E,E1986))</f>
        <v>43684091.636631854</v>
      </c>
      <c r="AJ1986" s="19">
        <f t="shared" ref="AJ1986:AJ2049" si="587">IF(P1986="C66 SERVICE","",SUMIFS(AC:AC,F:F,F1986,G:G,G1986,E:E,E1986))</f>
        <v>6483951.8242071122</v>
      </c>
      <c r="AK1986" s="20">
        <f t="shared" si="575"/>
        <v>0.14842821680123736</v>
      </c>
      <c r="AL1986" s="17"/>
      <c r="AM1986" s="17"/>
      <c r="AN1986" s="17"/>
      <c r="AO1986" s="17"/>
      <c r="AP1986" s="28" t="str">
        <f t="shared" si="576"/>
        <v>20214</v>
      </c>
      <c r="AQ1986" s="28" t="str">
        <f t="shared" si="577"/>
        <v>20214RMB</v>
      </c>
      <c r="AR1986" s="206" t="str">
        <f t="shared" si="578"/>
        <v>YAMAHA_Mounter</v>
      </c>
      <c r="AS1986" s="22">
        <f t="shared" si="579"/>
        <v>4</v>
      </c>
      <c r="AT1986" s="24" t="str">
        <f t="shared" si="580"/>
        <v>4-6 months</v>
      </c>
      <c r="AU1986" s="22" t="s">
        <v>3744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1"/>
        <v>6900000</v>
      </c>
      <c r="AA1987" s="22">
        <v>5.6300000000000003E-2</v>
      </c>
      <c r="AB1987" s="21">
        <f t="shared" si="585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86"/>
        <v>23146578.081415929</v>
      </c>
      <c r="AJ1987" s="27">
        <f t="shared" si="587"/>
        <v>2745231.3889985834</v>
      </c>
      <c r="AK1987" s="28">
        <f t="shared" si="575"/>
        <v>0.11860204041143742</v>
      </c>
      <c r="AL1987" s="24"/>
      <c r="AM1987" s="24"/>
      <c r="AN1987" s="24"/>
      <c r="AO1987" s="24"/>
      <c r="AP1987" s="28" t="str">
        <f t="shared" si="576"/>
        <v>20241</v>
      </c>
      <c r="AQ1987" s="28" t="str">
        <f t="shared" si="577"/>
        <v>20241JPY</v>
      </c>
      <c r="AR1987" s="206" t="str">
        <f t="shared" si="578"/>
        <v>YAMAHA_Mounter</v>
      </c>
      <c r="AS1987" s="22">
        <f t="shared" si="579"/>
        <v>0</v>
      </c>
      <c r="AT1987" s="24" t="str">
        <f t="shared" si="580"/>
        <v>0-3 months</v>
      </c>
      <c r="AU1987" s="22" t="s">
        <v>3745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1"/>
        <v>6900000</v>
      </c>
      <c r="AA1988" s="22">
        <v>5.6300000000000003E-2</v>
      </c>
      <c r="AB1988" s="21">
        <f t="shared" si="585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86"/>
        <v>23146578.081415929</v>
      </c>
      <c r="AJ1988" s="27">
        <f t="shared" si="587"/>
        <v>2745231.3889985834</v>
      </c>
      <c r="AK1988" s="28">
        <f t="shared" si="575"/>
        <v>0.11860204041143742</v>
      </c>
      <c r="AL1988" s="24"/>
      <c r="AM1988" s="24"/>
      <c r="AN1988" s="24"/>
      <c r="AO1988" s="24"/>
      <c r="AP1988" s="28" t="str">
        <f t="shared" si="576"/>
        <v>20241</v>
      </c>
      <c r="AQ1988" s="28" t="str">
        <f t="shared" si="577"/>
        <v>20241JPY</v>
      </c>
      <c r="AR1988" s="206" t="str">
        <f t="shared" si="578"/>
        <v>YAMAHA_Mounter</v>
      </c>
      <c r="AS1988" s="22">
        <f t="shared" si="579"/>
        <v>0</v>
      </c>
      <c r="AT1988" s="24" t="str">
        <f t="shared" si="580"/>
        <v>0-3 months</v>
      </c>
      <c r="AU1988" s="22" t="s">
        <v>3745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1"/>
        <v>930000</v>
      </c>
      <c r="AA1989" s="13">
        <v>1.095</v>
      </c>
      <c r="AB1989" s="21">
        <f t="shared" si="585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86"/>
        <v>33477255.428389374</v>
      </c>
      <c r="AJ1989" s="19">
        <f t="shared" si="587"/>
        <v>4578663.362915583</v>
      </c>
      <c r="AK1989" s="20">
        <f t="shared" si="575"/>
        <v>0.13676937682988152</v>
      </c>
      <c r="AL1989" s="17"/>
      <c r="AM1989" s="17"/>
      <c r="AN1989" s="17"/>
      <c r="AO1989" s="17"/>
      <c r="AP1989" s="28" t="str">
        <f t="shared" si="576"/>
        <v>20204</v>
      </c>
      <c r="AQ1989" s="28" t="str">
        <f t="shared" si="577"/>
        <v>20204RMB</v>
      </c>
      <c r="AR1989" s="206" t="str">
        <f t="shared" si="578"/>
        <v>YAMAHA_Mounter</v>
      </c>
      <c r="AS1989" s="22">
        <f t="shared" si="579"/>
        <v>0</v>
      </c>
      <c r="AT1989" s="24" t="str">
        <f t="shared" si="580"/>
        <v>0-3 months</v>
      </c>
      <c r="AU1989" s="22" t="s">
        <v>3744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1"/>
        <v>580000</v>
      </c>
      <c r="AA1990" s="13">
        <v>1.095</v>
      </c>
      <c r="AB1990" s="21">
        <f t="shared" si="585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86"/>
        <v>33477255.428389374</v>
      </c>
      <c r="AJ1990" s="19">
        <f t="shared" si="587"/>
        <v>4578663.362915583</v>
      </c>
      <c r="AK1990" s="20">
        <f t="shared" ref="AK1990:AK2053" si="594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5">IF(F1990="","",F1990&amp;G1990)</f>
        <v>20204</v>
      </c>
      <c r="AQ1990" s="28" t="str">
        <f t="shared" ref="AQ1990:AQ2053" si="596">IF(W1990="","",F1990&amp;G1990&amp;W1990)</f>
        <v>20204RMB</v>
      </c>
      <c r="AR1990" s="206" t="str">
        <f t="shared" ref="AR1990:AR2053" si="597">IFERROR(IF(AND(M1990="YAMAHA", R1990="C28"), "YAMAHA_Non_Mounter", IF(AND(M1990="YAMAHA", R1990="C49"), "YAMAHA_Mounter", M1990)),"")</f>
        <v>YAMAHA_Mounter</v>
      </c>
      <c r="AS1990" s="22">
        <f t="shared" ref="AS1990:AS2053" si="598">IFERROR(IF(OR(G1990="TBA", G1990=""), "", DATEDIF(DATE(B1990, C1990, 1), DATE(F1990, G1990, 1), "M")),"")</f>
        <v>0</v>
      </c>
      <c r="AT1990" s="24" t="str">
        <f t="shared" ref="AT1990:AT2053" si="599">IF(ISNUMBER(AS1990), IF(AS1990&gt;=0, IF(AS1990&lt;=3, "0-3 months", IF(AS1990&lt;=6, "4-6 months", "&gt; 6 months"))), "")</f>
        <v>0-3 months</v>
      </c>
      <c r="AU1990" s="22" t="s">
        <v>3744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0">IF(W1991="RMB","1.13", "1")</f>
        <v>1</v>
      </c>
      <c r="Z1991" s="18">
        <f t="shared" si="581"/>
        <v>12000000</v>
      </c>
      <c r="AA1991" s="13">
        <v>7.2800000000000004E-2</v>
      </c>
      <c r="AB1991" s="21">
        <f t="shared" si="585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86"/>
        <v>63006605.696460173</v>
      </c>
      <c r="AJ1991" s="19">
        <f t="shared" si="587"/>
        <v>8897485.660753984</v>
      </c>
      <c r="AK1991" s="20">
        <f t="shared" si="594"/>
        <v>0.141215124388995</v>
      </c>
      <c r="AL1991" s="17"/>
      <c r="AM1991" s="17"/>
      <c r="AN1991" s="17"/>
      <c r="AO1991" s="17"/>
      <c r="AP1991" s="28" t="str">
        <f t="shared" si="595"/>
        <v>20215</v>
      </c>
      <c r="AQ1991" s="28" t="str">
        <f t="shared" si="596"/>
        <v>20215JPY</v>
      </c>
      <c r="AR1991" s="206" t="str">
        <f t="shared" si="597"/>
        <v>YAMAHA_Mounter</v>
      </c>
      <c r="AS1991" s="22">
        <f t="shared" si="598"/>
        <v>4</v>
      </c>
      <c r="AT1991" s="24" t="str">
        <f t="shared" si="599"/>
        <v>4-6 months</v>
      </c>
      <c r="AU1991" s="22" t="s">
        <v>3745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0"/>
        <v>1</v>
      </c>
      <c r="Z1992" s="18">
        <f t="shared" si="581"/>
        <v>12000000</v>
      </c>
      <c r="AA1992" s="13">
        <v>7.2800000000000004E-2</v>
      </c>
      <c r="AB1992" s="21">
        <f t="shared" si="585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86"/>
        <v>63006605.696460173</v>
      </c>
      <c r="AJ1992" s="19">
        <f t="shared" si="587"/>
        <v>8897485.660753984</v>
      </c>
      <c r="AK1992" s="20">
        <f t="shared" si="594"/>
        <v>0.141215124388995</v>
      </c>
      <c r="AL1992" s="17"/>
      <c r="AM1992" s="17"/>
      <c r="AN1992" s="17"/>
      <c r="AO1992" s="17"/>
      <c r="AP1992" s="28" t="str">
        <f t="shared" si="595"/>
        <v>20215</v>
      </c>
      <c r="AQ1992" s="28" t="str">
        <f t="shared" si="596"/>
        <v>20215JPY</v>
      </c>
      <c r="AR1992" s="206" t="str">
        <f t="shared" si="597"/>
        <v>YAMAHA_Mounter</v>
      </c>
      <c r="AS1992" s="22">
        <f t="shared" si="598"/>
        <v>4</v>
      </c>
      <c r="AT1992" s="24" t="str">
        <f t="shared" si="599"/>
        <v>4-6 months</v>
      </c>
      <c r="AU1992" s="22" t="s">
        <v>3745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0"/>
        <v>1</v>
      </c>
      <c r="Z1993" s="18">
        <f t="shared" si="581"/>
        <v>8000000</v>
      </c>
      <c r="AA1993" s="13">
        <v>7.2800000000000004E-2</v>
      </c>
      <c r="AB1993" s="21">
        <f t="shared" si="585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86"/>
        <v>63006605.696460173</v>
      </c>
      <c r="AJ1993" s="19">
        <f t="shared" si="587"/>
        <v>8897485.660753984</v>
      </c>
      <c r="AK1993" s="20">
        <f t="shared" si="594"/>
        <v>0.141215124388995</v>
      </c>
      <c r="AL1993" s="17"/>
      <c r="AM1993" s="17"/>
      <c r="AN1993" s="17"/>
      <c r="AO1993" s="17"/>
      <c r="AP1993" s="28" t="str">
        <f t="shared" si="595"/>
        <v>20215</v>
      </c>
      <c r="AQ1993" s="28" t="str">
        <f t="shared" si="596"/>
        <v>20215JPY</v>
      </c>
      <c r="AR1993" s="206" t="str">
        <f t="shared" si="597"/>
        <v>YAMAHA_Mounter</v>
      </c>
      <c r="AS1993" s="22">
        <f t="shared" si="598"/>
        <v>4</v>
      </c>
      <c r="AT1993" s="24" t="str">
        <f t="shared" si="599"/>
        <v>4-6 months</v>
      </c>
      <c r="AU1993" s="22" t="s">
        <v>3745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0"/>
        <v>1</v>
      </c>
      <c r="Z1994" s="18">
        <f t="shared" ref="Z1994:Z2057" si="601">IF(X1994="","",X1994*MAX(O1994,N1994))</f>
        <v>8000000</v>
      </c>
      <c r="AA1994" s="13">
        <v>7.2800000000000004E-2</v>
      </c>
      <c r="AB1994" s="21">
        <f t="shared" si="585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86"/>
        <v>63006605.696460173</v>
      </c>
      <c r="AJ1994" s="19">
        <f t="shared" si="587"/>
        <v>8897485.660753984</v>
      </c>
      <c r="AK1994" s="20">
        <f t="shared" si="594"/>
        <v>0.141215124388995</v>
      </c>
      <c r="AL1994" s="17"/>
      <c r="AM1994" s="17"/>
      <c r="AN1994" s="17"/>
      <c r="AO1994" s="17"/>
      <c r="AP1994" s="28" t="str">
        <f t="shared" si="595"/>
        <v>20215</v>
      </c>
      <c r="AQ1994" s="28" t="str">
        <f t="shared" si="596"/>
        <v>20215JPY</v>
      </c>
      <c r="AR1994" s="206" t="str">
        <f t="shared" si="597"/>
        <v>YAMAHA_Mounter</v>
      </c>
      <c r="AS1994" s="22">
        <f t="shared" si="598"/>
        <v>4</v>
      </c>
      <c r="AT1994" s="24" t="str">
        <f t="shared" si="599"/>
        <v>4-6 months</v>
      </c>
      <c r="AU1994" s="22" t="s">
        <v>3745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0"/>
        <v>1</v>
      </c>
      <c r="Z1995" s="18">
        <f t="shared" si="601"/>
        <v>8000000</v>
      </c>
      <c r="AA1995" s="13">
        <v>7.2800000000000004E-2</v>
      </c>
      <c r="AB1995" s="21">
        <f t="shared" si="585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86"/>
        <v>63006605.696460173</v>
      </c>
      <c r="AJ1995" s="19">
        <f t="shared" si="587"/>
        <v>8897485.660753984</v>
      </c>
      <c r="AK1995" s="20">
        <f t="shared" si="594"/>
        <v>0.141215124388995</v>
      </c>
      <c r="AL1995" s="17"/>
      <c r="AM1995" s="17"/>
      <c r="AN1995" s="17"/>
      <c r="AO1995" s="17"/>
      <c r="AP1995" s="28" t="str">
        <f t="shared" si="595"/>
        <v>20215</v>
      </c>
      <c r="AQ1995" s="28" t="str">
        <f t="shared" si="596"/>
        <v>20215JPY</v>
      </c>
      <c r="AR1995" s="206" t="str">
        <f t="shared" si="597"/>
        <v>YAMAHA_Mounter</v>
      </c>
      <c r="AS1995" s="22">
        <f t="shared" si="598"/>
        <v>4</v>
      </c>
      <c r="AT1995" s="24" t="str">
        <f t="shared" si="599"/>
        <v>4-6 months</v>
      </c>
      <c r="AU1995" s="22" t="s">
        <v>3745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0"/>
        <v>1</v>
      </c>
      <c r="Z1996" s="18">
        <f t="shared" si="601"/>
        <v>13000000</v>
      </c>
      <c r="AA1996" s="13">
        <v>7.0000000000000007E-2</v>
      </c>
      <c r="AB1996" s="21">
        <f t="shared" si="585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86"/>
        <v>29500529.005044252</v>
      </c>
      <c r="AJ1996" s="19">
        <f t="shared" si="587"/>
        <v>3253064.846231177</v>
      </c>
      <c r="AK1996" s="20">
        <f t="shared" si="594"/>
        <v>0.11027140718984871</v>
      </c>
      <c r="AL1996" s="17"/>
      <c r="AM1996" s="17"/>
      <c r="AN1996" s="17"/>
      <c r="AO1996" s="17"/>
      <c r="AP1996" s="28" t="str">
        <f t="shared" si="595"/>
        <v>202111</v>
      </c>
      <c r="AQ1996" s="28" t="str">
        <f t="shared" si="596"/>
        <v>202111JPY</v>
      </c>
      <c r="AR1996" s="206" t="str">
        <f t="shared" si="597"/>
        <v>YAMAHA_Mounter</v>
      </c>
      <c r="AS1996" s="22">
        <f t="shared" si="598"/>
        <v>6</v>
      </c>
      <c r="AT1996" s="24" t="str">
        <f t="shared" si="599"/>
        <v>4-6 months</v>
      </c>
      <c r="AU1996" s="22" t="s">
        <v>3745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0"/>
        <v>1</v>
      </c>
      <c r="Z1997" s="18">
        <f t="shared" si="601"/>
        <v>13000000</v>
      </c>
      <c r="AA1997" s="13">
        <v>7.0000000000000007E-2</v>
      </c>
      <c r="AB1997" s="21">
        <f t="shared" si="585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86"/>
        <v>29500529.005044252</v>
      </c>
      <c r="AJ1997" s="19">
        <f t="shared" si="587"/>
        <v>3253064.846231177</v>
      </c>
      <c r="AK1997" s="20">
        <f t="shared" si="594"/>
        <v>0.11027140718984871</v>
      </c>
      <c r="AL1997" s="17"/>
      <c r="AM1997" s="17"/>
      <c r="AN1997" s="17"/>
      <c r="AO1997" s="17"/>
      <c r="AP1997" s="28" t="str">
        <f t="shared" si="595"/>
        <v>202111</v>
      </c>
      <c r="AQ1997" s="28" t="str">
        <f t="shared" si="596"/>
        <v>202111JPY</v>
      </c>
      <c r="AR1997" s="206" t="str">
        <f t="shared" si="597"/>
        <v>YAMAHA_Mounter</v>
      </c>
      <c r="AS1997" s="22">
        <f t="shared" si="598"/>
        <v>6</v>
      </c>
      <c r="AT1997" s="24" t="str">
        <f t="shared" si="599"/>
        <v>4-6 months</v>
      </c>
      <c r="AU1997" s="22" t="s">
        <v>3745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0"/>
        <v>1</v>
      </c>
      <c r="Z1998" s="18">
        <f t="shared" si="601"/>
        <v>8360000</v>
      </c>
      <c r="AA1998" s="13">
        <v>6.9199999999999998E-2</v>
      </c>
      <c r="AB1998" s="21">
        <f t="shared" si="585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86"/>
        <v>28726768.133805312</v>
      </c>
      <c r="AJ1998" s="19">
        <f t="shared" si="587"/>
        <v>3853638.1988864429</v>
      </c>
      <c r="AK1998" s="20">
        <f t="shared" si="594"/>
        <v>0.1341479898099476</v>
      </c>
      <c r="AL1998" s="17"/>
      <c r="AM1998" s="17"/>
      <c r="AN1998" s="17"/>
      <c r="AO1998" s="17"/>
      <c r="AP1998" s="28" t="str">
        <f t="shared" si="595"/>
        <v>20223</v>
      </c>
      <c r="AQ1998" s="28" t="str">
        <f t="shared" si="596"/>
        <v>20223JPY</v>
      </c>
      <c r="AR1998" s="206" t="str">
        <f t="shared" si="597"/>
        <v>YAMAHA_Mounter</v>
      </c>
      <c r="AS1998" s="22">
        <f t="shared" si="598"/>
        <v>10</v>
      </c>
      <c r="AT1998" s="24" t="str">
        <f t="shared" si="599"/>
        <v>&gt; 6 months</v>
      </c>
      <c r="AU1998" s="22" t="s">
        <v>3745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0"/>
        <v>1</v>
      </c>
      <c r="Z1999" s="18">
        <f t="shared" si="601"/>
        <v>8360000</v>
      </c>
      <c r="AA1999" s="13">
        <v>6.9199999999999998E-2</v>
      </c>
      <c r="AB1999" s="21">
        <f t="shared" si="585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86"/>
        <v>28726768.133805312</v>
      </c>
      <c r="AJ1999" s="19">
        <f t="shared" si="587"/>
        <v>3853638.1988864429</v>
      </c>
      <c r="AK1999" s="20">
        <f t="shared" si="594"/>
        <v>0.1341479898099476</v>
      </c>
      <c r="AL1999" s="17"/>
      <c r="AM1999" s="17"/>
      <c r="AN1999" s="17"/>
      <c r="AO1999" s="17"/>
      <c r="AP1999" s="28" t="str">
        <f t="shared" si="595"/>
        <v>20223</v>
      </c>
      <c r="AQ1999" s="28" t="str">
        <f t="shared" si="596"/>
        <v>20223JPY</v>
      </c>
      <c r="AR1999" s="206" t="str">
        <f t="shared" si="597"/>
        <v>YAMAHA_Mounter</v>
      </c>
      <c r="AS1999" s="22">
        <f t="shared" si="598"/>
        <v>10</v>
      </c>
      <c r="AT1999" s="24" t="str">
        <f t="shared" si="599"/>
        <v>&gt; 6 months</v>
      </c>
      <c r="AU1999" s="22" t="s">
        <v>3745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0"/>
        <v>1</v>
      </c>
      <c r="Z2000" s="18">
        <f t="shared" si="601"/>
        <v>15000000</v>
      </c>
      <c r="AA2000" s="13">
        <v>5.96E-2</v>
      </c>
      <c r="AB2000" s="21">
        <f t="shared" si="585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86"/>
        <v>35073581.838938057</v>
      </c>
      <c r="AJ2000" s="19">
        <f t="shared" si="587"/>
        <v>5034113.9728989396</v>
      </c>
      <c r="AK2000" s="20">
        <f t="shared" si="594"/>
        <v>0.14353007902118958</v>
      </c>
      <c r="AL2000" s="17"/>
      <c r="AM2000" s="17"/>
      <c r="AN2000" s="17"/>
      <c r="AO2000" s="17"/>
      <c r="AP2000" s="28" t="str">
        <f t="shared" si="595"/>
        <v>20228</v>
      </c>
      <c r="AQ2000" s="28" t="str">
        <f t="shared" si="596"/>
        <v>20228JPY</v>
      </c>
      <c r="AR2000" s="206" t="str">
        <f t="shared" si="597"/>
        <v>YAMAHA_Mounter</v>
      </c>
      <c r="AS2000" s="22">
        <f t="shared" si="598"/>
        <v>3</v>
      </c>
      <c r="AT2000" s="24" t="str">
        <f t="shared" si="599"/>
        <v>0-3 months</v>
      </c>
      <c r="AU2000" s="22" t="s">
        <v>3745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0"/>
        <v>1</v>
      </c>
      <c r="Z2001" s="18">
        <f t="shared" si="601"/>
        <v>15000000</v>
      </c>
      <c r="AA2001" s="13">
        <v>5.96E-2</v>
      </c>
      <c r="AB2001" s="21">
        <f t="shared" si="585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86"/>
        <v>35073581.838938057</v>
      </c>
      <c r="AJ2001" s="19">
        <f t="shared" si="587"/>
        <v>5034113.9728989396</v>
      </c>
      <c r="AK2001" s="20">
        <f t="shared" si="594"/>
        <v>0.14353007902118958</v>
      </c>
      <c r="AL2001" s="17"/>
      <c r="AM2001" s="17"/>
      <c r="AN2001" s="17"/>
      <c r="AO2001" s="17"/>
      <c r="AP2001" s="28" t="str">
        <f t="shared" si="595"/>
        <v>20228</v>
      </c>
      <c r="AQ2001" s="28" t="str">
        <f t="shared" si="596"/>
        <v>20228JPY</v>
      </c>
      <c r="AR2001" s="206" t="str">
        <f t="shared" si="597"/>
        <v>YAMAHA_Mounter</v>
      </c>
      <c r="AS2001" s="22">
        <f t="shared" si="598"/>
        <v>3</v>
      </c>
      <c r="AT2001" s="24" t="str">
        <f t="shared" si="599"/>
        <v>0-3 months</v>
      </c>
      <c r="AU2001" s="22" t="s">
        <v>3745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0"/>
        <v>1.13</v>
      </c>
      <c r="Z2002" s="18">
        <f t="shared" si="601"/>
        <v>430000</v>
      </c>
      <c r="AA2002" s="13">
        <v>1.1299999999999999</v>
      </c>
      <c r="AB2002" s="21">
        <f t="shared" si="585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86"/>
        <v>33543315.897345133</v>
      </c>
      <c r="AJ2002" s="19">
        <f t="shared" si="587"/>
        <v>4706169.3252984071</v>
      </c>
      <c r="AK2002" s="20">
        <f t="shared" si="594"/>
        <v>0.14030125523967318</v>
      </c>
      <c r="AL2002" s="17"/>
      <c r="AM2002" s="17"/>
      <c r="AN2002" s="17"/>
      <c r="AO2002" s="17"/>
      <c r="AP2002" s="28" t="str">
        <f t="shared" si="595"/>
        <v>20233</v>
      </c>
      <c r="AQ2002" s="28" t="str">
        <f t="shared" si="596"/>
        <v>20233RMB</v>
      </c>
      <c r="AR2002" s="206" t="str">
        <f t="shared" si="597"/>
        <v>YAMAHA_Mounter</v>
      </c>
      <c r="AS2002" s="22">
        <f t="shared" si="598"/>
        <v>0</v>
      </c>
      <c r="AT2002" s="24" t="str">
        <f t="shared" si="599"/>
        <v>0-3 months</v>
      </c>
      <c r="AU2002" s="22" t="s">
        <v>3751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0"/>
        <v>1.13</v>
      </c>
      <c r="Z2003" s="18">
        <f t="shared" si="601"/>
        <v>430000</v>
      </c>
      <c r="AA2003" s="13">
        <v>1.1299999999999999</v>
      </c>
      <c r="AB2003" s="21">
        <f t="shared" si="585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86"/>
        <v>33543315.897345133</v>
      </c>
      <c r="AJ2003" s="19">
        <f t="shared" si="587"/>
        <v>4706169.3252984071</v>
      </c>
      <c r="AK2003" s="20">
        <f t="shared" si="594"/>
        <v>0.14030125523967318</v>
      </c>
      <c r="AL2003" s="17"/>
      <c r="AM2003" s="17"/>
      <c r="AN2003" s="17"/>
      <c r="AO2003" s="17"/>
      <c r="AP2003" s="28" t="str">
        <f t="shared" si="595"/>
        <v>20233</v>
      </c>
      <c r="AQ2003" s="28" t="str">
        <f t="shared" si="596"/>
        <v>20233RMB</v>
      </c>
      <c r="AR2003" s="206" t="str">
        <f t="shared" si="597"/>
        <v>YAMAHA_Mounter</v>
      </c>
      <c r="AS2003" s="22">
        <f t="shared" si="598"/>
        <v>0</v>
      </c>
      <c r="AT2003" s="24" t="str">
        <f t="shared" si="599"/>
        <v>0-3 months</v>
      </c>
      <c r="AU2003" s="22" t="s">
        <v>3751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1"/>
        <v>13000000</v>
      </c>
      <c r="AA2004" s="22">
        <v>5.6300000000000003E-2</v>
      </c>
      <c r="AB2004" s="21">
        <f t="shared" si="585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86"/>
        <v>23146578.081415929</v>
      </c>
      <c r="AJ2004" s="27">
        <f t="shared" si="587"/>
        <v>2745231.3889985834</v>
      </c>
      <c r="AK2004" s="28">
        <f t="shared" si="594"/>
        <v>0.11860204041143742</v>
      </c>
      <c r="AL2004" s="24"/>
      <c r="AM2004" s="24"/>
      <c r="AN2004" s="24"/>
      <c r="AO2004" s="24"/>
      <c r="AP2004" s="28" t="str">
        <f t="shared" si="595"/>
        <v>20241</v>
      </c>
      <c r="AQ2004" s="28" t="str">
        <f t="shared" si="596"/>
        <v>20241JPY</v>
      </c>
      <c r="AR2004" s="206" t="str">
        <f t="shared" si="597"/>
        <v>YAMAHA_Mounter</v>
      </c>
      <c r="AS2004" s="22">
        <f t="shared" si="598"/>
        <v>1</v>
      </c>
      <c r="AT2004" s="24" t="str">
        <f t="shared" si="599"/>
        <v>0-3 months</v>
      </c>
      <c r="AU2004" s="22" t="s">
        <v>3745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1"/>
        <v>7500000</v>
      </c>
      <c r="AA2005" s="22">
        <v>5.6300000000000003E-2</v>
      </c>
      <c r="AB2005" s="21">
        <f t="shared" si="585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86"/>
        <v>23146578.081415929</v>
      </c>
      <c r="AJ2005" s="27">
        <f t="shared" si="587"/>
        <v>2745231.3889985834</v>
      </c>
      <c r="AK2005" s="28">
        <f t="shared" si="594"/>
        <v>0.11860204041143742</v>
      </c>
      <c r="AL2005" s="24"/>
      <c r="AM2005" s="24"/>
      <c r="AN2005" s="24"/>
      <c r="AO2005" s="24"/>
      <c r="AP2005" s="28" t="str">
        <f t="shared" si="595"/>
        <v>20241</v>
      </c>
      <c r="AQ2005" s="28" t="str">
        <f t="shared" si="596"/>
        <v>20241JPY</v>
      </c>
      <c r="AR2005" s="206" t="str">
        <f t="shared" si="597"/>
        <v>YAMAHA_Mounter</v>
      </c>
      <c r="AS2005" s="22">
        <f t="shared" si="598"/>
        <v>1</v>
      </c>
      <c r="AT2005" s="24" t="str">
        <f t="shared" si="599"/>
        <v>0-3 months</v>
      </c>
      <c r="AU2005" s="22" t="s">
        <v>3745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1"/>
        <v>23880000</v>
      </c>
      <c r="AA2006" s="13">
        <v>7.2099999999999997E-2</v>
      </c>
      <c r="AB2006" s="21">
        <f t="shared" si="585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86"/>
        <v>26754147.763010349</v>
      </c>
      <c r="AJ2006" s="19">
        <f t="shared" si="587"/>
        <v>3429137.9965357962</v>
      </c>
      <c r="AK2006" s="20">
        <f t="shared" si="594"/>
        <v>0.12817220069617921</v>
      </c>
      <c r="AL2006" s="17"/>
      <c r="AM2006" s="17"/>
      <c r="AN2006" s="17"/>
      <c r="AO2006" s="17"/>
      <c r="AP2006" s="28" t="str">
        <f t="shared" si="595"/>
        <v>20188</v>
      </c>
      <c r="AQ2006" s="28" t="str">
        <f t="shared" si="596"/>
        <v>20188JPY</v>
      </c>
      <c r="AR2006" s="206" t="str">
        <f t="shared" si="597"/>
        <v>YAMAHA_Mounter</v>
      </c>
      <c r="AS2006" s="22">
        <f t="shared" si="598"/>
        <v>4</v>
      </c>
      <c r="AT2006" s="24" t="str">
        <f t="shared" si="599"/>
        <v>4-6 months</v>
      </c>
      <c r="AU2006" s="22" t="s">
        <v>3746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1"/>
        <v>30000000</v>
      </c>
      <c r="AA2007" s="13">
        <v>7.0400000000000004E-2</v>
      </c>
      <c r="AB2007" s="21">
        <f t="shared" si="585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86"/>
        <v>29840797.698275864</v>
      </c>
      <c r="AJ2007" s="19">
        <f t="shared" si="587"/>
        <v>3940167.6555448272</v>
      </c>
      <c r="AK2007" s="20">
        <f t="shared" si="594"/>
        <v>0.13203962224416277</v>
      </c>
      <c r="AL2007" s="17"/>
      <c r="AM2007" s="17"/>
      <c r="AN2007" s="17"/>
      <c r="AO2007" s="17"/>
      <c r="AP2007" s="28" t="str">
        <f t="shared" si="595"/>
        <v>201812</v>
      </c>
      <c r="AQ2007" s="28" t="str">
        <f t="shared" si="596"/>
        <v>201812JPY</v>
      </c>
      <c r="AR2007" s="206" t="str">
        <f t="shared" si="597"/>
        <v>YAMAHA_Mounter</v>
      </c>
      <c r="AS2007" s="22">
        <f t="shared" si="598"/>
        <v>8</v>
      </c>
      <c r="AT2007" s="24" t="str">
        <f t="shared" si="599"/>
        <v>&gt; 6 months</v>
      </c>
      <c r="AU2007" s="22" t="s">
        <v>3746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1"/>
        <v>12235000</v>
      </c>
      <c r="AA2008" s="13">
        <v>7.0400000000000004E-2</v>
      </c>
      <c r="AB2008" s="21">
        <f t="shared" si="585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86"/>
        <v>29840797.698275864</v>
      </c>
      <c r="AJ2008" s="19">
        <f t="shared" si="587"/>
        <v>3940167.6555448272</v>
      </c>
      <c r="AK2008" s="20">
        <f t="shared" si="594"/>
        <v>0.13203962224416277</v>
      </c>
      <c r="AL2008" s="17"/>
      <c r="AM2008" s="17"/>
      <c r="AN2008" s="17"/>
      <c r="AO2008" s="17"/>
      <c r="AP2008" s="28" t="str">
        <f t="shared" si="595"/>
        <v>201812</v>
      </c>
      <c r="AQ2008" s="28" t="str">
        <f t="shared" si="596"/>
        <v>201812JPY</v>
      </c>
      <c r="AR2008" s="206" t="str">
        <f t="shared" si="597"/>
        <v>YAMAHA_Mounter</v>
      </c>
      <c r="AS2008" s="22">
        <f t="shared" si="598"/>
        <v>4</v>
      </c>
      <c r="AT2008" s="24" t="str">
        <f t="shared" si="599"/>
        <v>4-6 months</v>
      </c>
      <c r="AU2008" s="22" t="s">
        <v>3746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1"/>
        <v>14000000</v>
      </c>
      <c r="AA2009" s="13">
        <v>7.0400000000000004E-2</v>
      </c>
      <c r="AB2009" s="21">
        <f t="shared" si="585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86"/>
        <v>29840797.698275864</v>
      </c>
      <c r="AJ2009" s="19">
        <f t="shared" si="587"/>
        <v>3940167.6555448272</v>
      </c>
      <c r="AK2009" s="20">
        <f t="shared" si="594"/>
        <v>0.13203962224416277</v>
      </c>
      <c r="AL2009" s="17"/>
      <c r="AM2009" s="17"/>
      <c r="AN2009" s="17"/>
      <c r="AO2009" s="17"/>
      <c r="AP2009" s="28" t="str">
        <f t="shared" si="595"/>
        <v>201812</v>
      </c>
      <c r="AQ2009" s="28" t="str">
        <f t="shared" si="596"/>
        <v>201812JPY</v>
      </c>
      <c r="AR2009" s="206" t="str">
        <f t="shared" si="597"/>
        <v>YAMAHA_Mounter</v>
      </c>
      <c r="AS2009" s="22">
        <f t="shared" si="598"/>
        <v>4</v>
      </c>
      <c r="AT2009" s="24" t="str">
        <f t="shared" si="599"/>
        <v>4-6 months</v>
      </c>
      <c r="AU2009" s="22" t="s">
        <v>3746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1"/>
        <v>17407500</v>
      </c>
      <c r="AA2010" s="13">
        <v>7.0400000000000004E-2</v>
      </c>
      <c r="AB2010" s="21">
        <f t="shared" si="585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86"/>
        <v>29840797.698275864</v>
      </c>
      <c r="AJ2010" s="19">
        <f t="shared" si="587"/>
        <v>3940167.6555448272</v>
      </c>
      <c r="AK2010" s="20">
        <f t="shared" si="594"/>
        <v>0.13203962224416277</v>
      </c>
      <c r="AL2010" s="17"/>
      <c r="AM2010" s="17"/>
      <c r="AN2010" s="17"/>
      <c r="AO2010" s="17"/>
      <c r="AP2010" s="28" t="str">
        <f t="shared" si="595"/>
        <v>201812</v>
      </c>
      <c r="AQ2010" s="28" t="str">
        <f t="shared" si="596"/>
        <v>201812JPY</v>
      </c>
      <c r="AR2010" s="206" t="str">
        <f t="shared" si="597"/>
        <v>YAMAHA_Mounter</v>
      </c>
      <c r="AS2010" s="22">
        <f t="shared" si="598"/>
        <v>3</v>
      </c>
      <c r="AT2010" s="24" t="str">
        <f t="shared" si="599"/>
        <v>0-3 months</v>
      </c>
      <c r="AU2010" s="22" t="s">
        <v>3746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1"/>
        <v>17407500</v>
      </c>
      <c r="AA2011" s="13">
        <v>7.0400000000000004E-2</v>
      </c>
      <c r="AB2011" s="21">
        <f t="shared" si="585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86"/>
        <v>29840797.698275864</v>
      </c>
      <c r="AJ2011" s="19">
        <f t="shared" si="587"/>
        <v>3940167.6555448272</v>
      </c>
      <c r="AK2011" s="20">
        <f t="shared" si="594"/>
        <v>0.13203962224416277</v>
      </c>
      <c r="AL2011" s="17"/>
      <c r="AM2011" s="17"/>
      <c r="AN2011" s="17"/>
      <c r="AO2011" s="17"/>
      <c r="AP2011" s="28" t="str">
        <f t="shared" si="595"/>
        <v>201812</v>
      </c>
      <c r="AQ2011" s="28" t="str">
        <f t="shared" si="596"/>
        <v>201812JPY</v>
      </c>
      <c r="AR2011" s="206" t="str">
        <f t="shared" si="597"/>
        <v>YAMAHA_Mounter</v>
      </c>
      <c r="AS2011" s="22">
        <f t="shared" si="598"/>
        <v>3</v>
      </c>
      <c r="AT2011" s="24" t="str">
        <f t="shared" si="599"/>
        <v>0-3 months</v>
      </c>
      <c r="AU2011" s="22" t="s">
        <v>3746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1"/>
        <v>15500000</v>
      </c>
      <c r="AA2012" s="13">
        <v>7.22E-2</v>
      </c>
      <c r="AB2012" s="21">
        <f t="shared" si="585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86"/>
        <v>47416008.333399981</v>
      </c>
      <c r="AJ2012" s="19">
        <f t="shared" si="587"/>
        <v>6981738.4465290187</v>
      </c>
      <c r="AK2012" s="20">
        <f t="shared" si="594"/>
        <v>0.14724433143839863</v>
      </c>
      <c r="AL2012" s="17"/>
      <c r="AM2012" s="17"/>
      <c r="AN2012" s="17"/>
      <c r="AO2012" s="17"/>
      <c r="AP2012" s="28" t="str">
        <f t="shared" si="595"/>
        <v>20193</v>
      </c>
      <c r="AQ2012" s="28" t="str">
        <f t="shared" si="596"/>
        <v>20193JPY</v>
      </c>
      <c r="AR2012" s="206" t="str">
        <f t="shared" si="597"/>
        <v>YAMAHA_Mounter</v>
      </c>
      <c r="AS2012" s="22">
        <f t="shared" si="598"/>
        <v>4</v>
      </c>
      <c r="AT2012" s="24" t="str">
        <f t="shared" si="599"/>
        <v>4-6 months</v>
      </c>
      <c r="AU2012" s="22" t="s">
        <v>3746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1"/>
        <v>15500000</v>
      </c>
      <c r="AA2013" s="13">
        <v>7.22E-2</v>
      </c>
      <c r="AB2013" s="21">
        <f t="shared" si="585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86"/>
        <v>47416008.333399981</v>
      </c>
      <c r="AJ2013" s="19">
        <f t="shared" si="587"/>
        <v>6981738.4465290187</v>
      </c>
      <c r="AK2013" s="20">
        <f t="shared" si="594"/>
        <v>0.14724433143839863</v>
      </c>
      <c r="AL2013" s="17"/>
      <c r="AM2013" s="17"/>
      <c r="AN2013" s="17"/>
      <c r="AO2013" s="17"/>
      <c r="AP2013" s="28" t="str">
        <f t="shared" si="595"/>
        <v>20193</v>
      </c>
      <c r="AQ2013" s="28" t="str">
        <f t="shared" si="596"/>
        <v>20193JPY</v>
      </c>
      <c r="AR2013" s="206" t="str">
        <f t="shared" si="597"/>
        <v>YAMAHA_Mounter</v>
      </c>
      <c r="AS2013" s="22">
        <f t="shared" si="598"/>
        <v>4</v>
      </c>
      <c r="AT2013" s="24" t="str">
        <f t="shared" si="599"/>
        <v>4-6 months</v>
      </c>
      <c r="AU2013" s="22" t="s">
        <v>3746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1"/>
        <v>15500000</v>
      </c>
      <c r="AA2014" s="13">
        <v>7.22E-2</v>
      </c>
      <c r="AB2014" s="21">
        <f t="shared" si="585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86"/>
        <v>47416008.333399981</v>
      </c>
      <c r="AJ2014" s="19">
        <f t="shared" si="587"/>
        <v>6981738.4465290187</v>
      </c>
      <c r="AK2014" s="20">
        <f t="shared" si="594"/>
        <v>0.14724433143839863</v>
      </c>
      <c r="AL2014" s="17"/>
      <c r="AM2014" s="17"/>
      <c r="AN2014" s="17"/>
      <c r="AO2014" s="17"/>
      <c r="AP2014" s="28" t="str">
        <f t="shared" si="595"/>
        <v>20193</v>
      </c>
      <c r="AQ2014" s="28" t="str">
        <f t="shared" si="596"/>
        <v>20193JPY</v>
      </c>
      <c r="AR2014" s="206" t="str">
        <f t="shared" si="597"/>
        <v>YAMAHA_Mounter</v>
      </c>
      <c r="AS2014" s="22">
        <f t="shared" si="598"/>
        <v>4</v>
      </c>
      <c r="AT2014" s="24" t="str">
        <f t="shared" si="599"/>
        <v>4-6 months</v>
      </c>
      <c r="AU2014" s="22" t="s">
        <v>3746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1"/>
        <v>15500000</v>
      </c>
      <c r="AA2015" s="13">
        <v>7.22E-2</v>
      </c>
      <c r="AB2015" s="21">
        <f t="shared" si="585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86"/>
        <v>47416008.333399981</v>
      </c>
      <c r="AJ2015" s="19">
        <f t="shared" si="587"/>
        <v>6981738.4465290187</v>
      </c>
      <c r="AK2015" s="20">
        <f t="shared" si="594"/>
        <v>0.14724433143839863</v>
      </c>
      <c r="AL2015" s="17"/>
      <c r="AM2015" s="17"/>
      <c r="AN2015" s="17"/>
      <c r="AO2015" s="17"/>
      <c r="AP2015" s="28" t="str">
        <f t="shared" si="595"/>
        <v>20193</v>
      </c>
      <c r="AQ2015" s="28" t="str">
        <f t="shared" si="596"/>
        <v>20193JPY</v>
      </c>
      <c r="AR2015" s="206" t="str">
        <f t="shared" si="597"/>
        <v>YAMAHA_Mounter</v>
      </c>
      <c r="AS2015" s="22">
        <f t="shared" si="598"/>
        <v>4</v>
      </c>
      <c r="AT2015" s="24" t="str">
        <f t="shared" si="599"/>
        <v>4-6 months</v>
      </c>
      <c r="AU2015" s="22" t="s">
        <v>3746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1"/>
        <v>12882566</v>
      </c>
      <c r="AA2016" s="13">
        <v>7.22E-2</v>
      </c>
      <c r="AB2016" s="21">
        <f t="shared" si="585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86"/>
        <v>47416008.333399981</v>
      </c>
      <c r="AJ2016" s="19">
        <f t="shared" si="587"/>
        <v>6981738.4465290187</v>
      </c>
      <c r="AK2016" s="20">
        <f t="shared" si="594"/>
        <v>0.14724433143839863</v>
      </c>
      <c r="AL2016" s="17"/>
      <c r="AM2016" s="17"/>
      <c r="AN2016" s="17"/>
      <c r="AO2016" s="17"/>
      <c r="AP2016" s="28" t="str">
        <f t="shared" si="595"/>
        <v>20193</v>
      </c>
      <c r="AQ2016" s="28" t="str">
        <f t="shared" si="596"/>
        <v>20193JPY</v>
      </c>
      <c r="AR2016" s="206" t="str">
        <f t="shared" si="597"/>
        <v>YAMAHA_Mounter</v>
      </c>
      <c r="AS2016" s="22">
        <f t="shared" si="598"/>
        <v>4</v>
      </c>
      <c r="AT2016" s="24" t="str">
        <f t="shared" si="599"/>
        <v>4-6 months</v>
      </c>
      <c r="AU2016" s="22" t="s">
        <v>3746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1"/>
        <v>12882566</v>
      </c>
      <c r="AA2017" s="13">
        <v>7.22E-2</v>
      </c>
      <c r="AB2017" s="21">
        <f t="shared" si="585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86"/>
        <v>47416008.333399981</v>
      </c>
      <c r="AJ2017" s="19">
        <f t="shared" si="587"/>
        <v>6981738.4465290187</v>
      </c>
      <c r="AK2017" s="20">
        <f t="shared" si="594"/>
        <v>0.14724433143839863</v>
      </c>
      <c r="AL2017" s="17"/>
      <c r="AM2017" s="17"/>
      <c r="AN2017" s="17"/>
      <c r="AO2017" s="17"/>
      <c r="AP2017" s="28" t="str">
        <f t="shared" si="595"/>
        <v>20193</v>
      </c>
      <c r="AQ2017" s="28" t="str">
        <f t="shared" si="596"/>
        <v>20193JPY</v>
      </c>
      <c r="AR2017" s="206" t="str">
        <f t="shared" si="597"/>
        <v>YAMAHA_Mounter</v>
      </c>
      <c r="AS2017" s="22">
        <f t="shared" si="598"/>
        <v>4</v>
      </c>
      <c r="AT2017" s="24" t="str">
        <f t="shared" si="599"/>
        <v>4-6 months</v>
      </c>
      <c r="AU2017" s="22" t="s">
        <v>3746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1"/>
        <v>12882566</v>
      </c>
      <c r="AA2018" s="13">
        <v>7.22E-2</v>
      </c>
      <c r="AB2018" s="21">
        <f t="shared" si="585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86"/>
        <v>47416008.333399981</v>
      </c>
      <c r="AJ2018" s="19">
        <f t="shared" si="587"/>
        <v>6981738.4465290187</v>
      </c>
      <c r="AK2018" s="20">
        <f t="shared" si="594"/>
        <v>0.14724433143839863</v>
      </c>
      <c r="AL2018" s="17"/>
      <c r="AM2018" s="17"/>
      <c r="AN2018" s="17"/>
      <c r="AO2018" s="17"/>
      <c r="AP2018" s="28" t="str">
        <f t="shared" si="595"/>
        <v>20193</v>
      </c>
      <c r="AQ2018" s="28" t="str">
        <f t="shared" si="596"/>
        <v>20193JPY</v>
      </c>
      <c r="AR2018" s="206" t="str">
        <f t="shared" si="597"/>
        <v>YAMAHA_Mounter</v>
      </c>
      <c r="AS2018" s="22">
        <f t="shared" si="598"/>
        <v>4</v>
      </c>
      <c r="AT2018" s="24" t="str">
        <f t="shared" si="599"/>
        <v>4-6 months</v>
      </c>
      <c r="AU2018" s="22" t="s">
        <v>3746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1"/>
        <v>12882566</v>
      </c>
      <c r="AA2019" s="13">
        <v>7.22E-2</v>
      </c>
      <c r="AB2019" s="21">
        <f t="shared" si="585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86"/>
        <v>47416008.333399981</v>
      </c>
      <c r="AJ2019" s="19">
        <f t="shared" si="587"/>
        <v>6981738.4465290187</v>
      </c>
      <c r="AK2019" s="20">
        <f t="shared" si="594"/>
        <v>0.14724433143839863</v>
      </c>
      <c r="AL2019" s="17"/>
      <c r="AM2019" s="17"/>
      <c r="AN2019" s="17"/>
      <c r="AO2019" s="17"/>
      <c r="AP2019" s="28" t="str">
        <f t="shared" si="595"/>
        <v>20193</v>
      </c>
      <c r="AQ2019" s="28" t="str">
        <f t="shared" si="596"/>
        <v>20193JPY</v>
      </c>
      <c r="AR2019" s="206" t="str">
        <f t="shared" si="597"/>
        <v>YAMAHA_Mounter</v>
      </c>
      <c r="AS2019" s="22">
        <f t="shared" si="598"/>
        <v>4</v>
      </c>
      <c r="AT2019" s="24" t="str">
        <f t="shared" si="599"/>
        <v>4-6 months</v>
      </c>
      <c r="AU2019" s="22" t="s">
        <v>3746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1"/>
        <v>12882566</v>
      </c>
      <c r="AA2020" s="13">
        <v>7.22E-2</v>
      </c>
      <c r="AB2020" s="21">
        <f t="shared" si="585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86"/>
        <v>47416008.333399981</v>
      </c>
      <c r="AJ2020" s="19">
        <f t="shared" si="587"/>
        <v>6981738.4465290187</v>
      </c>
      <c r="AK2020" s="20">
        <f t="shared" si="594"/>
        <v>0.14724433143839863</v>
      </c>
      <c r="AL2020" s="17"/>
      <c r="AM2020" s="17"/>
      <c r="AN2020" s="17"/>
      <c r="AO2020" s="17"/>
      <c r="AP2020" s="28" t="str">
        <f t="shared" si="595"/>
        <v>20193</v>
      </c>
      <c r="AQ2020" s="28" t="str">
        <f t="shared" si="596"/>
        <v>20193JPY</v>
      </c>
      <c r="AR2020" s="206" t="str">
        <f t="shared" si="597"/>
        <v>YAMAHA_Mounter</v>
      </c>
      <c r="AS2020" s="22">
        <f t="shared" si="598"/>
        <v>4</v>
      </c>
      <c r="AT2020" s="24" t="str">
        <f t="shared" si="599"/>
        <v>4-6 months</v>
      </c>
      <c r="AU2020" s="22" t="s">
        <v>3746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1"/>
        <v>12882566</v>
      </c>
      <c r="AA2021" s="13">
        <v>7.22E-2</v>
      </c>
      <c r="AB2021" s="21">
        <f t="shared" si="585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86"/>
        <v>47416008.333399981</v>
      </c>
      <c r="AJ2021" s="19">
        <f t="shared" si="587"/>
        <v>6981738.4465290187</v>
      </c>
      <c r="AK2021" s="20">
        <f t="shared" si="594"/>
        <v>0.14724433143839863</v>
      </c>
      <c r="AL2021" s="17"/>
      <c r="AM2021" s="17"/>
      <c r="AN2021" s="17"/>
      <c r="AO2021" s="17"/>
      <c r="AP2021" s="28" t="str">
        <f t="shared" si="595"/>
        <v>20193</v>
      </c>
      <c r="AQ2021" s="28" t="str">
        <f t="shared" si="596"/>
        <v>20193JPY</v>
      </c>
      <c r="AR2021" s="206" t="str">
        <f t="shared" si="597"/>
        <v>YAMAHA_Mounter</v>
      </c>
      <c r="AS2021" s="22">
        <f t="shared" si="598"/>
        <v>4</v>
      </c>
      <c r="AT2021" s="24" t="str">
        <f t="shared" si="599"/>
        <v>4-6 months</v>
      </c>
      <c r="AU2021" s="22" t="s">
        <v>3746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1"/>
        <v>12882566</v>
      </c>
      <c r="AA2022" s="13">
        <v>7.22E-2</v>
      </c>
      <c r="AB2022" s="21">
        <f t="shared" si="585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86"/>
        <v>47416008.333399981</v>
      </c>
      <c r="AJ2022" s="19">
        <f t="shared" si="587"/>
        <v>6981738.4465290187</v>
      </c>
      <c r="AK2022" s="20">
        <f t="shared" si="594"/>
        <v>0.14724433143839863</v>
      </c>
      <c r="AL2022" s="17"/>
      <c r="AM2022" s="17"/>
      <c r="AN2022" s="17"/>
      <c r="AO2022" s="17"/>
      <c r="AP2022" s="28" t="str">
        <f t="shared" si="595"/>
        <v>20193</v>
      </c>
      <c r="AQ2022" s="28" t="str">
        <f t="shared" si="596"/>
        <v>20193JPY</v>
      </c>
      <c r="AR2022" s="206" t="str">
        <f t="shared" si="597"/>
        <v>YAMAHA_Mounter</v>
      </c>
      <c r="AS2022" s="22">
        <f t="shared" si="598"/>
        <v>4</v>
      </c>
      <c r="AT2022" s="24" t="str">
        <f t="shared" si="599"/>
        <v>4-6 months</v>
      </c>
      <c r="AU2022" s="22" t="s">
        <v>3746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1"/>
        <v>12169500</v>
      </c>
      <c r="AA2023" s="13">
        <v>7.5700000000000003E-2</v>
      </c>
      <c r="AB2023" s="21">
        <f t="shared" si="585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86"/>
        <v>37969334.083628319</v>
      </c>
      <c r="AJ2023" s="19">
        <f t="shared" si="587"/>
        <v>5097226.4551657084</v>
      </c>
      <c r="AK2023" s="20">
        <f t="shared" si="594"/>
        <v>0.13424587441904964</v>
      </c>
      <c r="AL2023" s="17"/>
      <c r="AM2023" s="17"/>
      <c r="AN2023" s="17"/>
      <c r="AO2023" s="17"/>
      <c r="AP2023" s="28" t="str">
        <f t="shared" si="595"/>
        <v>20208</v>
      </c>
      <c r="AQ2023" s="28" t="str">
        <f t="shared" si="596"/>
        <v>20208JPY</v>
      </c>
      <c r="AR2023" s="206" t="str">
        <f t="shared" si="597"/>
        <v>YAMAHA_Mounter</v>
      </c>
      <c r="AS2023" s="22">
        <f t="shared" si="598"/>
        <v>2</v>
      </c>
      <c r="AT2023" s="24" t="str">
        <f t="shared" si="599"/>
        <v>0-3 months</v>
      </c>
      <c r="AU2023" s="22" t="s">
        <v>3746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1"/>
        <v>12169500</v>
      </c>
      <c r="AA2024" s="13">
        <v>7.3400000000000007E-2</v>
      </c>
      <c r="AB2024" s="21">
        <f t="shared" si="585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86"/>
        <v>35384300.169380538</v>
      </c>
      <c r="AJ2024" s="19">
        <f t="shared" si="587"/>
        <v>5044538.8896988509</v>
      </c>
      <c r="AK2024" s="20">
        <f t="shared" si="594"/>
        <v>0.14256432557804533</v>
      </c>
      <c r="AL2024" s="17"/>
      <c r="AM2024" s="17"/>
      <c r="AN2024" s="17"/>
      <c r="AO2024" s="17"/>
      <c r="AP2024" s="28" t="str">
        <f t="shared" si="595"/>
        <v>20207</v>
      </c>
      <c r="AQ2024" s="28" t="str">
        <f t="shared" si="596"/>
        <v>20207JPY</v>
      </c>
      <c r="AR2024" s="206" t="str">
        <f t="shared" si="597"/>
        <v>YAMAHA_Mounter</v>
      </c>
      <c r="AS2024" s="22">
        <f t="shared" si="598"/>
        <v>1</v>
      </c>
      <c r="AT2024" s="24" t="str">
        <f t="shared" si="599"/>
        <v>0-3 months</v>
      </c>
      <c r="AU2024" s="22" t="s">
        <v>3746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1"/>
        <v>8169500</v>
      </c>
      <c r="AA2025" s="13">
        <v>7.3400000000000007E-2</v>
      </c>
      <c r="AB2025" s="21">
        <f t="shared" si="585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86"/>
        <v>35384300.169380538</v>
      </c>
      <c r="AJ2025" s="19">
        <f t="shared" si="587"/>
        <v>5044538.8896988509</v>
      </c>
      <c r="AK2025" s="20">
        <f t="shared" si="594"/>
        <v>0.14256432557804533</v>
      </c>
      <c r="AL2025" s="17"/>
      <c r="AM2025" s="17"/>
      <c r="AN2025" s="17"/>
      <c r="AO2025" s="17"/>
      <c r="AP2025" s="28" t="str">
        <f t="shared" si="595"/>
        <v>20207</v>
      </c>
      <c r="AQ2025" s="28" t="str">
        <f t="shared" si="596"/>
        <v>20207JPY</v>
      </c>
      <c r="AR2025" s="206" t="str">
        <f t="shared" si="597"/>
        <v>YAMAHA_Mounter</v>
      </c>
      <c r="AS2025" s="22">
        <f t="shared" si="598"/>
        <v>1</v>
      </c>
      <c r="AT2025" s="24" t="str">
        <f t="shared" si="599"/>
        <v>0-3 months</v>
      </c>
      <c r="AU2025" s="22" t="s">
        <v>3746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1"/>
        <v>8169500</v>
      </c>
      <c r="AA2026" s="13">
        <v>7.3400000000000007E-2</v>
      </c>
      <c r="AB2026" s="21">
        <f t="shared" si="585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86"/>
        <v>35384300.169380538</v>
      </c>
      <c r="AJ2026" s="19">
        <f t="shared" si="587"/>
        <v>5044538.8896988509</v>
      </c>
      <c r="AK2026" s="20">
        <f t="shared" si="594"/>
        <v>0.14256432557804533</v>
      </c>
      <c r="AL2026" s="17"/>
      <c r="AM2026" s="17"/>
      <c r="AN2026" s="17"/>
      <c r="AO2026" s="17"/>
      <c r="AP2026" s="28" t="str">
        <f t="shared" si="595"/>
        <v>20207</v>
      </c>
      <c r="AQ2026" s="28" t="str">
        <f t="shared" si="596"/>
        <v>20207JPY</v>
      </c>
      <c r="AR2026" s="206" t="str">
        <f t="shared" si="597"/>
        <v>YAMAHA_Mounter</v>
      </c>
      <c r="AS2026" s="22">
        <f t="shared" si="598"/>
        <v>1</v>
      </c>
      <c r="AT2026" s="24" t="str">
        <f t="shared" si="599"/>
        <v>0-3 months</v>
      </c>
      <c r="AU2026" s="22" t="s">
        <v>3746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1"/>
        <v>13200000</v>
      </c>
      <c r="AA2027" s="13">
        <v>7.3400000000000007E-2</v>
      </c>
      <c r="AB2027" s="21">
        <f t="shared" si="585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86"/>
        <v>35384300.169380538</v>
      </c>
      <c r="AJ2027" s="19">
        <f t="shared" si="587"/>
        <v>5044538.8896988509</v>
      </c>
      <c r="AK2027" s="20">
        <f t="shared" si="594"/>
        <v>0.14256432557804533</v>
      </c>
      <c r="AL2027" s="17"/>
      <c r="AM2027" s="17"/>
      <c r="AN2027" s="17"/>
      <c r="AO2027" s="17"/>
      <c r="AP2027" s="28" t="str">
        <f t="shared" si="595"/>
        <v>20207</v>
      </c>
      <c r="AQ2027" s="28" t="str">
        <f t="shared" si="596"/>
        <v>20207JPY</v>
      </c>
      <c r="AR2027" s="206" t="str">
        <f t="shared" si="597"/>
        <v>YAMAHA_Mounter</v>
      </c>
      <c r="AS2027" s="22">
        <f t="shared" si="598"/>
        <v>1</v>
      </c>
      <c r="AT2027" s="24" t="str">
        <f t="shared" si="599"/>
        <v>0-3 months</v>
      </c>
      <c r="AU2027" s="22" t="s">
        <v>3746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1"/>
        <v>9200000</v>
      </c>
      <c r="AA2028" s="13">
        <v>7.3400000000000007E-2</v>
      </c>
      <c r="AB2028" s="21">
        <f t="shared" si="585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86"/>
        <v>35384300.169380538</v>
      </c>
      <c r="AJ2028" s="19">
        <f t="shared" si="587"/>
        <v>5044538.8896988509</v>
      </c>
      <c r="AK2028" s="20">
        <f t="shared" si="594"/>
        <v>0.14256432557804533</v>
      </c>
      <c r="AL2028" s="17"/>
      <c r="AM2028" s="17"/>
      <c r="AN2028" s="17"/>
      <c r="AO2028" s="17"/>
      <c r="AP2028" s="28" t="str">
        <f t="shared" si="595"/>
        <v>20207</v>
      </c>
      <c r="AQ2028" s="28" t="str">
        <f t="shared" si="596"/>
        <v>20207JPY</v>
      </c>
      <c r="AR2028" s="206" t="str">
        <f t="shared" si="597"/>
        <v>YAMAHA_Mounter</v>
      </c>
      <c r="AS2028" s="22">
        <f t="shared" si="598"/>
        <v>1</v>
      </c>
      <c r="AT2028" s="24" t="str">
        <f t="shared" si="599"/>
        <v>0-3 months</v>
      </c>
      <c r="AU2028" s="22" t="s">
        <v>3746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1"/>
        <v>9200000</v>
      </c>
      <c r="AA2029" s="13">
        <v>7.3400000000000007E-2</v>
      </c>
      <c r="AB2029" s="21">
        <f t="shared" si="585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86"/>
        <v>35384300.169380538</v>
      </c>
      <c r="AJ2029" s="19">
        <f t="shared" si="587"/>
        <v>5044538.8896988509</v>
      </c>
      <c r="AK2029" s="20">
        <f t="shared" si="594"/>
        <v>0.14256432557804533</v>
      </c>
      <c r="AL2029" s="17"/>
      <c r="AM2029" s="17"/>
      <c r="AN2029" s="17"/>
      <c r="AO2029" s="17"/>
      <c r="AP2029" s="28" t="str">
        <f t="shared" si="595"/>
        <v>20207</v>
      </c>
      <c r="AQ2029" s="28" t="str">
        <f t="shared" si="596"/>
        <v>20207JPY</v>
      </c>
      <c r="AR2029" s="206" t="str">
        <f t="shared" si="597"/>
        <v>YAMAHA_Mounter</v>
      </c>
      <c r="AS2029" s="22">
        <f t="shared" si="598"/>
        <v>1</v>
      </c>
      <c r="AT2029" s="24" t="str">
        <f t="shared" si="599"/>
        <v>0-3 months</v>
      </c>
      <c r="AU2029" s="22" t="s">
        <v>3746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1"/>
        <v>9200000</v>
      </c>
      <c r="AA2030" s="13">
        <v>7.3400000000000007E-2</v>
      </c>
      <c r="AB2030" s="21">
        <f t="shared" si="585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86"/>
        <v>35384300.169380538</v>
      </c>
      <c r="AJ2030" s="19">
        <f t="shared" si="587"/>
        <v>5044538.8896988509</v>
      </c>
      <c r="AK2030" s="20">
        <f t="shared" si="594"/>
        <v>0.14256432557804533</v>
      </c>
      <c r="AL2030" s="17"/>
      <c r="AM2030" s="17"/>
      <c r="AN2030" s="17"/>
      <c r="AO2030" s="17"/>
      <c r="AP2030" s="28" t="str">
        <f t="shared" si="595"/>
        <v>20207</v>
      </c>
      <c r="AQ2030" s="28" t="str">
        <f t="shared" si="596"/>
        <v>20207JPY</v>
      </c>
      <c r="AR2030" s="206" t="str">
        <f t="shared" si="597"/>
        <v>YAMAHA_Mounter</v>
      </c>
      <c r="AS2030" s="22">
        <f t="shared" si="598"/>
        <v>1</v>
      </c>
      <c r="AT2030" s="24" t="str">
        <f t="shared" si="599"/>
        <v>0-3 months</v>
      </c>
      <c r="AU2030" s="22" t="s">
        <v>3746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2">IF(W2031="RMB","1.13", "1")</f>
        <v>1</v>
      </c>
      <c r="Z2031" s="18">
        <f t="shared" si="601"/>
        <v>7700000</v>
      </c>
      <c r="AA2031" s="13">
        <v>7.6799999999999993E-2</v>
      </c>
      <c r="AB2031" s="21">
        <f t="shared" si="585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86"/>
        <v>45803245.025628321</v>
      </c>
      <c r="AJ2031" s="19">
        <f t="shared" si="587"/>
        <v>5664636.2584379362</v>
      </c>
      <c r="AK2031" s="20">
        <f t="shared" si="594"/>
        <v>0.12367325186825515</v>
      </c>
      <c r="AL2031" s="17"/>
      <c r="AM2031" s="17"/>
      <c r="AN2031" s="17"/>
      <c r="AO2031" s="17"/>
      <c r="AP2031" s="28" t="str">
        <f t="shared" si="595"/>
        <v>20211</v>
      </c>
      <c r="AQ2031" s="28" t="str">
        <f t="shared" si="596"/>
        <v>20211JPY</v>
      </c>
      <c r="AR2031" s="206" t="str">
        <f t="shared" si="597"/>
        <v>YAMAHA_Mounter</v>
      </c>
      <c r="AS2031" s="22">
        <f t="shared" si="598"/>
        <v>1</v>
      </c>
      <c r="AT2031" s="24" t="str">
        <f t="shared" si="599"/>
        <v>0-3 months</v>
      </c>
      <c r="AU2031" s="22" t="s">
        <v>3746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2"/>
        <v>1</v>
      </c>
      <c r="Z2032" s="18">
        <f t="shared" si="601"/>
        <v>7700000</v>
      </c>
      <c r="AA2032" s="13">
        <v>7.6799999999999993E-2</v>
      </c>
      <c r="AB2032" s="21">
        <f t="shared" si="585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86"/>
        <v>45803245.025628321</v>
      </c>
      <c r="AJ2032" s="19">
        <f t="shared" si="587"/>
        <v>5664636.2584379362</v>
      </c>
      <c r="AK2032" s="20">
        <f t="shared" si="594"/>
        <v>0.12367325186825515</v>
      </c>
      <c r="AL2032" s="17"/>
      <c r="AM2032" s="17"/>
      <c r="AN2032" s="17"/>
      <c r="AO2032" s="17"/>
      <c r="AP2032" s="28" t="str">
        <f t="shared" si="595"/>
        <v>20211</v>
      </c>
      <c r="AQ2032" s="28" t="str">
        <f t="shared" si="596"/>
        <v>20211JPY</v>
      </c>
      <c r="AR2032" s="206" t="str">
        <f t="shared" si="597"/>
        <v>YAMAHA_Mounter</v>
      </c>
      <c r="AS2032" s="22">
        <f t="shared" si="598"/>
        <v>1</v>
      </c>
      <c r="AT2032" s="24" t="str">
        <f t="shared" si="599"/>
        <v>0-3 months</v>
      </c>
      <c r="AU2032" s="22" t="s">
        <v>3746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2"/>
        <v>1</v>
      </c>
      <c r="Z2033" s="18">
        <f t="shared" si="601"/>
        <v>11900000</v>
      </c>
      <c r="AA2033" s="13">
        <v>7.4499999999999997E-2</v>
      </c>
      <c r="AB2033" s="21">
        <f t="shared" si="585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86"/>
        <v>57778307.282035396</v>
      </c>
      <c r="AJ2033" s="19">
        <f t="shared" si="587"/>
        <v>7259860.7225420559</v>
      </c>
      <c r="AK2033" s="20">
        <f t="shared" si="594"/>
        <v>0.12565028406083667</v>
      </c>
      <c r="AL2033" s="17"/>
      <c r="AM2033" s="17"/>
      <c r="AN2033" s="17"/>
      <c r="AO2033" s="17"/>
      <c r="AP2033" s="28" t="str">
        <f t="shared" si="595"/>
        <v>20213</v>
      </c>
      <c r="AQ2033" s="28" t="str">
        <f t="shared" si="596"/>
        <v>20213JPY</v>
      </c>
      <c r="AR2033" s="206" t="str">
        <f t="shared" si="597"/>
        <v>YAMAHA_Mounter</v>
      </c>
      <c r="AS2033" s="22">
        <f t="shared" si="598"/>
        <v>3</v>
      </c>
      <c r="AT2033" s="24" t="str">
        <f t="shared" si="599"/>
        <v>0-3 months</v>
      </c>
      <c r="AU2033" s="22" t="s">
        <v>3746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2"/>
        <v>1</v>
      </c>
      <c r="Z2034" s="18">
        <f t="shared" si="601"/>
        <v>11900000</v>
      </c>
      <c r="AA2034" s="13">
        <v>7.4499999999999997E-2</v>
      </c>
      <c r="AB2034" s="21">
        <f t="shared" si="585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86"/>
        <v>57778307.282035396</v>
      </c>
      <c r="AJ2034" s="19">
        <f t="shared" si="587"/>
        <v>7259860.7225420559</v>
      </c>
      <c r="AK2034" s="20">
        <f t="shared" si="594"/>
        <v>0.12565028406083667</v>
      </c>
      <c r="AL2034" s="17"/>
      <c r="AM2034" s="17"/>
      <c r="AN2034" s="17"/>
      <c r="AO2034" s="17"/>
      <c r="AP2034" s="28" t="str">
        <f t="shared" si="595"/>
        <v>20213</v>
      </c>
      <c r="AQ2034" s="28" t="str">
        <f t="shared" si="596"/>
        <v>20213JPY</v>
      </c>
      <c r="AR2034" s="206" t="str">
        <f t="shared" si="597"/>
        <v>YAMAHA_Mounter</v>
      </c>
      <c r="AS2034" s="22">
        <f t="shared" si="598"/>
        <v>3</v>
      </c>
      <c r="AT2034" s="24" t="str">
        <f t="shared" si="599"/>
        <v>0-3 months</v>
      </c>
      <c r="AU2034" s="22" t="s">
        <v>3746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2"/>
        <v>1</v>
      </c>
      <c r="Z2035" s="18">
        <f t="shared" si="601"/>
        <v>11900000</v>
      </c>
      <c r="AA2035" s="13">
        <v>7.4499999999999997E-2</v>
      </c>
      <c r="AB2035" s="21">
        <f t="shared" si="585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86"/>
        <v>57778307.282035396</v>
      </c>
      <c r="AJ2035" s="19">
        <f t="shared" si="587"/>
        <v>7259860.7225420559</v>
      </c>
      <c r="AK2035" s="20">
        <f t="shared" si="594"/>
        <v>0.12565028406083667</v>
      </c>
      <c r="AL2035" s="17"/>
      <c r="AM2035" s="17"/>
      <c r="AN2035" s="17"/>
      <c r="AO2035" s="17"/>
      <c r="AP2035" s="28" t="str">
        <f t="shared" si="595"/>
        <v>20213</v>
      </c>
      <c r="AQ2035" s="28" t="str">
        <f t="shared" si="596"/>
        <v>20213JPY</v>
      </c>
      <c r="AR2035" s="206" t="str">
        <f t="shared" si="597"/>
        <v>YAMAHA_Mounter</v>
      </c>
      <c r="AS2035" s="22">
        <f t="shared" si="598"/>
        <v>3</v>
      </c>
      <c r="AT2035" s="24" t="str">
        <f t="shared" si="599"/>
        <v>0-3 months</v>
      </c>
      <c r="AU2035" s="22" t="s">
        <v>3746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2"/>
        <v>1</v>
      </c>
      <c r="Z2036" s="18">
        <f t="shared" si="601"/>
        <v>7500000</v>
      </c>
      <c r="AA2036" s="13">
        <v>7.4499999999999997E-2</v>
      </c>
      <c r="AB2036" s="21">
        <f t="shared" si="585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86"/>
        <v>57778307.282035396</v>
      </c>
      <c r="AJ2036" s="19">
        <f t="shared" si="587"/>
        <v>7259860.7225420559</v>
      </c>
      <c r="AK2036" s="20">
        <f t="shared" si="594"/>
        <v>0.12565028406083667</v>
      </c>
      <c r="AL2036" s="17"/>
      <c r="AM2036" s="17"/>
      <c r="AN2036" s="17"/>
      <c r="AO2036" s="17"/>
      <c r="AP2036" s="28" t="str">
        <f t="shared" si="595"/>
        <v>20213</v>
      </c>
      <c r="AQ2036" s="28" t="str">
        <f t="shared" si="596"/>
        <v>20213JPY</v>
      </c>
      <c r="AR2036" s="206" t="str">
        <f t="shared" si="597"/>
        <v>YAMAHA_Mounter</v>
      </c>
      <c r="AS2036" s="22">
        <f t="shared" si="598"/>
        <v>3</v>
      </c>
      <c r="AT2036" s="24" t="str">
        <f t="shared" si="599"/>
        <v>0-3 months</v>
      </c>
      <c r="AU2036" s="22" t="s">
        <v>3746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2"/>
        <v>1</v>
      </c>
      <c r="Z2037" s="18">
        <f t="shared" si="601"/>
        <v>7500000</v>
      </c>
      <c r="AA2037" s="13">
        <v>7.4499999999999997E-2</v>
      </c>
      <c r="AB2037" s="21">
        <f t="shared" si="585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86"/>
        <v>57778307.282035396</v>
      </c>
      <c r="AJ2037" s="19">
        <f t="shared" si="587"/>
        <v>7259860.7225420559</v>
      </c>
      <c r="AK2037" s="20">
        <f t="shared" si="594"/>
        <v>0.12565028406083667</v>
      </c>
      <c r="AL2037" s="17"/>
      <c r="AM2037" s="17"/>
      <c r="AN2037" s="17"/>
      <c r="AO2037" s="17"/>
      <c r="AP2037" s="28" t="str">
        <f t="shared" si="595"/>
        <v>20213</v>
      </c>
      <c r="AQ2037" s="28" t="str">
        <f t="shared" si="596"/>
        <v>20213JPY</v>
      </c>
      <c r="AR2037" s="206" t="str">
        <f t="shared" si="597"/>
        <v>YAMAHA_Mounter</v>
      </c>
      <c r="AS2037" s="22">
        <f t="shared" si="598"/>
        <v>3</v>
      </c>
      <c r="AT2037" s="24" t="str">
        <f t="shared" si="599"/>
        <v>0-3 months</v>
      </c>
      <c r="AU2037" s="22" t="s">
        <v>3746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2"/>
        <v>1</v>
      </c>
      <c r="Z2038" s="18">
        <f t="shared" si="601"/>
        <v>7500000</v>
      </c>
      <c r="AA2038" s="13">
        <v>7.4499999999999997E-2</v>
      </c>
      <c r="AB2038" s="21">
        <f t="shared" ref="AB2038:AB2101" si="603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86"/>
        <v>57778307.282035396</v>
      </c>
      <c r="AJ2038" s="19">
        <f t="shared" si="587"/>
        <v>7259860.7225420559</v>
      </c>
      <c r="AK2038" s="20">
        <f t="shared" si="594"/>
        <v>0.12565028406083667</v>
      </c>
      <c r="AL2038" s="17"/>
      <c r="AM2038" s="17"/>
      <c r="AN2038" s="17"/>
      <c r="AO2038" s="17"/>
      <c r="AP2038" s="28" t="str">
        <f t="shared" si="595"/>
        <v>20213</v>
      </c>
      <c r="AQ2038" s="28" t="str">
        <f t="shared" si="596"/>
        <v>20213JPY</v>
      </c>
      <c r="AR2038" s="206" t="str">
        <f t="shared" si="597"/>
        <v>YAMAHA_Mounter</v>
      </c>
      <c r="AS2038" s="22">
        <f t="shared" si="598"/>
        <v>3</v>
      </c>
      <c r="AT2038" s="24" t="str">
        <f t="shared" si="599"/>
        <v>0-3 months</v>
      </c>
      <c r="AU2038" s="22" t="s">
        <v>3746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2"/>
        <v>1</v>
      </c>
      <c r="Z2039" s="18">
        <f t="shared" si="601"/>
        <v>7500000</v>
      </c>
      <c r="AA2039" s="13">
        <v>7.17E-2</v>
      </c>
      <c r="AB2039" s="21">
        <f t="shared" si="603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86"/>
        <v>43684091.636631854</v>
      </c>
      <c r="AJ2039" s="19">
        <f t="shared" si="587"/>
        <v>6483951.8242071122</v>
      </c>
      <c r="AK2039" s="20">
        <f t="shared" si="594"/>
        <v>0.14842821680123736</v>
      </c>
      <c r="AL2039" s="17"/>
      <c r="AM2039" s="17"/>
      <c r="AN2039" s="17"/>
      <c r="AO2039" s="17"/>
      <c r="AP2039" s="28" t="str">
        <f t="shared" si="595"/>
        <v>20214</v>
      </c>
      <c r="AQ2039" s="28" t="str">
        <f t="shared" si="596"/>
        <v>20214JPY</v>
      </c>
      <c r="AR2039" s="206" t="str">
        <f t="shared" si="597"/>
        <v>YAMAHA_Mounter</v>
      </c>
      <c r="AS2039" s="22">
        <f t="shared" si="598"/>
        <v>4</v>
      </c>
      <c r="AT2039" s="24" t="str">
        <f t="shared" si="599"/>
        <v>4-6 months</v>
      </c>
      <c r="AU2039" s="22" t="s">
        <v>3746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2"/>
        <v>1</v>
      </c>
      <c r="Z2040" s="18">
        <f t="shared" si="601"/>
        <v>7500000</v>
      </c>
      <c r="AA2040" s="13">
        <v>7.17E-2</v>
      </c>
      <c r="AB2040" s="21">
        <f t="shared" si="603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86"/>
        <v>43684091.636631854</v>
      </c>
      <c r="AJ2040" s="19">
        <f t="shared" si="587"/>
        <v>6483951.8242071122</v>
      </c>
      <c r="AK2040" s="20">
        <f t="shared" si="594"/>
        <v>0.14842821680123736</v>
      </c>
      <c r="AL2040" s="17"/>
      <c r="AM2040" s="17"/>
      <c r="AN2040" s="17"/>
      <c r="AO2040" s="17"/>
      <c r="AP2040" s="28" t="str">
        <f t="shared" si="595"/>
        <v>20214</v>
      </c>
      <c r="AQ2040" s="28" t="str">
        <f t="shared" si="596"/>
        <v>20214JPY</v>
      </c>
      <c r="AR2040" s="206" t="str">
        <f t="shared" si="597"/>
        <v>YAMAHA_Mounter</v>
      </c>
      <c r="AS2040" s="22">
        <f t="shared" si="598"/>
        <v>4</v>
      </c>
      <c r="AT2040" s="24" t="str">
        <f t="shared" si="599"/>
        <v>4-6 months</v>
      </c>
      <c r="AU2040" s="22" t="s">
        <v>3746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2"/>
        <v>1</v>
      </c>
      <c r="Z2041" s="18">
        <f t="shared" si="601"/>
        <v>7500000</v>
      </c>
      <c r="AA2041" s="13">
        <v>7.17E-2</v>
      </c>
      <c r="AB2041" s="21">
        <f t="shared" si="603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86"/>
        <v>43684091.636631854</v>
      </c>
      <c r="AJ2041" s="19">
        <f t="shared" si="587"/>
        <v>6483951.8242071122</v>
      </c>
      <c r="AK2041" s="20">
        <f t="shared" si="594"/>
        <v>0.14842821680123736</v>
      </c>
      <c r="AL2041" s="17"/>
      <c r="AM2041" s="17"/>
      <c r="AN2041" s="17"/>
      <c r="AO2041" s="17"/>
      <c r="AP2041" s="28" t="str">
        <f t="shared" si="595"/>
        <v>20214</v>
      </c>
      <c r="AQ2041" s="28" t="str">
        <f t="shared" si="596"/>
        <v>20214JPY</v>
      </c>
      <c r="AR2041" s="206" t="str">
        <f t="shared" si="597"/>
        <v>YAMAHA_Mounter</v>
      </c>
      <c r="AS2041" s="22">
        <f t="shared" si="598"/>
        <v>4</v>
      </c>
      <c r="AT2041" s="24" t="str">
        <f t="shared" si="599"/>
        <v>4-6 months</v>
      </c>
      <c r="AU2041" s="22" t="s">
        <v>3746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2"/>
        <v>1</v>
      </c>
      <c r="Z2042" s="18">
        <f t="shared" si="601"/>
        <v>7500000</v>
      </c>
      <c r="AA2042" s="13">
        <v>7.17E-2</v>
      </c>
      <c r="AB2042" s="21">
        <f t="shared" si="603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86"/>
        <v>43684091.636631854</v>
      </c>
      <c r="AJ2042" s="19">
        <f t="shared" si="587"/>
        <v>6483951.8242071122</v>
      </c>
      <c r="AK2042" s="20">
        <f t="shared" si="594"/>
        <v>0.14842821680123736</v>
      </c>
      <c r="AL2042" s="17"/>
      <c r="AM2042" s="17"/>
      <c r="AN2042" s="17"/>
      <c r="AO2042" s="17"/>
      <c r="AP2042" s="28" t="str">
        <f t="shared" si="595"/>
        <v>20214</v>
      </c>
      <c r="AQ2042" s="28" t="str">
        <f t="shared" si="596"/>
        <v>20214JPY</v>
      </c>
      <c r="AR2042" s="206" t="str">
        <f t="shared" si="597"/>
        <v>YAMAHA_Mounter</v>
      </c>
      <c r="AS2042" s="22">
        <f t="shared" si="598"/>
        <v>4</v>
      </c>
      <c r="AT2042" s="24" t="str">
        <f t="shared" si="599"/>
        <v>4-6 months</v>
      </c>
      <c r="AU2042" s="22" t="s">
        <v>3746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2"/>
        <v>1</v>
      </c>
      <c r="Z2043" s="18">
        <f t="shared" si="601"/>
        <v>18000000</v>
      </c>
      <c r="AA2043" s="13">
        <v>6.2799999999999995E-2</v>
      </c>
      <c r="AB2043" s="21">
        <f t="shared" si="603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86"/>
        <v>44014086.982070789</v>
      </c>
      <c r="AJ2043" s="19">
        <f t="shared" si="587"/>
        <v>6419974.0221889298</v>
      </c>
      <c r="AK2043" s="20">
        <f t="shared" si="594"/>
        <v>0.14586180158193709</v>
      </c>
      <c r="AL2043" s="17"/>
      <c r="AM2043" s="17"/>
      <c r="AN2043" s="17"/>
      <c r="AO2043" s="17"/>
      <c r="AP2043" s="28" t="str">
        <f t="shared" si="595"/>
        <v>20225</v>
      </c>
      <c r="AQ2043" s="28" t="str">
        <f t="shared" si="596"/>
        <v>20225JPY</v>
      </c>
      <c r="AR2043" s="206" t="str">
        <f t="shared" si="597"/>
        <v>YAMAHA_Mounter</v>
      </c>
      <c r="AS2043" s="22">
        <f t="shared" si="598"/>
        <v>3</v>
      </c>
      <c r="AT2043" s="24" t="str">
        <f t="shared" si="599"/>
        <v>0-3 months</v>
      </c>
      <c r="AU2043" s="22" t="s">
        <v>3746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2"/>
        <v>1</v>
      </c>
      <c r="Z2044" s="18">
        <f t="shared" si="601"/>
        <v>18000000</v>
      </c>
      <c r="AA2044" s="13">
        <v>6.2799999999999995E-2</v>
      </c>
      <c r="AB2044" s="21">
        <f t="shared" si="603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86"/>
        <v>44014086.982070789</v>
      </c>
      <c r="AJ2044" s="19">
        <f t="shared" si="587"/>
        <v>6419974.0221889298</v>
      </c>
      <c r="AK2044" s="20">
        <f t="shared" si="594"/>
        <v>0.14586180158193709</v>
      </c>
      <c r="AL2044" s="17"/>
      <c r="AM2044" s="17"/>
      <c r="AN2044" s="17"/>
      <c r="AO2044" s="17"/>
      <c r="AP2044" s="28" t="str">
        <f t="shared" si="595"/>
        <v>20225</v>
      </c>
      <c r="AQ2044" s="28" t="str">
        <f t="shared" si="596"/>
        <v>20225JPY</v>
      </c>
      <c r="AR2044" s="206" t="str">
        <f t="shared" si="597"/>
        <v>YAMAHA_Mounter</v>
      </c>
      <c r="AS2044" s="22">
        <f t="shared" si="598"/>
        <v>3</v>
      </c>
      <c r="AT2044" s="24" t="str">
        <f t="shared" si="599"/>
        <v>0-3 months</v>
      </c>
      <c r="AU2044" s="22" t="s">
        <v>3746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2"/>
        <v>1</v>
      </c>
      <c r="Z2045" s="18">
        <f t="shared" si="601"/>
        <v>18000000</v>
      </c>
      <c r="AA2045" s="13">
        <v>6.2799999999999995E-2</v>
      </c>
      <c r="AB2045" s="21">
        <f t="shared" si="603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86"/>
        <v>44014086.982070789</v>
      </c>
      <c r="AJ2045" s="19">
        <f t="shared" si="587"/>
        <v>6419974.0221889298</v>
      </c>
      <c r="AK2045" s="20">
        <f t="shared" si="594"/>
        <v>0.14586180158193709</v>
      </c>
      <c r="AL2045" s="17"/>
      <c r="AM2045" s="17"/>
      <c r="AN2045" s="17"/>
      <c r="AO2045" s="17"/>
      <c r="AP2045" s="28" t="str">
        <f t="shared" si="595"/>
        <v>20225</v>
      </c>
      <c r="AQ2045" s="28" t="str">
        <f t="shared" si="596"/>
        <v>20225JPY</v>
      </c>
      <c r="AR2045" s="206" t="str">
        <f t="shared" si="597"/>
        <v>YAMAHA_Mounter</v>
      </c>
      <c r="AS2045" s="22">
        <f t="shared" si="598"/>
        <v>3</v>
      </c>
      <c r="AT2045" s="24" t="str">
        <f t="shared" si="599"/>
        <v>0-3 months</v>
      </c>
      <c r="AU2045" s="22" t="s">
        <v>3746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2"/>
        <v>1</v>
      </c>
      <c r="Z2046" s="18">
        <f t="shared" si="601"/>
        <v>16000000</v>
      </c>
      <c r="AA2046" s="13">
        <v>6.2799999999999995E-2</v>
      </c>
      <c r="AB2046" s="21">
        <f t="shared" si="603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86"/>
        <v>44014086.982070789</v>
      </c>
      <c r="AJ2046" s="19">
        <f t="shared" si="587"/>
        <v>6419974.0221889298</v>
      </c>
      <c r="AK2046" s="20">
        <f t="shared" si="594"/>
        <v>0.14586180158193709</v>
      </c>
      <c r="AL2046" s="17"/>
      <c r="AM2046" s="17"/>
      <c r="AN2046" s="17"/>
      <c r="AO2046" s="17"/>
      <c r="AP2046" s="28" t="str">
        <f t="shared" si="595"/>
        <v>20225</v>
      </c>
      <c r="AQ2046" s="28" t="str">
        <f t="shared" si="596"/>
        <v>20225JPY</v>
      </c>
      <c r="AR2046" s="206" t="str">
        <f t="shared" si="597"/>
        <v>YAMAHA_Mounter</v>
      </c>
      <c r="AS2046" s="22">
        <f t="shared" si="598"/>
        <v>3</v>
      </c>
      <c r="AT2046" s="24" t="str">
        <f t="shared" si="599"/>
        <v>0-3 months</v>
      </c>
      <c r="AU2046" s="22" t="s">
        <v>3746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2"/>
        <v>1</v>
      </c>
      <c r="Z2047" s="18">
        <f t="shared" si="601"/>
        <v>16000000</v>
      </c>
      <c r="AA2047" s="13">
        <v>6.2799999999999995E-2</v>
      </c>
      <c r="AB2047" s="21">
        <f t="shared" si="603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86"/>
        <v>44014086.982070789</v>
      </c>
      <c r="AJ2047" s="19">
        <f t="shared" si="587"/>
        <v>6419974.0221889298</v>
      </c>
      <c r="AK2047" s="20">
        <f t="shared" si="594"/>
        <v>0.14586180158193709</v>
      </c>
      <c r="AL2047" s="17"/>
      <c r="AM2047" s="17"/>
      <c r="AN2047" s="17"/>
      <c r="AO2047" s="17"/>
      <c r="AP2047" s="28" t="str">
        <f t="shared" si="595"/>
        <v>20225</v>
      </c>
      <c r="AQ2047" s="28" t="str">
        <f t="shared" si="596"/>
        <v>20225JPY</v>
      </c>
      <c r="AR2047" s="206" t="str">
        <f t="shared" si="597"/>
        <v>YAMAHA_Mounter</v>
      </c>
      <c r="AS2047" s="22">
        <f t="shared" si="598"/>
        <v>3</v>
      </c>
      <c r="AT2047" s="24" t="str">
        <f t="shared" si="599"/>
        <v>0-3 months</v>
      </c>
      <c r="AU2047" s="22" t="s">
        <v>3746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2"/>
        <v>1</v>
      </c>
      <c r="Z2048" s="18">
        <f t="shared" si="601"/>
        <v>11000000</v>
      </c>
      <c r="AA2048" s="13">
        <v>6.2799999999999995E-2</v>
      </c>
      <c r="AB2048" s="21">
        <f t="shared" si="603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86"/>
        <v>44014086.982070789</v>
      </c>
      <c r="AJ2048" s="19">
        <f t="shared" si="587"/>
        <v>6419974.0221889298</v>
      </c>
      <c r="AK2048" s="20">
        <f t="shared" si="594"/>
        <v>0.14586180158193709</v>
      </c>
      <c r="AL2048" s="17"/>
      <c r="AM2048" s="17"/>
      <c r="AN2048" s="17"/>
      <c r="AO2048" s="17"/>
      <c r="AP2048" s="28" t="str">
        <f t="shared" si="595"/>
        <v>20225</v>
      </c>
      <c r="AQ2048" s="28" t="str">
        <f t="shared" si="596"/>
        <v>20225JPY</v>
      </c>
      <c r="AR2048" s="206" t="str">
        <f t="shared" si="597"/>
        <v>YAMAHA_Mounter</v>
      </c>
      <c r="AS2048" s="22">
        <f t="shared" si="598"/>
        <v>3</v>
      </c>
      <c r="AT2048" s="24" t="str">
        <f t="shared" si="599"/>
        <v>0-3 months</v>
      </c>
      <c r="AU2048" s="22" t="s">
        <v>3746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2"/>
        <v>1</v>
      </c>
      <c r="Z2049" s="18">
        <f t="shared" si="601"/>
        <v>11000000</v>
      </c>
      <c r="AA2049" s="13">
        <v>6.2799999999999995E-2</v>
      </c>
      <c r="AB2049" s="21">
        <f t="shared" si="603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86"/>
        <v>44014086.982070789</v>
      </c>
      <c r="AJ2049" s="19">
        <f t="shared" si="587"/>
        <v>6419974.0221889298</v>
      </c>
      <c r="AK2049" s="20">
        <f t="shared" si="594"/>
        <v>0.14586180158193709</v>
      </c>
      <c r="AL2049" s="17"/>
      <c r="AM2049" s="17"/>
      <c r="AN2049" s="17"/>
      <c r="AO2049" s="17"/>
      <c r="AP2049" s="28" t="str">
        <f t="shared" si="595"/>
        <v>20225</v>
      </c>
      <c r="AQ2049" s="28" t="str">
        <f t="shared" si="596"/>
        <v>20225JPY</v>
      </c>
      <c r="AR2049" s="206" t="str">
        <f t="shared" si="597"/>
        <v>YAMAHA_Mounter</v>
      </c>
      <c r="AS2049" s="22">
        <f t="shared" si="598"/>
        <v>3</v>
      </c>
      <c r="AT2049" s="24" t="str">
        <f t="shared" si="599"/>
        <v>0-3 months</v>
      </c>
      <c r="AU2049" s="22" t="s">
        <v>3746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2"/>
        <v>1</v>
      </c>
      <c r="Z2050" s="18">
        <f t="shared" si="601"/>
        <v>11000000</v>
      </c>
      <c r="AA2050" s="13">
        <v>6.2799999999999995E-2</v>
      </c>
      <c r="AB2050" s="21">
        <f t="shared" si="603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04">IF(P2050="C66 SERVICE","",SUMIFS(AB:AB,F:F,F2050,G:G,G2050,E:E,E2050))</f>
        <v>44014086.982070789</v>
      </c>
      <c r="AJ2050" s="19">
        <f t="shared" ref="AJ2050:AJ2113" si="605">IF(P2050="C66 SERVICE","",SUMIFS(AC:AC,F:F,F2050,G:G,G2050,E:E,E2050))</f>
        <v>6419974.0221889298</v>
      </c>
      <c r="AK2050" s="20">
        <f t="shared" si="594"/>
        <v>0.14586180158193709</v>
      </c>
      <c r="AL2050" s="17"/>
      <c r="AM2050" s="17"/>
      <c r="AN2050" s="17"/>
      <c r="AO2050" s="17"/>
      <c r="AP2050" s="28" t="str">
        <f t="shared" si="595"/>
        <v>20225</v>
      </c>
      <c r="AQ2050" s="28" t="str">
        <f t="shared" si="596"/>
        <v>20225JPY</v>
      </c>
      <c r="AR2050" s="206" t="str">
        <f t="shared" si="597"/>
        <v>YAMAHA_Mounter</v>
      </c>
      <c r="AS2050" s="22">
        <f t="shared" si="598"/>
        <v>3</v>
      </c>
      <c r="AT2050" s="24" t="str">
        <f t="shared" si="599"/>
        <v>0-3 months</v>
      </c>
      <c r="AU2050" s="22" t="s">
        <v>3746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2"/>
        <v>1</v>
      </c>
      <c r="Z2051" s="18">
        <f t="shared" si="601"/>
        <v>11000000</v>
      </c>
      <c r="AA2051" s="13">
        <v>6.2799999999999995E-2</v>
      </c>
      <c r="AB2051" s="21">
        <f t="shared" si="603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04"/>
        <v>44014086.982070789</v>
      </c>
      <c r="AJ2051" s="19">
        <f t="shared" si="605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6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  <c r="AU2051" s="22" t="s">
        <v>3746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2"/>
        <v>1</v>
      </c>
      <c r="Z2052" s="18">
        <f t="shared" si="601"/>
        <v>11000000</v>
      </c>
      <c r="AA2052" s="13">
        <v>6.2799999999999995E-2</v>
      </c>
      <c r="AB2052" s="21">
        <f t="shared" si="603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04"/>
        <v>44014086.982070789</v>
      </c>
      <c r="AJ2052" s="19">
        <f t="shared" si="605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6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  <c r="AU2052" s="22" t="s">
        <v>3746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2"/>
        <v>1</v>
      </c>
      <c r="Z2053" s="18">
        <f t="shared" si="601"/>
        <v>16000000</v>
      </c>
      <c r="AA2053" s="13">
        <v>6.25E-2</v>
      </c>
      <c r="AB2053" s="21">
        <f t="shared" si="603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04"/>
        <v>35682787.057522126</v>
      </c>
      <c r="AJ2053" s="19">
        <f t="shared" si="605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6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  <c r="AU2053" s="22" t="s">
        <v>3746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2"/>
        <v>1</v>
      </c>
      <c r="Z2054" s="18">
        <f t="shared" si="601"/>
        <v>11000000</v>
      </c>
      <c r="AA2054" s="13">
        <v>6.25E-2</v>
      </c>
      <c r="AB2054" s="21">
        <f t="shared" si="603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04"/>
        <v>35682787.057522126</v>
      </c>
      <c r="AJ2054" s="19">
        <f t="shared" si="605"/>
        <v>5833368.3789623892</v>
      </c>
      <c r="AK2054" s="20">
        <f t="shared" ref="AK2054:AK2117" si="612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3">IF(F2054="","",F2054&amp;G2054)</f>
        <v>20226</v>
      </c>
      <c r="AQ2054" s="28" t="str">
        <f t="shared" ref="AQ2054:AQ2117" si="614">IF(W2054="","",F2054&amp;G2054&amp;W2054)</f>
        <v>20226JPY</v>
      </c>
      <c r="AR2054" s="206" t="str">
        <f t="shared" ref="AR2054:AR2117" si="615">IFERROR(IF(AND(M2054="YAMAHA", R2054="C28"), "YAMAHA_Non_Mounter", IF(AND(M2054="YAMAHA", R2054="C49"), "YAMAHA_Mounter", M2054)),"")</f>
        <v>YAMAHA_Mounter</v>
      </c>
      <c r="AS2054" s="22">
        <f t="shared" ref="AS2054:AS2117" si="616">IFERROR(IF(OR(G2054="TBA", G2054=""), "", DATEDIF(DATE(B2054, C2054, 1), DATE(F2054, G2054, 1), "M")),"")</f>
        <v>4</v>
      </c>
      <c r="AT2054" s="24" t="str">
        <f t="shared" ref="AT2054:AT2117" si="617">IF(ISNUMBER(AS2054), IF(AS2054&gt;=0, IF(AS2054&lt;=3, "0-3 months", IF(AS2054&lt;=6, "4-6 months", "&gt; 6 months"))), "")</f>
        <v>4-6 months</v>
      </c>
      <c r="AU2054" s="22" t="s">
        <v>3746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2"/>
        <v>1.13</v>
      </c>
      <c r="Z2055" s="18">
        <f t="shared" si="601"/>
        <v>762233</v>
      </c>
      <c r="AA2055" s="13">
        <v>1.17</v>
      </c>
      <c r="AB2055" s="21">
        <f t="shared" si="603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04"/>
        <v>36480247.665929198</v>
      </c>
      <c r="AJ2055" s="19">
        <f t="shared" si="605"/>
        <v>5330996.6372757526</v>
      </c>
      <c r="AK2055" s="20">
        <f t="shared" si="612"/>
        <v>0.14613378412599562</v>
      </c>
      <c r="AL2055" s="17"/>
      <c r="AM2055" s="17"/>
      <c r="AN2055" s="17"/>
      <c r="AO2055" s="17"/>
      <c r="AP2055" s="28" t="str">
        <f t="shared" si="613"/>
        <v>20227</v>
      </c>
      <c r="AQ2055" s="28" t="str">
        <f t="shared" si="614"/>
        <v>20227RMB</v>
      </c>
      <c r="AR2055" s="206" t="str">
        <f t="shared" si="615"/>
        <v>YAMAHA_Mounter</v>
      </c>
      <c r="AS2055" s="22">
        <f t="shared" si="616"/>
        <v>1</v>
      </c>
      <c r="AT2055" s="24" t="str">
        <f t="shared" si="617"/>
        <v>0-3 months</v>
      </c>
      <c r="AU2055" s="22" t="s">
        <v>3751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2"/>
        <v>1.13</v>
      </c>
      <c r="Z2056" s="18">
        <f t="shared" si="601"/>
        <v>762233</v>
      </c>
      <c r="AA2056" s="13">
        <v>1.17</v>
      </c>
      <c r="AB2056" s="21">
        <f t="shared" si="603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04"/>
        <v>36480247.665929198</v>
      </c>
      <c r="AJ2056" s="19">
        <f t="shared" si="605"/>
        <v>5330996.6372757526</v>
      </c>
      <c r="AK2056" s="20">
        <f t="shared" si="612"/>
        <v>0.14613378412599562</v>
      </c>
      <c r="AL2056" s="17"/>
      <c r="AM2056" s="17"/>
      <c r="AN2056" s="17"/>
      <c r="AO2056" s="17"/>
      <c r="AP2056" s="28" t="str">
        <f t="shared" si="613"/>
        <v>20227</v>
      </c>
      <c r="AQ2056" s="28" t="str">
        <f t="shared" si="614"/>
        <v>20227RMB</v>
      </c>
      <c r="AR2056" s="206" t="str">
        <f t="shared" si="615"/>
        <v>YAMAHA_Mounter</v>
      </c>
      <c r="AS2056" s="22">
        <f t="shared" si="616"/>
        <v>1</v>
      </c>
      <c r="AT2056" s="24" t="str">
        <f t="shared" si="617"/>
        <v>0-3 months</v>
      </c>
      <c r="AU2056" s="22" t="s">
        <v>3751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2"/>
        <v>1.13</v>
      </c>
      <c r="Z2057" s="18">
        <f t="shared" si="601"/>
        <v>575779</v>
      </c>
      <c r="AA2057" s="13">
        <v>1.17</v>
      </c>
      <c r="AB2057" s="21">
        <f t="shared" si="603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04"/>
        <v>36480247.665929198</v>
      </c>
      <c r="AJ2057" s="19">
        <f t="shared" si="605"/>
        <v>5330996.6372757526</v>
      </c>
      <c r="AK2057" s="20">
        <f t="shared" si="612"/>
        <v>0.14613378412599562</v>
      </c>
      <c r="AL2057" s="17"/>
      <c r="AM2057" s="17"/>
      <c r="AN2057" s="17"/>
      <c r="AO2057" s="17"/>
      <c r="AP2057" s="28" t="str">
        <f t="shared" si="613"/>
        <v>20227</v>
      </c>
      <c r="AQ2057" s="28" t="str">
        <f t="shared" si="614"/>
        <v>20227RMB</v>
      </c>
      <c r="AR2057" s="206" t="str">
        <f t="shared" si="615"/>
        <v>YAMAHA_Mounter</v>
      </c>
      <c r="AS2057" s="22">
        <f t="shared" si="616"/>
        <v>1</v>
      </c>
      <c r="AT2057" s="24" t="str">
        <f t="shared" si="617"/>
        <v>0-3 months</v>
      </c>
      <c r="AU2057" s="22" t="s">
        <v>3751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2"/>
        <v>1</v>
      </c>
      <c r="Z2058" s="18">
        <f t="shared" ref="Z2058:Z2121" si="618">IF(X2058="","",X2058*MAX(O2058,N2058))</f>
        <v>17000000</v>
      </c>
      <c r="AA2058" s="13">
        <v>5.8700000000000002E-2</v>
      </c>
      <c r="AB2058" s="21">
        <f t="shared" si="603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04"/>
        <v>36480247.665929198</v>
      </c>
      <c r="AJ2058" s="19">
        <f t="shared" si="605"/>
        <v>5330996.6372757526</v>
      </c>
      <c r="AK2058" s="20">
        <f t="shared" si="612"/>
        <v>0.14613378412599562</v>
      </c>
      <c r="AL2058" s="17"/>
      <c r="AM2058" s="17"/>
      <c r="AN2058" s="17"/>
      <c r="AO2058" s="17"/>
      <c r="AP2058" s="28" t="str">
        <f t="shared" si="613"/>
        <v>20227</v>
      </c>
      <c r="AQ2058" s="28" t="str">
        <f t="shared" si="614"/>
        <v>20227JPY</v>
      </c>
      <c r="AR2058" s="206" t="str">
        <f t="shared" si="615"/>
        <v>YAMAHA_Mounter</v>
      </c>
      <c r="AS2058" s="22">
        <f t="shared" si="616"/>
        <v>0</v>
      </c>
      <c r="AT2058" s="24" t="str">
        <f t="shared" si="617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2"/>
        <v>1</v>
      </c>
      <c r="Z2059" s="18">
        <f t="shared" si="618"/>
        <v>17000000</v>
      </c>
      <c r="AA2059" s="13">
        <v>5.8700000000000002E-2</v>
      </c>
      <c r="AB2059" s="21">
        <f t="shared" si="603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04"/>
        <v>36480247.665929198</v>
      </c>
      <c r="AJ2059" s="19">
        <f t="shared" si="605"/>
        <v>5330996.6372757526</v>
      </c>
      <c r="AK2059" s="20">
        <f t="shared" si="612"/>
        <v>0.14613378412599562</v>
      </c>
      <c r="AL2059" s="17"/>
      <c r="AM2059" s="17"/>
      <c r="AN2059" s="17"/>
      <c r="AO2059" s="17"/>
      <c r="AP2059" s="28" t="str">
        <f t="shared" si="613"/>
        <v>20227</v>
      </c>
      <c r="AQ2059" s="28" t="str">
        <f t="shared" si="614"/>
        <v>20227JPY</v>
      </c>
      <c r="AR2059" s="206" t="str">
        <f t="shared" si="615"/>
        <v>YAMAHA_Mounter</v>
      </c>
      <c r="AS2059" s="22">
        <f t="shared" si="616"/>
        <v>0</v>
      </c>
      <c r="AT2059" s="24" t="str">
        <f t="shared" si="617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2"/>
        <v>1</v>
      </c>
      <c r="Z2060" s="18">
        <f t="shared" si="618"/>
        <v>17000000</v>
      </c>
      <c r="AA2060" s="13">
        <v>5.8700000000000002E-2</v>
      </c>
      <c r="AB2060" s="21">
        <f t="shared" si="603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04"/>
        <v>36480247.665929198</v>
      </c>
      <c r="AJ2060" s="19">
        <f t="shared" si="605"/>
        <v>5330996.6372757526</v>
      </c>
      <c r="AK2060" s="20">
        <f t="shared" si="612"/>
        <v>0.14613378412599562</v>
      </c>
      <c r="AL2060" s="17"/>
      <c r="AM2060" s="17"/>
      <c r="AN2060" s="17"/>
      <c r="AO2060" s="17"/>
      <c r="AP2060" s="28" t="str">
        <f t="shared" si="613"/>
        <v>20227</v>
      </c>
      <c r="AQ2060" s="28" t="str">
        <f t="shared" si="614"/>
        <v>20227JPY</v>
      </c>
      <c r="AR2060" s="206" t="str">
        <f t="shared" si="615"/>
        <v>YAMAHA_Mounter</v>
      </c>
      <c r="AS2060" s="22">
        <f t="shared" si="616"/>
        <v>0</v>
      </c>
      <c r="AT2060" s="24" t="str">
        <f t="shared" si="617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2"/>
        <v>1</v>
      </c>
      <c r="Z2061" s="18">
        <f t="shared" si="618"/>
        <v>12014500</v>
      </c>
      <c r="AA2061" s="13">
        <v>5.8700000000000002E-2</v>
      </c>
      <c r="AB2061" s="21">
        <f t="shared" si="603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04"/>
        <v>36480247.665929198</v>
      </c>
      <c r="AJ2061" s="19">
        <f t="shared" si="605"/>
        <v>5330996.6372757526</v>
      </c>
      <c r="AK2061" s="20">
        <f t="shared" si="612"/>
        <v>0.14613378412599562</v>
      </c>
      <c r="AL2061" s="17"/>
      <c r="AM2061" s="17"/>
      <c r="AN2061" s="17"/>
      <c r="AO2061" s="17"/>
      <c r="AP2061" s="28" t="str">
        <f t="shared" si="613"/>
        <v>20227</v>
      </c>
      <c r="AQ2061" s="28" t="str">
        <f t="shared" si="614"/>
        <v>20227JPY</v>
      </c>
      <c r="AR2061" s="206" t="str">
        <f t="shared" si="615"/>
        <v>YAMAHA_Mounter</v>
      </c>
      <c r="AS2061" s="22">
        <f t="shared" si="616"/>
        <v>0</v>
      </c>
      <c r="AT2061" s="24" t="str">
        <f t="shared" si="617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2"/>
        <v>1</v>
      </c>
      <c r="Z2062" s="18">
        <f t="shared" si="618"/>
        <v>12014500</v>
      </c>
      <c r="AA2062" s="13">
        <v>5.8700000000000002E-2</v>
      </c>
      <c r="AB2062" s="21">
        <f t="shared" si="603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04"/>
        <v>36480247.665929198</v>
      </c>
      <c r="AJ2062" s="19">
        <f t="shared" si="605"/>
        <v>5330996.6372757526</v>
      </c>
      <c r="AK2062" s="20">
        <f t="shared" si="612"/>
        <v>0.14613378412599562</v>
      </c>
      <c r="AL2062" s="17"/>
      <c r="AM2062" s="17"/>
      <c r="AN2062" s="17"/>
      <c r="AO2062" s="17"/>
      <c r="AP2062" s="28" t="str">
        <f t="shared" si="613"/>
        <v>20227</v>
      </c>
      <c r="AQ2062" s="28" t="str">
        <f t="shared" si="614"/>
        <v>20227JPY</v>
      </c>
      <c r="AR2062" s="206" t="str">
        <f t="shared" si="615"/>
        <v>YAMAHA_Mounter</v>
      </c>
      <c r="AS2062" s="22">
        <f t="shared" si="616"/>
        <v>0</v>
      </c>
      <c r="AT2062" s="24" t="str">
        <f t="shared" si="617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19">IF(W2063="RMB","1.13", "1")</f>
        <v>1</v>
      </c>
      <c r="Z2063" s="18">
        <f t="shared" si="618"/>
        <v>12014500</v>
      </c>
      <c r="AA2063" s="13">
        <v>5.8700000000000002E-2</v>
      </c>
      <c r="AB2063" s="21">
        <f t="shared" si="603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04"/>
        <v>36480247.665929198</v>
      </c>
      <c r="AJ2063" s="19">
        <f t="shared" si="605"/>
        <v>5330996.6372757526</v>
      </c>
      <c r="AK2063" s="20">
        <f t="shared" si="612"/>
        <v>0.14613378412599562</v>
      </c>
      <c r="AL2063" s="17"/>
      <c r="AM2063" s="17"/>
      <c r="AN2063" s="17"/>
      <c r="AO2063" s="17"/>
      <c r="AP2063" s="28" t="str">
        <f t="shared" si="613"/>
        <v>20227</v>
      </c>
      <c r="AQ2063" s="28" t="str">
        <f t="shared" si="614"/>
        <v>20227JPY</v>
      </c>
      <c r="AR2063" s="206" t="str">
        <f t="shared" si="615"/>
        <v>YAMAHA_Mounter</v>
      </c>
      <c r="AS2063" s="22">
        <f t="shared" si="616"/>
        <v>0</v>
      </c>
      <c r="AT2063" s="24" t="str">
        <f t="shared" si="617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19"/>
        <v>1</v>
      </c>
      <c r="Z2064" s="18">
        <f t="shared" si="618"/>
        <v>17000000</v>
      </c>
      <c r="AA2064" s="13">
        <v>5.7799999999999997E-2</v>
      </c>
      <c r="AB2064" s="21">
        <f t="shared" si="603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04"/>
        <v>15948576.102654871</v>
      </c>
      <c r="AJ2064" s="19">
        <f t="shared" si="605"/>
        <v>2739848.7004853105</v>
      </c>
      <c r="AK2064" s="20">
        <f t="shared" si="612"/>
        <v>0.17179268436567344</v>
      </c>
      <c r="AL2064" s="17"/>
      <c r="AM2064" s="17"/>
      <c r="AN2064" s="17"/>
      <c r="AO2064" s="17"/>
      <c r="AP2064" s="28" t="str">
        <f t="shared" si="613"/>
        <v>20229</v>
      </c>
      <c r="AQ2064" s="28" t="str">
        <f t="shared" si="614"/>
        <v>20229JPY</v>
      </c>
      <c r="AR2064" s="206" t="str">
        <f t="shared" si="615"/>
        <v>YAMAHA_Mounter</v>
      </c>
      <c r="AS2064" s="22">
        <f t="shared" si="616"/>
        <v>2</v>
      </c>
      <c r="AT2064" s="24" t="str">
        <f t="shared" si="617"/>
        <v>0-3 months</v>
      </c>
      <c r="AU2064" s="22" t="s">
        <v>3746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19"/>
        <v>1</v>
      </c>
      <c r="Z2065" s="18">
        <f t="shared" si="618"/>
        <v>12294000</v>
      </c>
      <c r="AA2065" s="13">
        <v>5.7799999999999997E-2</v>
      </c>
      <c r="AB2065" s="21">
        <f t="shared" si="603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04"/>
        <v>15948576.102654871</v>
      </c>
      <c r="AJ2065" s="19">
        <f t="shared" si="605"/>
        <v>2739848.7004853105</v>
      </c>
      <c r="AK2065" s="20">
        <f t="shared" si="612"/>
        <v>0.17179268436567344</v>
      </c>
      <c r="AL2065" s="17"/>
      <c r="AM2065" s="17"/>
      <c r="AN2065" s="17"/>
      <c r="AO2065" s="17"/>
      <c r="AP2065" s="28" t="str">
        <f t="shared" si="613"/>
        <v>20229</v>
      </c>
      <c r="AQ2065" s="28" t="str">
        <f t="shared" si="614"/>
        <v>20229JPY</v>
      </c>
      <c r="AR2065" s="206" t="str">
        <f t="shared" si="615"/>
        <v>YAMAHA_Mounter</v>
      </c>
      <c r="AS2065" s="22">
        <f t="shared" si="616"/>
        <v>2</v>
      </c>
      <c r="AT2065" s="24" t="str">
        <f t="shared" si="617"/>
        <v>0-3 months</v>
      </c>
      <c r="AU2065" s="22" t="s">
        <v>3746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19"/>
        <v>1.13</v>
      </c>
      <c r="Z2066" s="18">
        <f t="shared" si="618"/>
        <v>910000</v>
      </c>
      <c r="AA2066" s="13">
        <v>1.1000000000000001</v>
      </c>
      <c r="AB2066" s="21">
        <f t="shared" si="603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04"/>
        <v>22717528.991150443</v>
      </c>
      <c r="AJ2066" s="19">
        <f t="shared" si="605"/>
        <v>3947747.192555753</v>
      </c>
      <c r="AK2066" s="20">
        <f t="shared" si="612"/>
        <v>0.1737753782153679</v>
      </c>
      <c r="AL2066" s="17"/>
      <c r="AM2066" s="17"/>
      <c r="AN2066" s="17"/>
      <c r="AO2066" s="17"/>
      <c r="AP2066" s="28" t="str">
        <f t="shared" si="613"/>
        <v>202210</v>
      </c>
      <c r="AQ2066" s="28" t="str">
        <f t="shared" si="614"/>
        <v>202210RMB</v>
      </c>
      <c r="AR2066" s="206" t="str">
        <f t="shared" si="615"/>
        <v>YAMAHA_Mounter</v>
      </c>
      <c r="AS2066" s="22">
        <f t="shared" si="616"/>
        <v>1</v>
      </c>
      <c r="AT2066" s="24" t="str">
        <f t="shared" si="617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19"/>
        <v>1.13</v>
      </c>
      <c r="Z2067" s="18">
        <f t="shared" si="618"/>
        <v>700000</v>
      </c>
      <c r="AA2067" s="13">
        <v>1.1000000000000001</v>
      </c>
      <c r="AB2067" s="21">
        <f t="shared" si="603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04"/>
        <v>22717528.991150443</v>
      </c>
      <c r="AJ2067" s="19">
        <f t="shared" si="605"/>
        <v>3947747.192555753</v>
      </c>
      <c r="AK2067" s="20">
        <f t="shared" si="612"/>
        <v>0.1737753782153679</v>
      </c>
      <c r="AL2067" s="17"/>
      <c r="AM2067" s="17"/>
      <c r="AN2067" s="17"/>
      <c r="AO2067" s="17"/>
      <c r="AP2067" s="28" t="str">
        <f t="shared" si="613"/>
        <v>202210</v>
      </c>
      <c r="AQ2067" s="28" t="str">
        <f t="shared" si="614"/>
        <v>202210RMB</v>
      </c>
      <c r="AR2067" s="206" t="str">
        <f t="shared" si="615"/>
        <v>YAMAHA_Mounter</v>
      </c>
      <c r="AS2067" s="22">
        <f t="shared" si="616"/>
        <v>1</v>
      </c>
      <c r="AT2067" s="24" t="str">
        <f t="shared" si="617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19"/>
        <v>1.13</v>
      </c>
      <c r="Z2068" s="18">
        <f t="shared" si="618"/>
        <v>925000</v>
      </c>
      <c r="AA2068" s="13">
        <v>1.1000000000000001</v>
      </c>
      <c r="AB2068" s="21">
        <f t="shared" si="603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04"/>
        <v>22717528.991150443</v>
      </c>
      <c r="AJ2068" s="19">
        <f t="shared" si="605"/>
        <v>3947747.192555753</v>
      </c>
      <c r="AK2068" s="20">
        <f t="shared" si="612"/>
        <v>0.1737753782153679</v>
      </c>
      <c r="AL2068" s="17"/>
      <c r="AM2068" s="17"/>
      <c r="AN2068" s="17"/>
      <c r="AO2068" s="17"/>
      <c r="AP2068" s="28" t="str">
        <f t="shared" si="613"/>
        <v>202210</v>
      </c>
      <c r="AQ2068" s="28" t="str">
        <f t="shared" si="614"/>
        <v>202210RMB</v>
      </c>
      <c r="AR2068" s="206" t="str">
        <f t="shared" si="615"/>
        <v>YAMAHA_Mounter</v>
      </c>
      <c r="AS2068" s="22">
        <f t="shared" si="616"/>
        <v>0</v>
      </c>
      <c r="AT2068" s="24" t="str">
        <f t="shared" si="617"/>
        <v>0-3 months</v>
      </c>
      <c r="AU2068" s="22" t="s">
        <v>3751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19"/>
        <v>1.13</v>
      </c>
      <c r="Z2069" s="18">
        <f t="shared" si="618"/>
        <v>925000</v>
      </c>
      <c r="AA2069" s="13">
        <v>1.1000000000000001</v>
      </c>
      <c r="AB2069" s="21">
        <f t="shared" si="603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04"/>
        <v>22717528.991150443</v>
      </c>
      <c r="AJ2069" s="19">
        <f t="shared" si="605"/>
        <v>3947747.192555753</v>
      </c>
      <c r="AK2069" s="20">
        <f t="shared" si="612"/>
        <v>0.1737753782153679</v>
      </c>
      <c r="AL2069" s="17"/>
      <c r="AM2069" s="17"/>
      <c r="AN2069" s="17"/>
      <c r="AO2069" s="17"/>
      <c r="AP2069" s="28" t="str">
        <f t="shared" si="613"/>
        <v>202210</v>
      </c>
      <c r="AQ2069" s="28" t="str">
        <f t="shared" si="614"/>
        <v>202210RMB</v>
      </c>
      <c r="AR2069" s="206" t="str">
        <f t="shared" si="615"/>
        <v>YAMAHA_Mounter</v>
      </c>
      <c r="AS2069" s="22">
        <f t="shared" si="616"/>
        <v>0</v>
      </c>
      <c r="AT2069" s="24" t="str">
        <f t="shared" si="617"/>
        <v>0-3 months</v>
      </c>
      <c r="AU2069" s="22" t="s">
        <v>3751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19"/>
        <v>1.13</v>
      </c>
      <c r="Z2070" s="18">
        <f t="shared" si="618"/>
        <v>925000</v>
      </c>
      <c r="AA2070" s="13">
        <v>1.1000000000000001</v>
      </c>
      <c r="AB2070" s="21">
        <f t="shared" si="603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04"/>
        <v>22717528.991150443</v>
      </c>
      <c r="AJ2070" s="19">
        <f t="shared" si="605"/>
        <v>3947747.192555753</v>
      </c>
      <c r="AK2070" s="20">
        <f t="shared" si="612"/>
        <v>0.1737753782153679</v>
      </c>
      <c r="AL2070" s="17"/>
      <c r="AM2070" s="17"/>
      <c r="AN2070" s="17"/>
      <c r="AO2070" s="17"/>
      <c r="AP2070" s="28" t="str">
        <f t="shared" si="613"/>
        <v>202210</v>
      </c>
      <c r="AQ2070" s="28" t="str">
        <f t="shared" si="614"/>
        <v>202210RMB</v>
      </c>
      <c r="AR2070" s="206" t="str">
        <f t="shared" si="615"/>
        <v>YAMAHA_Mounter</v>
      </c>
      <c r="AS2070" s="22">
        <f t="shared" si="616"/>
        <v>0</v>
      </c>
      <c r="AT2070" s="24" t="str">
        <f t="shared" si="617"/>
        <v>0-3 months</v>
      </c>
      <c r="AU2070" s="22" t="s">
        <v>3751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19"/>
        <v>1.13</v>
      </c>
      <c r="Z2071" s="18">
        <f t="shared" si="618"/>
        <v>925000</v>
      </c>
      <c r="AA2071" s="13">
        <v>1.1000000000000001</v>
      </c>
      <c r="AB2071" s="21">
        <f t="shared" si="603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04"/>
        <v>22717528.991150443</v>
      </c>
      <c r="AJ2071" s="19">
        <f t="shared" si="605"/>
        <v>3947747.192555753</v>
      </c>
      <c r="AK2071" s="20">
        <f t="shared" si="612"/>
        <v>0.1737753782153679</v>
      </c>
      <c r="AL2071" s="17"/>
      <c r="AM2071" s="17"/>
      <c r="AN2071" s="17"/>
      <c r="AO2071" s="17"/>
      <c r="AP2071" s="28" t="str">
        <f t="shared" si="613"/>
        <v>202210</v>
      </c>
      <c r="AQ2071" s="28" t="str">
        <f t="shared" si="614"/>
        <v>202210RMB</v>
      </c>
      <c r="AR2071" s="206" t="str">
        <f t="shared" si="615"/>
        <v>YAMAHA_Mounter</v>
      </c>
      <c r="AS2071" s="22">
        <f t="shared" si="616"/>
        <v>0</v>
      </c>
      <c r="AT2071" s="24" t="str">
        <f t="shared" si="617"/>
        <v>0-3 months</v>
      </c>
      <c r="AU2071" s="22" t="s">
        <v>3751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19"/>
        <v>1.13</v>
      </c>
      <c r="Z2072" s="18">
        <f t="shared" si="618"/>
        <v>710800</v>
      </c>
      <c r="AA2072" s="13">
        <v>1.1000000000000001</v>
      </c>
      <c r="AB2072" s="21">
        <f t="shared" si="603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04"/>
        <v>22717528.991150443</v>
      </c>
      <c r="AJ2072" s="19">
        <f t="shared" si="605"/>
        <v>3947747.192555753</v>
      </c>
      <c r="AK2072" s="20">
        <f t="shared" si="612"/>
        <v>0.1737753782153679</v>
      </c>
      <c r="AL2072" s="17"/>
      <c r="AM2072" s="17"/>
      <c r="AN2072" s="17"/>
      <c r="AO2072" s="17"/>
      <c r="AP2072" s="28" t="str">
        <f t="shared" si="613"/>
        <v>202210</v>
      </c>
      <c r="AQ2072" s="28" t="str">
        <f t="shared" si="614"/>
        <v>202210RMB</v>
      </c>
      <c r="AR2072" s="206" t="str">
        <f t="shared" si="615"/>
        <v>YAMAHA_Mounter</v>
      </c>
      <c r="AS2072" s="22">
        <f t="shared" si="616"/>
        <v>0</v>
      </c>
      <c r="AT2072" s="24" t="str">
        <f t="shared" si="617"/>
        <v>0-3 months</v>
      </c>
      <c r="AU2072" s="22" t="s">
        <v>3751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19"/>
        <v>1.13</v>
      </c>
      <c r="Z2073" s="18">
        <f t="shared" si="618"/>
        <v>710800</v>
      </c>
      <c r="AA2073" s="13">
        <v>1.1000000000000001</v>
      </c>
      <c r="AB2073" s="21">
        <f t="shared" si="603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04"/>
        <v>22717528.991150443</v>
      </c>
      <c r="AJ2073" s="19">
        <f t="shared" si="605"/>
        <v>3947747.192555753</v>
      </c>
      <c r="AK2073" s="20">
        <f t="shared" si="612"/>
        <v>0.1737753782153679</v>
      </c>
      <c r="AL2073" s="17"/>
      <c r="AM2073" s="17"/>
      <c r="AN2073" s="17"/>
      <c r="AO2073" s="17"/>
      <c r="AP2073" s="28" t="str">
        <f t="shared" si="613"/>
        <v>202210</v>
      </c>
      <c r="AQ2073" s="28" t="str">
        <f t="shared" si="614"/>
        <v>202210RMB</v>
      </c>
      <c r="AR2073" s="206" t="str">
        <f t="shared" si="615"/>
        <v>YAMAHA_Mounter</v>
      </c>
      <c r="AS2073" s="22">
        <f t="shared" si="616"/>
        <v>0</v>
      </c>
      <c r="AT2073" s="24" t="str">
        <f t="shared" si="617"/>
        <v>0-3 months</v>
      </c>
      <c r="AU2073" s="22" t="s">
        <v>3751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19"/>
        <v>1.13</v>
      </c>
      <c r="Z2074" s="18">
        <f t="shared" si="618"/>
        <v>990000</v>
      </c>
      <c r="AA2074" s="13">
        <v>1.08</v>
      </c>
      <c r="AB2074" s="21">
        <f t="shared" si="603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04"/>
        <v>31017966.201968137</v>
      </c>
      <c r="AJ2074" s="19">
        <f t="shared" si="605"/>
        <v>4704250.3347305888</v>
      </c>
      <c r="AK2074" s="20">
        <f t="shared" si="612"/>
        <v>0.15166211427595458</v>
      </c>
      <c r="AL2074" s="17"/>
      <c r="AM2074" s="17"/>
      <c r="AN2074" s="17"/>
      <c r="AO2074" s="17"/>
      <c r="AP2074" s="28" t="str">
        <f t="shared" si="613"/>
        <v>202211</v>
      </c>
      <c r="AQ2074" s="28" t="str">
        <f t="shared" si="614"/>
        <v>202211RMB</v>
      </c>
      <c r="AR2074" s="206" t="str">
        <f t="shared" si="615"/>
        <v>YAMAHA_Mounter</v>
      </c>
      <c r="AS2074" s="22">
        <f t="shared" si="616"/>
        <v>0</v>
      </c>
      <c r="AT2074" s="24" t="str">
        <f t="shared" si="617"/>
        <v>0-3 months</v>
      </c>
      <c r="AU2074" s="22" t="s">
        <v>3751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19"/>
        <v>1.13</v>
      </c>
      <c r="Z2075" s="18">
        <f t="shared" si="618"/>
        <v>990000</v>
      </c>
      <c r="AA2075" s="13">
        <v>1.08</v>
      </c>
      <c r="AB2075" s="21">
        <f t="shared" si="603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04"/>
        <v>31017966.201968137</v>
      </c>
      <c r="AJ2075" s="19">
        <f t="shared" si="605"/>
        <v>4704250.3347305888</v>
      </c>
      <c r="AK2075" s="20">
        <f t="shared" si="612"/>
        <v>0.15166211427595458</v>
      </c>
      <c r="AL2075" s="17"/>
      <c r="AM2075" s="17"/>
      <c r="AN2075" s="17"/>
      <c r="AO2075" s="17"/>
      <c r="AP2075" s="28" t="str">
        <f t="shared" si="613"/>
        <v>202211</v>
      </c>
      <c r="AQ2075" s="28" t="str">
        <f t="shared" si="614"/>
        <v>202211RMB</v>
      </c>
      <c r="AR2075" s="206" t="str">
        <f t="shared" si="615"/>
        <v>YAMAHA_Mounter</v>
      </c>
      <c r="AS2075" s="22">
        <f t="shared" si="616"/>
        <v>0</v>
      </c>
      <c r="AT2075" s="24" t="str">
        <f t="shared" si="617"/>
        <v>0-3 months</v>
      </c>
      <c r="AU2075" s="22" t="s">
        <v>3751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19"/>
        <v>1.13</v>
      </c>
      <c r="Z2076" s="18">
        <f t="shared" si="618"/>
        <v>990000</v>
      </c>
      <c r="AA2076" s="13">
        <v>1.08</v>
      </c>
      <c r="AB2076" s="21">
        <f t="shared" si="603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04"/>
        <v>31017966.201968137</v>
      </c>
      <c r="AJ2076" s="19">
        <f t="shared" si="605"/>
        <v>4704250.3347305888</v>
      </c>
      <c r="AK2076" s="20">
        <f t="shared" si="612"/>
        <v>0.15166211427595458</v>
      </c>
      <c r="AL2076" s="17"/>
      <c r="AM2076" s="17"/>
      <c r="AN2076" s="17"/>
      <c r="AO2076" s="17"/>
      <c r="AP2076" s="28" t="str">
        <f t="shared" si="613"/>
        <v>202211</v>
      </c>
      <c r="AQ2076" s="28" t="str">
        <f t="shared" si="614"/>
        <v>202211RMB</v>
      </c>
      <c r="AR2076" s="206" t="str">
        <f t="shared" si="615"/>
        <v>YAMAHA_Mounter</v>
      </c>
      <c r="AS2076" s="22">
        <f t="shared" si="616"/>
        <v>0</v>
      </c>
      <c r="AT2076" s="24" t="str">
        <f t="shared" si="617"/>
        <v>0-3 months</v>
      </c>
      <c r="AU2076" s="22" t="s">
        <v>3751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19"/>
        <v>1.13</v>
      </c>
      <c r="Z2077" s="18">
        <f t="shared" si="618"/>
        <v>990000</v>
      </c>
      <c r="AA2077" s="13">
        <v>1.08</v>
      </c>
      <c r="AB2077" s="21">
        <f t="shared" si="603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04"/>
        <v>31017966.201968137</v>
      </c>
      <c r="AJ2077" s="19">
        <f t="shared" si="605"/>
        <v>4704250.3347305888</v>
      </c>
      <c r="AK2077" s="20">
        <f t="shared" si="612"/>
        <v>0.15166211427595458</v>
      </c>
      <c r="AL2077" s="17"/>
      <c r="AM2077" s="17"/>
      <c r="AN2077" s="17"/>
      <c r="AO2077" s="17"/>
      <c r="AP2077" s="28" t="str">
        <f t="shared" si="613"/>
        <v>202211</v>
      </c>
      <c r="AQ2077" s="28" t="str">
        <f t="shared" si="614"/>
        <v>202211RMB</v>
      </c>
      <c r="AR2077" s="206" t="str">
        <f t="shared" si="615"/>
        <v>YAMAHA_Mounter</v>
      </c>
      <c r="AS2077" s="22">
        <f t="shared" si="616"/>
        <v>0</v>
      </c>
      <c r="AT2077" s="24" t="str">
        <f t="shared" si="617"/>
        <v>0-3 months</v>
      </c>
      <c r="AU2077" s="22" t="s">
        <v>3751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19"/>
        <v>1.13</v>
      </c>
      <c r="Z2078" s="18">
        <f t="shared" si="618"/>
        <v>851000</v>
      </c>
      <c r="AA2078" s="13">
        <v>1.08</v>
      </c>
      <c r="AB2078" s="21">
        <f t="shared" si="603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04"/>
        <v>31017966.201968137</v>
      </c>
      <c r="AJ2078" s="19">
        <f t="shared" si="605"/>
        <v>4704250.3347305888</v>
      </c>
      <c r="AK2078" s="20">
        <f t="shared" si="612"/>
        <v>0.15166211427595458</v>
      </c>
      <c r="AL2078" s="17"/>
      <c r="AM2078" s="17"/>
      <c r="AN2078" s="17"/>
      <c r="AO2078" s="17"/>
      <c r="AP2078" s="28" t="str">
        <f t="shared" si="613"/>
        <v>202211</v>
      </c>
      <c r="AQ2078" s="28" t="str">
        <f t="shared" si="614"/>
        <v>202211RMB</v>
      </c>
      <c r="AR2078" s="206" t="str">
        <f t="shared" si="615"/>
        <v>YAMAHA_Mounter</v>
      </c>
      <c r="AS2078" s="22">
        <f t="shared" si="616"/>
        <v>0</v>
      </c>
      <c r="AT2078" s="24" t="str">
        <f t="shared" si="617"/>
        <v>0-3 months</v>
      </c>
      <c r="AU2078" s="22" t="s">
        <v>3751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19"/>
        <v>1.13</v>
      </c>
      <c r="Z2079" s="18">
        <f t="shared" si="618"/>
        <v>851000</v>
      </c>
      <c r="AA2079" s="13">
        <v>1.08</v>
      </c>
      <c r="AB2079" s="21">
        <f t="shared" si="603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04"/>
        <v>31017966.201968137</v>
      </c>
      <c r="AJ2079" s="19">
        <f t="shared" si="605"/>
        <v>4704250.3347305888</v>
      </c>
      <c r="AK2079" s="20">
        <f t="shared" si="612"/>
        <v>0.15166211427595458</v>
      </c>
      <c r="AL2079" s="17"/>
      <c r="AM2079" s="17"/>
      <c r="AN2079" s="17"/>
      <c r="AO2079" s="17"/>
      <c r="AP2079" s="28" t="str">
        <f t="shared" si="613"/>
        <v>202211</v>
      </c>
      <c r="AQ2079" s="28" t="str">
        <f t="shared" si="614"/>
        <v>202211RMB</v>
      </c>
      <c r="AR2079" s="206" t="str">
        <f t="shared" si="615"/>
        <v>YAMAHA_Mounter</v>
      </c>
      <c r="AS2079" s="22">
        <f t="shared" si="616"/>
        <v>0</v>
      </c>
      <c r="AT2079" s="24" t="str">
        <f t="shared" si="617"/>
        <v>0-3 months</v>
      </c>
      <c r="AU2079" s="22" t="s">
        <v>3751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19"/>
        <v>1.13</v>
      </c>
      <c r="Z2080" s="18">
        <f t="shared" si="618"/>
        <v>851000</v>
      </c>
      <c r="AA2080" s="13">
        <v>1.08</v>
      </c>
      <c r="AB2080" s="21">
        <f t="shared" si="603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04"/>
        <v>31017966.201968137</v>
      </c>
      <c r="AJ2080" s="19">
        <f t="shared" si="605"/>
        <v>4704250.3347305888</v>
      </c>
      <c r="AK2080" s="20">
        <f t="shared" si="612"/>
        <v>0.15166211427595458</v>
      </c>
      <c r="AL2080" s="17"/>
      <c r="AM2080" s="17"/>
      <c r="AN2080" s="17"/>
      <c r="AO2080" s="17"/>
      <c r="AP2080" s="28" t="str">
        <f t="shared" si="613"/>
        <v>202211</v>
      </c>
      <c r="AQ2080" s="28" t="str">
        <f t="shared" si="614"/>
        <v>202211RMB</v>
      </c>
      <c r="AR2080" s="206" t="str">
        <f t="shared" si="615"/>
        <v>YAMAHA_Mounter</v>
      </c>
      <c r="AS2080" s="22">
        <f t="shared" si="616"/>
        <v>0</v>
      </c>
      <c r="AT2080" s="24" t="str">
        <f t="shared" si="617"/>
        <v>0-3 months</v>
      </c>
      <c r="AU2080" s="22" t="s">
        <v>3751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19"/>
        <v>1.13</v>
      </c>
      <c r="Z2081" s="18">
        <f t="shared" si="618"/>
        <v>851000</v>
      </c>
      <c r="AA2081" s="13">
        <v>1.08</v>
      </c>
      <c r="AB2081" s="21">
        <f t="shared" si="603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04"/>
        <v>31017966.201968137</v>
      </c>
      <c r="AJ2081" s="19">
        <f t="shared" si="605"/>
        <v>4704250.3347305888</v>
      </c>
      <c r="AK2081" s="20">
        <f t="shared" si="612"/>
        <v>0.15166211427595458</v>
      </c>
      <c r="AL2081" s="17"/>
      <c r="AM2081" s="17"/>
      <c r="AN2081" s="17"/>
      <c r="AO2081" s="17"/>
      <c r="AP2081" s="28" t="str">
        <f t="shared" si="613"/>
        <v>202211</v>
      </c>
      <c r="AQ2081" s="28" t="str">
        <f t="shared" si="614"/>
        <v>202211RMB</v>
      </c>
      <c r="AR2081" s="206" t="str">
        <f t="shared" si="615"/>
        <v>YAMAHA_Mounter</v>
      </c>
      <c r="AS2081" s="22">
        <f t="shared" si="616"/>
        <v>0</v>
      </c>
      <c r="AT2081" s="24" t="str">
        <f t="shared" si="617"/>
        <v>0-3 months</v>
      </c>
      <c r="AU2081" s="22" t="s">
        <v>3751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18"/>
        <v>30000000</v>
      </c>
      <c r="AA2082" s="13">
        <v>7.2099999999999997E-2</v>
      </c>
      <c r="AB2082" s="21">
        <f t="shared" si="603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04"/>
        <v>499582152.5142017</v>
      </c>
      <c r="AJ2082" s="19">
        <f t="shared" si="605"/>
        <v>59520528.679470733</v>
      </c>
      <c r="AK2082" s="20">
        <f t="shared" si="612"/>
        <v>0.11914062257814291</v>
      </c>
      <c r="AL2082" s="17"/>
      <c r="AM2082" s="17"/>
      <c r="AN2082" s="17"/>
      <c r="AO2082" s="17"/>
      <c r="AP2082" s="28" t="str">
        <f t="shared" si="613"/>
        <v>CancelCancel</v>
      </c>
      <c r="AQ2082" s="28" t="str">
        <f t="shared" si="614"/>
        <v>CancelCancelJPY</v>
      </c>
      <c r="AR2082" s="206" t="str">
        <f t="shared" si="615"/>
        <v>YAMAHA_Mounter</v>
      </c>
      <c r="AS2082" s="22" t="str">
        <f t="shared" si="616"/>
        <v/>
      </c>
      <c r="AT2082" s="24" t="str">
        <f t="shared" si="617"/>
        <v/>
      </c>
      <c r="AU2082" s="22" t="s">
        <v>3746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18"/>
        <v>23880000</v>
      </c>
      <c r="AA2083" s="13">
        <v>7.2099999999999997E-2</v>
      </c>
      <c r="AB2083" s="21">
        <f t="shared" si="603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04"/>
        <v>499582152.5142017</v>
      </c>
      <c r="AJ2083" s="19">
        <f t="shared" si="605"/>
        <v>59520528.679470733</v>
      </c>
      <c r="AK2083" s="20">
        <f t="shared" si="612"/>
        <v>0.11914062257814291</v>
      </c>
      <c r="AL2083" s="17"/>
      <c r="AM2083" s="17"/>
      <c r="AN2083" s="17"/>
      <c r="AO2083" s="17"/>
      <c r="AP2083" s="28" t="str">
        <f t="shared" si="613"/>
        <v>CancelCancel</v>
      </c>
      <c r="AQ2083" s="28" t="str">
        <f t="shared" si="614"/>
        <v>CancelCancelJPY</v>
      </c>
      <c r="AR2083" s="206" t="str">
        <f t="shared" si="615"/>
        <v>YAMAHA_Mounter</v>
      </c>
      <c r="AS2083" s="22" t="str">
        <f t="shared" si="616"/>
        <v/>
      </c>
      <c r="AT2083" s="24" t="str">
        <f t="shared" si="617"/>
        <v/>
      </c>
      <c r="AU2083" s="22" t="s">
        <v>3746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18"/>
        <v>30000000</v>
      </c>
      <c r="AA2084" s="13">
        <v>7.0699999999999999E-2</v>
      </c>
      <c r="AB2084" s="21">
        <f t="shared" si="603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04"/>
        <v>499582152.5142017</v>
      </c>
      <c r="AJ2084" s="19">
        <f t="shared" si="605"/>
        <v>59520528.679470733</v>
      </c>
      <c r="AK2084" s="20">
        <f t="shared" si="612"/>
        <v>0.11914062257814291</v>
      </c>
      <c r="AL2084" s="17"/>
      <c r="AM2084" s="17"/>
      <c r="AN2084" s="17"/>
      <c r="AO2084" s="17"/>
      <c r="AP2084" s="28" t="str">
        <f t="shared" si="613"/>
        <v>CancelCancel</v>
      </c>
      <c r="AQ2084" s="28" t="str">
        <f t="shared" si="614"/>
        <v>CancelCancelJPY</v>
      </c>
      <c r="AR2084" s="206" t="str">
        <f t="shared" si="615"/>
        <v>YAMAHA_Mounter</v>
      </c>
      <c r="AS2084" s="22" t="str">
        <f t="shared" si="616"/>
        <v/>
      </c>
      <c r="AT2084" s="24" t="str">
        <f t="shared" si="617"/>
        <v/>
      </c>
      <c r="AU2084" s="22" t="s">
        <v>3745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18"/>
        <v>13500000</v>
      </c>
      <c r="AA2085" s="13">
        <v>7.0199999999999999E-2</v>
      </c>
      <c r="AB2085" s="21">
        <f t="shared" si="603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04"/>
        <v>499582152.5142017</v>
      </c>
      <c r="AJ2085" s="19">
        <f t="shared" si="605"/>
        <v>59520528.679470733</v>
      </c>
      <c r="AK2085" s="20">
        <f t="shared" si="612"/>
        <v>0.11914062257814291</v>
      </c>
      <c r="AL2085" s="17"/>
      <c r="AM2085" s="17"/>
      <c r="AN2085" s="17"/>
      <c r="AO2085" s="17" t="s">
        <v>614</v>
      </c>
      <c r="AP2085" s="28" t="str">
        <f t="shared" si="613"/>
        <v>CancelCancel</v>
      </c>
      <c r="AQ2085" s="28" t="str">
        <f t="shared" si="614"/>
        <v>CancelCancelJPY</v>
      </c>
      <c r="AR2085" s="206" t="str">
        <f t="shared" si="615"/>
        <v>YAMAHA_Mounter</v>
      </c>
      <c r="AS2085" s="22" t="str">
        <f t="shared" si="616"/>
        <v/>
      </c>
      <c r="AT2085" s="24" t="str">
        <f t="shared" si="617"/>
        <v/>
      </c>
      <c r="AU2085" s="22" t="s">
        <v>3745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18"/>
        <v>13500000</v>
      </c>
      <c r="AA2086" s="13">
        <v>7.2300000000000003E-2</v>
      </c>
      <c r="AB2086" s="21">
        <f t="shared" si="603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04"/>
        <v>499582152.5142017</v>
      </c>
      <c r="AJ2086" s="19">
        <f t="shared" si="605"/>
        <v>59520528.679470733</v>
      </c>
      <c r="AK2086" s="20">
        <f t="shared" si="612"/>
        <v>0.11914062257814291</v>
      </c>
      <c r="AL2086" s="17"/>
      <c r="AM2086" s="17"/>
      <c r="AN2086" s="17"/>
      <c r="AO2086" s="17"/>
      <c r="AP2086" s="28" t="str">
        <f t="shared" si="613"/>
        <v>CancelCancel</v>
      </c>
      <c r="AQ2086" s="28" t="str">
        <f t="shared" si="614"/>
        <v>CancelCancelJPY</v>
      </c>
      <c r="AR2086" s="206" t="str">
        <f t="shared" si="615"/>
        <v>YAMAHA_Mounter</v>
      </c>
      <c r="AS2086" s="22" t="str">
        <f t="shared" si="616"/>
        <v/>
      </c>
      <c r="AT2086" s="24" t="str">
        <f t="shared" si="617"/>
        <v/>
      </c>
      <c r="AU2086" s="22" t="s">
        <v>3745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18"/>
        <v>27000000</v>
      </c>
      <c r="AA2087" s="13">
        <v>7.0199999999999999E-2</v>
      </c>
      <c r="AB2087" s="21">
        <f t="shared" si="603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04"/>
        <v>499582152.5142017</v>
      </c>
      <c r="AJ2087" s="19">
        <f t="shared" si="605"/>
        <v>59520528.679470733</v>
      </c>
      <c r="AK2087" s="20">
        <f t="shared" si="612"/>
        <v>0.11914062257814291</v>
      </c>
      <c r="AL2087" s="17"/>
      <c r="AM2087" s="17"/>
      <c r="AN2087" s="17"/>
      <c r="AO2087" s="17"/>
      <c r="AP2087" s="28" t="str">
        <f t="shared" si="613"/>
        <v>CancelCancel</v>
      </c>
      <c r="AQ2087" s="28" t="str">
        <f t="shared" si="614"/>
        <v>CancelCancelJPY</v>
      </c>
      <c r="AR2087" s="206" t="str">
        <f t="shared" si="615"/>
        <v>YAMAHA_Mounter</v>
      </c>
      <c r="AS2087" s="22" t="str">
        <f t="shared" si="616"/>
        <v/>
      </c>
      <c r="AT2087" s="24" t="str">
        <f t="shared" si="617"/>
        <v/>
      </c>
      <c r="AU2087" s="22" t="s">
        <v>3745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18"/>
        <v>15000000</v>
      </c>
      <c r="AA2088" s="13">
        <v>7.2300000000000003E-2</v>
      </c>
      <c r="AB2088" s="21">
        <f t="shared" si="603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04"/>
        <v>499582152.5142017</v>
      </c>
      <c r="AJ2088" s="19">
        <f t="shared" si="605"/>
        <v>59520528.679470733</v>
      </c>
      <c r="AK2088" s="20">
        <f t="shared" si="612"/>
        <v>0.11914062257814291</v>
      </c>
      <c r="AL2088" s="17"/>
      <c r="AM2088" s="17"/>
      <c r="AN2088" s="17"/>
      <c r="AO2088" s="17"/>
      <c r="AP2088" s="28" t="str">
        <f t="shared" si="613"/>
        <v>CancelCancel</v>
      </c>
      <c r="AQ2088" s="28" t="str">
        <f t="shared" si="614"/>
        <v>CancelCancelJPY</v>
      </c>
      <c r="AR2088" s="206" t="str">
        <f t="shared" si="615"/>
        <v>YAMAHA_Mounter</v>
      </c>
      <c r="AS2088" s="22" t="str">
        <f t="shared" si="616"/>
        <v/>
      </c>
      <c r="AT2088" s="24" t="str">
        <f t="shared" si="617"/>
        <v/>
      </c>
      <c r="AU2088" s="22" t="s">
        <v>3745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18"/>
        <v>15000000</v>
      </c>
      <c r="AA2089" s="13">
        <v>7.2300000000000003E-2</v>
      </c>
      <c r="AB2089" s="21">
        <f t="shared" si="603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04"/>
        <v>499582152.5142017</v>
      </c>
      <c r="AJ2089" s="19">
        <f t="shared" si="605"/>
        <v>59520528.679470733</v>
      </c>
      <c r="AK2089" s="20">
        <f t="shared" si="612"/>
        <v>0.11914062257814291</v>
      </c>
      <c r="AL2089" s="17"/>
      <c r="AM2089" s="17"/>
      <c r="AN2089" s="17"/>
      <c r="AO2089" s="17"/>
      <c r="AP2089" s="28" t="str">
        <f t="shared" si="613"/>
        <v>CancelCancel</v>
      </c>
      <c r="AQ2089" s="28" t="str">
        <f t="shared" si="614"/>
        <v>CancelCancelJPY</v>
      </c>
      <c r="AR2089" s="206" t="str">
        <f t="shared" si="615"/>
        <v>YAMAHA_Mounter</v>
      </c>
      <c r="AS2089" s="22" t="str">
        <f t="shared" si="616"/>
        <v/>
      </c>
      <c r="AT2089" s="24" t="str">
        <f t="shared" si="617"/>
        <v/>
      </c>
      <c r="AU2089" s="22" t="s">
        <v>3745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18"/>
        <v>18550000</v>
      </c>
      <c r="AA2090" s="13">
        <v>7.22E-2</v>
      </c>
      <c r="AB2090" s="21">
        <f t="shared" si="603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04"/>
        <v>47416008.333399981</v>
      </c>
      <c r="AJ2090" s="19">
        <f t="shared" si="605"/>
        <v>6981738.4465290187</v>
      </c>
      <c r="AK2090" s="20">
        <f t="shared" si="612"/>
        <v>0.14724433143839863</v>
      </c>
      <c r="AL2090" s="17"/>
      <c r="AM2090" s="17"/>
      <c r="AN2090" s="17"/>
      <c r="AO2090" s="17"/>
      <c r="AP2090" s="28" t="str">
        <f t="shared" si="613"/>
        <v>20193</v>
      </c>
      <c r="AQ2090" s="28" t="str">
        <f t="shared" si="614"/>
        <v>20193JPY</v>
      </c>
      <c r="AR2090" s="206" t="str">
        <f t="shared" si="615"/>
        <v>YAMAHA_Mounter</v>
      </c>
      <c r="AS2090" s="22">
        <f t="shared" si="616"/>
        <v>9</v>
      </c>
      <c r="AT2090" s="24" t="str">
        <f t="shared" si="617"/>
        <v>&gt; 6 months</v>
      </c>
      <c r="AU2090" s="22" t="s">
        <v>3745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18"/>
        <v>12500000</v>
      </c>
      <c r="AA2091" s="13">
        <v>7.0400000000000004E-2</v>
      </c>
      <c r="AB2091" s="21">
        <f t="shared" si="603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04"/>
        <v>29840797.698275864</v>
      </c>
      <c r="AJ2091" s="19">
        <f t="shared" si="605"/>
        <v>3940167.6555448272</v>
      </c>
      <c r="AK2091" s="20">
        <f t="shared" si="612"/>
        <v>0.13203962224416277</v>
      </c>
      <c r="AL2091" s="17"/>
      <c r="AM2091" s="17"/>
      <c r="AN2091" s="17"/>
      <c r="AO2091" s="17"/>
      <c r="AP2091" s="28" t="str">
        <f t="shared" si="613"/>
        <v>201812</v>
      </c>
      <c r="AQ2091" s="28" t="str">
        <f t="shared" si="614"/>
        <v>201812JPY</v>
      </c>
      <c r="AR2091" s="206" t="str">
        <f t="shared" si="615"/>
        <v>YAMAHA_Mounter</v>
      </c>
      <c r="AS2091" s="22">
        <f t="shared" si="616"/>
        <v>1</v>
      </c>
      <c r="AT2091" s="24" t="str">
        <f t="shared" si="617"/>
        <v>0-3 months</v>
      </c>
      <c r="AU2091" s="22" t="s">
        <v>3745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18"/>
        <v>7300000</v>
      </c>
      <c r="AA2092" s="13">
        <v>7.5700000000000003E-2</v>
      </c>
      <c r="AB2092" s="21">
        <f t="shared" si="603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04"/>
        <v>37969334.083628319</v>
      </c>
      <c r="AJ2092" s="19">
        <f t="shared" si="605"/>
        <v>5097226.4551657084</v>
      </c>
      <c r="AK2092" s="20">
        <f t="shared" si="612"/>
        <v>0.13424587441904964</v>
      </c>
      <c r="AL2092" s="17"/>
      <c r="AM2092" s="17"/>
      <c r="AN2092" s="17"/>
      <c r="AO2092" s="17"/>
      <c r="AP2092" s="28" t="str">
        <f t="shared" si="613"/>
        <v>20208</v>
      </c>
      <c r="AQ2092" s="28" t="str">
        <f t="shared" si="614"/>
        <v>20208JPY</v>
      </c>
      <c r="AR2092" s="206" t="str">
        <f t="shared" si="615"/>
        <v>YAMAHA_Mounter</v>
      </c>
      <c r="AS2092" s="22">
        <f t="shared" si="616"/>
        <v>1</v>
      </c>
      <c r="AT2092" s="24" t="str">
        <f t="shared" si="617"/>
        <v>0-3 months</v>
      </c>
      <c r="AU2092" s="22" t="s">
        <v>3745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18"/>
        <v>7300000</v>
      </c>
      <c r="AA2093" s="13">
        <v>7.5700000000000003E-2</v>
      </c>
      <c r="AB2093" s="21">
        <f t="shared" si="603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04"/>
        <v>37969334.083628319</v>
      </c>
      <c r="AJ2093" s="19">
        <f t="shared" si="605"/>
        <v>5097226.4551657084</v>
      </c>
      <c r="AK2093" s="20">
        <f t="shared" si="612"/>
        <v>0.13424587441904964</v>
      </c>
      <c r="AL2093" s="17"/>
      <c r="AM2093" s="17"/>
      <c r="AN2093" s="17"/>
      <c r="AO2093" s="17"/>
      <c r="AP2093" s="28" t="str">
        <f t="shared" si="613"/>
        <v>20208</v>
      </c>
      <c r="AQ2093" s="28" t="str">
        <f t="shared" si="614"/>
        <v>20208JPY</v>
      </c>
      <c r="AR2093" s="206" t="str">
        <f t="shared" si="615"/>
        <v>YAMAHA_Mounter</v>
      </c>
      <c r="AS2093" s="22">
        <f t="shared" si="616"/>
        <v>1</v>
      </c>
      <c r="AT2093" s="24" t="str">
        <f t="shared" si="617"/>
        <v>0-3 months</v>
      </c>
      <c r="AU2093" s="22" t="s">
        <v>3745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18"/>
        <v>840000</v>
      </c>
      <c r="AA2094" s="13">
        <v>1.08</v>
      </c>
      <c r="AB2094" s="21">
        <f t="shared" si="603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04"/>
        <v>31017966.201968137</v>
      </c>
      <c r="AJ2094" s="19">
        <f t="shared" si="605"/>
        <v>4704250.3347305888</v>
      </c>
      <c r="AK2094" s="20">
        <f t="shared" si="612"/>
        <v>0.15166211427595458</v>
      </c>
      <c r="AL2094" s="17"/>
      <c r="AM2094" s="17"/>
      <c r="AN2094" s="17"/>
      <c r="AO2094" s="17"/>
      <c r="AP2094" s="28" t="str">
        <f t="shared" si="613"/>
        <v>202211</v>
      </c>
      <c r="AQ2094" s="28" t="str">
        <f t="shared" si="614"/>
        <v>202211RMB</v>
      </c>
      <c r="AR2094" s="206" t="str">
        <f t="shared" si="615"/>
        <v>YAMAHA_Mounter</v>
      </c>
      <c r="AS2094" s="22">
        <f t="shared" si="616"/>
        <v>1</v>
      </c>
      <c r="AT2094" s="24" t="str">
        <f t="shared" si="617"/>
        <v>0-3 months</v>
      </c>
      <c r="AU2094" s="22" t="s">
        <v>3751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18"/>
        <v>12500000</v>
      </c>
      <c r="AA2095" s="22">
        <v>5.4100000000000002E-2</v>
      </c>
      <c r="AB2095" s="21">
        <f t="shared" si="603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04"/>
        <v>10524262.405309737</v>
      </c>
      <c r="AJ2095" s="27">
        <f t="shared" si="605"/>
        <v>1479050.9527127435</v>
      </c>
      <c r="AK2095" s="28">
        <f t="shared" si="612"/>
        <v>0.14053725532028996</v>
      </c>
      <c r="AL2095" s="24"/>
      <c r="AM2095" s="24"/>
      <c r="AN2095" s="24"/>
      <c r="AO2095" s="24"/>
      <c r="AP2095" s="28" t="str">
        <f t="shared" si="613"/>
        <v>20242</v>
      </c>
      <c r="AQ2095" s="28" t="str">
        <f t="shared" si="614"/>
        <v>20242JPY</v>
      </c>
      <c r="AR2095" s="206" t="str">
        <f t="shared" si="615"/>
        <v>YAMAHA_Mounter</v>
      </c>
      <c r="AS2095" s="22">
        <f t="shared" si="616"/>
        <v>1</v>
      </c>
      <c r="AT2095" s="24" t="str">
        <f t="shared" si="617"/>
        <v>0-3 months</v>
      </c>
      <c r="AU2095" s="22" t="s">
        <v>3745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18"/>
        <v>10000000</v>
      </c>
      <c r="AA2096" s="13">
        <v>0.06</v>
      </c>
      <c r="AB2096" s="21">
        <f t="shared" si="603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04"/>
        <v>30573205.452778768</v>
      </c>
      <c r="AJ2096" s="19">
        <f t="shared" si="605"/>
        <v>3790930.1683151261</v>
      </c>
      <c r="AK2096" s="20">
        <f t="shared" si="612"/>
        <v>0.12399518179964254</v>
      </c>
      <c r="AL2096" s="17"/>
      <c r="AM2096" s="17"/>
      <c r="AN2096" s="17"/>
      <c r="AO2096" s="17"/>
      <c r="AP2096" s="28" t="str">
        <f t="shared" si="613"/>
        <v>20234</v>
      </c>
      <c r="AQ2096" s="28" t="str">
        <f t="shared" si="614"/>
        <v>20234JPY</v>
      </c>
      <c r="AR2096" s="206" t="str">
        <f t="shared" si="615"/>
        <v>YAMAHA_Mounter</v>
      </c>
      <c r="AS2096" s="22">
        <f t="shared" si="616"/>
        <v>0</v>
      </c>
      <c r="AT2096" s="24" t="str">
        <f t="shared" si="617"/>
        <v>0-3 months</v>
      </c>
      <c r="AU2096" s="22" t="s">
        <v>3745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18"/>
        <v>13800000</v>
      </c>
      <c r="AA2097" s="13">
        <v>0.06</v>
      </c>
      <c r="AB2097" s="21">
        <f t="shared" si="603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04"/>
        <v>30573205.452778768</v>
      </c>
      <c r="AJ2097" s="19">
        <f t="shared" si="605"/>
        <v>3790930.1683151261</v>
      </c>
      <c r="AK2097" s="20">
        <f t="shared" si="612"/>
        <v>0.12399518179964254</v>
      </c>
      <c r="AL2097" s="17"/>
      <c r="AM2097" s="17"/>
      <c r="AN2097" s="17"/>
      <c r="AO2097" s="17"/>
      <c r="AP2097" s="28" t="str">
        <f t="shared" si="613"/>
        <v>20234</v>
      </c>
      <c r="AQ2097" s="28" t="str">
        <f t="shared" si="614"/>
        <v>20234JPY</v>
      </c>
      <c r="AR2097" s="206" t="str">
        <f t="shared" si="615"/>
        <v>YAMAHA_Mounter</v>
      </c>
      <c r="AS2097" s="22">
        <f t="shared" si="616"/>
        <v>0</v>
      </c>
      <c r="AT2097" s="24" t="str">
        <f t="shared" si="617"/>
        <v>0-3 months</v>
      </c>
      <c r="AU2097" s="22" t="s">
        <v>3745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18"/>
        <v>8800000</v>
      </c>
      <c r="AA2098" s="13">
        <v>7.2099999999999997E-2</v>
      </c>
      <c r="AB2098" s="21">
        <f t="shared" si="603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04"/>
        <v>54700260.692079648</v>
      </c>
      <c r="AJ2098" s="19">
        <f t="shared" si="605"/>
        <v>7482899.5749188727</v>
      </c>
      <c r="AK2098" s="20">
        <f t="shared" si="612"/>
        <v>0.13679824337660537</v>
      </c>
      <c r="AL2098" s="17"/>
      <c r="AM2098" s="17"/>
      <c r="AN2098" s="17"/>
      <c r="AO2098" s="17"/>
      <c r="AP2098" s="28" t="str">
        <f t="shared" si="613"/>
        <v>20216</v>
      </c>
      <c r="AQ2098" s="28" t="str">
        <f t="shared" si="614"/>
        <v>20216JPY</v>
      </c>
      <c r="AR2098" s="206" t="str">
        <f t="shared" si="615"/>
        <v>YAMAHA_Mounter</v>
      </c>
      <c r="AS2098" s="22">
        <f t="shared" si="616"/>
        <v>1</v>
      </c>
      <c r="AT2098" s="24" t="str">
        <f t="shared" si="617"/>
        <v>0-3 months</v>
      </c>
      <c r="AU2098" s="22" t="s">
        <v>3746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18"/>
        <v>13000000</v>
      </c>
      <c r="AA2099" s="13">
        <v>6.9199999999999998E-2</v>
      </c>
      <c r="AB2099" s="21">
        <f t="shared" si="603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04"/>
        <v>28726768.133805312</v>
      </c>
      <c r="AJ2099" s="19">
        <f t="shared" si="605"/>
        <v>3853638.1988864429</v>
      </c>
      <c r="AK2099" s="20">
        <f t="shared" si="612"/>
        <v>0.1341479898099476</v>
      </c>
      <c r="AL2099" s="17"/>
      <c r="AM2099" s="17"/>
      <c r="AN2099" s="17"/>
      <c r="AO2099" s="17"/>
      <c r="AP2099" s="28" t="str">
        <f t="shared" si="613"/>
        <v>20223</v>
      </c>
      <c r="AQ2099" s="28" t="str">
        <f t="shared" si="614"/>
        <v>20223JPY</v>
      </c>
      <c r="AR2099" s="206" t="str">
        <f t="shared" si="615"/>
        <v>YAMAHA_Mounter</v>
      </c>
      <c r="AS2099" s="22">
        <f t="shared" si="616"/>
        <v>10</v>
      </c>
      <c r="AT2099" s="24" t="str">
        <f t="shared" si="617"/>
        <v>&gt; 6 months</v>
      </c>
      <c r="AU2099" s="22" t="s">
        <v>3746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18"/>
        <v>10800000</v>
      </c>
      <c r="AA2100" s="13">
        <v>7.2999999999999995E-2</v>
      </c>
      <c r="AB2100" s="21">
        <f t="shared" si="603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04"/>
        <v>23168285.927433632</v>
      </c>
      <c r="AJ2100" s="19">
        <f t="shared" si="605"/>
        <v>2764878.916878053</v>
      </c>
      <c r="AK2100" s="20">
        <f t="shared" si="612"/>
        <v>0.11933895004309111</v>
      </c>
      <c r="AL2100" s="17"/>
      <c r="AM2100" s="17"/>
      <c r="AN2100" s="17"/>
      <c r="AO2100" s="17"/>
      <c r="AP2100" s="28" t="str">
        <f t="shared" si="613"/>
        <v>20203</v>
      </c>
      <c r="AQ2100" s="28" t="str">
        <f t="shared" si="614"/>
        <v>20203JPY</v>
      </c>
      <c r="AR2100" s="206" t="str">
        <f t="shared" si="615"/>
        <v>YAMAHA_Mounter</v>
      </c>
      <c r="AS2100" s="22">
        <f t="shared" si="616"/>
        <v>0</v>
      </c>
      <c r="AT2100" s="24" t="str">
        <f t="shared" si="617"/>
        <v>0-3 months</v>
      </c>
      <c r="AU2100" s="22" t="s">
        <v>3745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18"/>
        <v>523000</v>
      </c>
      <c r="AA2101" s="13">
        <v>1.077</v>
      </c>
      <c r="AB2101" s="21">
        <f t="shared" si="603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04"/>
        <v>26078226.463097349</v>
      </c>
      <c r="AJ2101" s="19">
        <f t="shared" si="605"/>
        <v>3137870.4427774516</v>
      </c>
      <c r="AK2101" s="20">
        <f t="shared" si="612"/>
        <v>0.12032530077218917</v>
      </c>
      <c r="AL2101" s="17"/>
      <c r="AM2101" s="17"/>
      <c r="AN2101" s="17"/>
      <c r="AO2101" s="17"/>
      <c r="AP2101" s="28" t="str">
        <f t="shared" si="613"/>
        <v>20239</v>
      </c>
      <c r="AQ2101" s="28" t="str">
        <f t="shared" si="614"/>
        <v>20239RMB</v>
      </c>
      <c r="AR2101" s="206" t="str">
        <f t="shared" si="615"/>
        <v>YAMAHA_Mounter</v>
      </c>
      <c r="AS2101" s="22">
        <f t="shared" si="616"/>
        <v>2</v>
      </c>
      <c r="AT2101" s="24" t="str">
        <f t="shared" si="617"/>
        <v>0-3 months</v>
      </c>
      <c r="AU2101" s="22" t="s">
        <v>3751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18"/>
        <v>523000</v>
      </c>
      <c r="AA2102" s="13">
        <v>1.077</v>
      </c>
      <c r="AB2102" s="21">
        <f t="shared" ref="AB2102:AB2165" si="620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04"/>
        <v>26078226.463097349</v>
      </c>
      <c r="AJ2102" s="19">
        <f t="shared" si="605"/>
        <v>3137870.4427774516</v>
      </c>
      <c r="AK2102" s="20">
        <f t="shared" si="612"/>
        <v>0.12032530077218917</v>
      </c>
      <c r="AL2102" s="17"/>
      <c r="AM2102" s="17"/>
      <c r="AN2102" s="17"/>
      <c r="AO2102" s="17"/>
      <c r="AP2102" s="28" t="str">
        <f t="shared" si="613"/>
        <v>20239</v>
      </c>
      <c r="AQ2102" s="28" t="str">
        <f t="shared" si="614"/>
        <v>20239RMB</v>
      </c>
      <c r="AR2102" s="206" t="str">
        <f t="shared" si="615"/>
        <v>YAMAHA_Mounter</v>
      </c>
      <c r="AS2102" s="22">
        <f t="shared" si="616"/>
        <v>2</v>
      </c>
      <c r="AT2102" s="24" t="str">
        <f t="shared" si="617"/>
        <v>0-3 months</v>
      </c>
      <c r="AU2102" s="22" t="s">
        <v>3751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18"/>
        <v>136000</v>
      </c>
      <c r="AA2103" s="13">
        <v>7.8</v>
      </c>
      <c r="AB2103" s="21">
        <f t="shared" si="620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04"/>
        <v>31750699.113741599</v>
      </c>
      <c r="AJ2103" s="19">
        <f t="shared" si="605"/>
        <v>4396077.3195289988</v>
      </c>
      <c r="AK2103" s="20">
        <f t="shared" si="612"/>
        <v>0.13845607946397598</v>
      </c>
      <c r="AL2103" s="17"/>
      <c r="AM2103" s="17"/>
      <c r="AN2103" s="17"/>
      <c r="AO2103" s="17"/>
      <c r="AP2103" s="28" t="str">
        <f t="shared" si="613"/>
        <v>20222</v>
      </c>
      <c r="AQ2103" s="28" t="str">
        <f t="shared" si="614"/>
        <v>20222USD</v>
      </c>
      <c r="AR2103" s="206" t="str">
        <f t="shared" si="615"/>
        <v>PEMTRON</v>
      </c>
      <c r="AS2103" s="22">
        <f t="shared" si="616"/>
        <v>5</v>
      </c>
      <c r="AT2103" s="24" t="str">
        <f t="shared" si="617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18"/>
        <v>113500</v>
      </c>
      <c r="AA2104" s="13">
        <v>7.8</v>
      </c>
      <c r="AB2104" s="21">
        <f t="shared" si="620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04"/>
        <v>13640480.497522123</v>
      </c>
      <c r="AJ2104" s="19">
        <f t="shared" si="605"/>
        <v>1928605.8020906283</v>
      </c>
      <c r="AK2104" s="20">
        <f t="shared" si="612"/>
        <v>0.1413884065477731</v>
      </c>
      <c r="AL2104" s="17"/>
      <c r="AM2104" s="17"/>
      <c r="AN2104" s="17"/>
      <c r="AO2104" s="17"/>
      <c r="AP2104" s="28" t="str">
        <f t="shared" si="613"/>
        <v>20236</v>
      </c>
      <c r="AQ2104" s="28" t="str">
        <f t="shared" si="614"/>
        <v>20236USD</v>
      </c>
      <c r="AR2104" s="206" t="str">
        <f t="shared" si="615"/>
        <v>PEMTRON</v>
      </c>
      <c r="AS2104" s="22">
        <f t="shared" si="616"/>
        <v>3</v>
      </c>
      <c r="AT2104" s="24" t="str">
        <f t="shared" si="617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18"/>
        <v>12914000</v>
      </c>
      <c r="AA2105" s="13">
        <v>7.2800000000000004E-2</v>
      </c>
      <c r="AB2105" s="21">
        <f t="shared" si="620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04"/>
        <v>499582152.5142017</v>
      </c>
      <c r="AJ2105" s="19">
        <f t="shared" si="605"/>
        <v>59520528.679470733</v>
      </c>
      <c r="AK2105" s="20">
        <f t="shared" si="612"/>
        <v>0.11914062257814291</v>
      </c>
      <c r="AL2105" s="17"/>
      <c r="AM2105" s="17"/>
      <c r="AN2105" s="17"/>
      <c r="AO2105" s="17"/>
      <c r="AP2105" s="28" t="str">
        <f t="shared" si="613"/>
        <v>CancelCANCEL</v>
      </c>
      <c r="AQ2105" s="28" t="str">
        <f t="shared" si="614"/>
        <v>CancelCANCELJPY</v>
      </c>
      <c r="AR2105" s="206" t="str">
        <f t="shared" si="615"/>
        <v>YAMAHA_Mounter</v>
      </c>
      <c r="AS2105" s="22" t="str">
        <f t="shared" si="616"/>
        <v/>
      </c>
      <c r="AT2105" s="24" t="str">
        <f t="shared" si="617"/>
        <v/>
      </c>
      <c r="AU2105" s="22" t="s">
        <v>3745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18"/>
        <v>8900000</v>
      </c>
      <c r="AA2106" s="13">
        <v>7.2800000000000004E-2</v>
      </c>
      <c r="AB2106" s="21">
        <f t="shared" si="620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04"/>
        <v>63006605.696460173</v>
      </c>
      <c r="AJ2106" s="19">
        <f t="shared" si="605"/>
        <v>8897485.660753984</v>
      </c>
      <c r="AK2106" s="20">
        <f t="shared" si="612"/>
        <v>0.141215124388995</v>
      </c>
      <c r="AL2106" s="17"/>
      <c r="AM2106" s="17"/>
      <c r="AN2106" s="17"/>
      <c r="AO2106" s="17"/>
      <c r="AP2106" s="28" t="str">
        <f t="shared" si="613"/>
        <v>20215</v>
      </c>
      <c r="AQ2106" s="28" t="str">
        <f t="shared" si="614"/>
        <v>20215JPY</v>
      </c>
      <c r="AR2106" s="206" t="str">
        <f t="shared" si="615"/>
        <v>YAMAHA_Mounter</v>
      </c>
      <c r="AS2106" s="22">
        <f t="shared" si="616"/>
        <v>4</v>
      </c>
      <c r="AT2106" s="24" t="str">
        <f t="shared" si="617"/>
        <v>4-6 months</v>
      </c>
      <c r="AU2106" s="22" t="s">
        <v>3745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18"/>
        <v>12000000</v>
      </c>
      <c r="AA2107" s="13">
        <v>7.2800000000000004E-2</v>
      </c>
      <c r="AB2107" s="21">
        <f t="shared" si="620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04"/>
        <v>63006605.696460173</v>
      </c>
      <c r="AJ2107" s="19">
        <f t="shared" si="605"/>
        <v>8897485.660753984</v>
      </c>
      <c r="AK2107" s="20">
        <f t="shared" si="612"/>
        <v>0.141215124388995</v>
      </c>
      <c r="AL2107" s="17"/>
      <c r="AM2107" s="17"/>
      <c r="AN2107" s="17"/>
      <c r="AO2107" s="17"/>
      <c r="AP2107" s="28" t="str">
        <f t="shared" si="613"/>
        <v>20215</v>
      </c>
      <c r="AQ2107" s="28" t="str">
        <f t="shared" si="614"/>
        <v>20215JPY</v>
      </c>
      <c r="AR2107" s="206" t="str">
        <f t="shared" si="615"/>
        <v>YAMAHA_Mounter</v>
      </c>
      <c r="AS2107" s="22">
        <f t="shared" si="616"/>
        <v>4</v>
      </c>
      <c r="AT2107" s="24" t="str">
        <f t="shared" si="617"/>
        <v>4-6 months</v>
      </c>
      <c r="AU2107" s="22" t="s">
        <v>3745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18"/>
        <v>8400000</v>
      </c>
      <c r="AA2108" s="13">
        <v>5.4199999999999998E-2</v>
      </c>
      <c r="AB2108" s="21">
        <f t="shared" si="620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04"/>
        <v>499582152.5142017</v>
      </c>
      <c r="AJ2108" s="19">
        <f t="shared" si="605"/>
        <v>59520528.679470733</v>
      </c>
      <c r="AK2108" s="20">
        <f t="shared" si="612"/>
        <v>0.11914062257814291</v>
      </c>
      <c r="AL2108" s="17"/>
      <c r="AM2108" s="17"/>
      <c r="AN2108" s="17"/>
      <c r="AO2108" s="17"/>
      <c r="AP2108" s="28" t="str">
        <f t="shared" si="613"/>
        <v>CancelCancel</v>
      </c>
      <c r="AQ2108" s="28" t="str">
        <f t="shared" si="614"/>
        <v>CancelCancelJPY</v>
      </c>
      <c r="AR2108" s="206" t="str">
        <f t="shared" si="615"/>
        <v>YAMAHA_Mounter</v>
      </c>
      <c r="AS2108" s="22" t="str">
        <f t="shared" si="616"/>
        <v/>
      </c>
      <c r="AT2108" s="24" t="str">
        <f t="shared" si="617"/>
        <v/>
      </c>
      <c r="AU2108" s="22" t="s">
        <v>3745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18"/>
        <v>14000000</v>
      </c>
      <c r="AA2109" s="13">
        <v>5.4199999999999998E-2</v>
      </c>
      <c r="AB2109" s="21">
        <f t="shared" si="620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04"/>
        <v>499582152.5142017</v>
      </c>
      <c r="AJ2109" s="19">
        <f t="shared" si="605"/>
        <v>59520528.679470733</v>
      </c>
      <c r="AK2109" s="20">
        <f t="shared" si="612"/>
        <v>0.11914062257814291</v>
      </c>
      <c r="AL2109" s="17"/>
      <c r="AM2109" s="17"/>
      <c r="AN2109" s="17"/>
      <c r="AO2109" s="17"/>
      <c r="AP2109" s="28" t="str">
        <f t="shared" si="613"/>
        <v>CancelCancel</v>
      </c>
      <c r="AQ2109" s="28" t="str">
        <f t="shared" si="614"/>
        <v>CancelCancelJPY</v>
      </c>
      <c r="AR2109" s="206" t="str">
        <f t="shared" si="615"/>
        <v>YAMAHA_Mounter</v>
      </c>
      <c r="AS2109" s="22" t="str">
        <f t="shared" si="616"/>
        <v/>
      </c>
      <c r="AT2109" s="24" t="str">
        <f t="shared" si="617"/>
        <v/>
      </c>
      <c r="AU2109" s="22" t="s">
        <v>3745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18"/>
        <v>788888</v>
      </c>
      <c r="AA2110" s="22">
        <v>1.08</v>
      </c>
      <c r="AB2110" s="21">
        <f t="shared" si="620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04"/>
        <v>27308925.887079656</v>
      </c>
      <c r="AJ2110" s="27">
        <f t="shared" si="605"/>
        <v>3319273.860338124</v>
      </c>
      <c r="AK2110" s="28">
        <f t="shared" si="612"/>
        <v>0.12154538314919709</v>
      </c>
      <c r="AL2110" s="24"/>
      <c r="AM2110" s="24"/>
      <c r="AN2110" s="24"/>
      <c r="AO2110" s="24"/>
      <c r="AP2110" s="28" t="str">
        <f t="shared" si="613"/>
        <v>20246</v>
      </c>
      <c r="AQ2110" s="28" t="str">
        <f t="shared" si="614"/>
        <v>20246RMB</v>
      </c>
      <c r="AR2110" s="206" t="str">
        <f t="shared" si="615"/>
        <v>YAMAHA_Mounter</v>
      </c>
      <c r="AS2110" s="22">
        <f t="shared" si="616"/>
        <v>3</v>
      </c>
      <c r="AT2110" s="24" t="str">
        <f t="shared" si="617"/>
        <v>0-3 months</v>
      </c>
      <c r="AU2110" s="22" t="s">
        <v>3751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18"/>
        <v>595556</v>
      </c>
      <c r="AA2111" s="22">
        <v>1.08</v>
      </c>
      <c r="AB2111" s="21">
        <f t="shared" si="620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04"/>
        <v>27308925.887079656</v>
      </c>
      <c r="AJ2111" s="27">
        <f t="shared" si="605"/>
        <v>3319273.860338124</v>
      </c>
      <c r="AK2111" s="28">
        <f t="shared" si="612"/>
        <v>0.12154538314919709</v>
      </c>
      <c r="AL2111" s="24"/>
      <c r="AM2111" s="24"/>
      <c r="AN2111" s="24"/>
      <c r="AO2111" s="24"/>
      <c r="AP2111" s="28" t="str">
        <f t="shared" si="613"/>
        <v>20246</v>
      </c>
      <c r="AQ2111" s="28" t="str">
        <f t="shared" si="614"/>
        <v>20246RMB</v>
      </c>
      <c r="AR2111" s="206" t="str">
        <f t="shared" si="615"/>
        <v>YAMAHA_Mounter</v>
      </c>
      <c r="AS2111" s="22">
        <f t="shared" si="616"/>
        <v>3</v>
      </c>
      <c r="AT2111" s="24" t="str">
        <f t="shared" si="617"/>
        <v>0-3 months</v>
      </c>
      <c r="AU2111" s="22" t="s">
        <v>3751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18"/>
        <v>12365000</v>
      </c>
      <c r="AA2112" s="13">
        <v>7.5700000000000003E-2</v>
      </c>
      <c r="AB2112" s="21">
        <f t="shared" si="620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04"/>
        <v>37969334.083628319</v>
      </c>
      <c r="AJ2112" s="19">
        <f t="shared" si="605"/>
        <v>5097226.4551657084</v>
      </c>
      <c r="AK2112" s="20">
        <f t="shared" si="612"/>
        <v>0.13424587441904964</v>
      </c>
      <c r="AL2112" s="17"/>
      <c r="AM2112" s="17"/>
      <c r="AN2112" s="17"/>
      <c r="AO2112" s="17"/>
      <c r="AP2112" s="28" t="str">
        <f t="shared" si="613"/>
        <v>20208</v>
      </c>
      <c r="AQ2112" s="28" t="str">
        <f t="shared" si="614"/>
        <v>20208JPY</v>
      </c>
      <c r="AR2112" s="206" t="str">
        <f t="shared" si="615"/>
        <v>YAMAHA_Mounter</v>
      </c>
      <c r="AS2112" s="22">
        <f t="shared" si="616"/>
        <v>1</v>
      </c>
      <c r="AT2112" s="24" t="str">
        <f t="shared" si="617"/>
        <v>0-3 months</v>
      </c>
      <c r="AU2112" s="22" t="s">
        <v>3745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18"/>
        <v>12575000</v>
      </c>
      <c r="AA2113" s="13">
        <v>7.6799999999999993E-2</v>
      </c>
      <c r="AB2113" s="21">
        <f t="shared" si="620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04"/>
        <v>45803245.025628321</v>
      </c>
      <c r="AJ2113" s="19">
        <f t="shared" si="605"/>
        <v>5664636.2584379362</v>
      </c>
      <c r="AK2113" s="20">
        <f t="shared" si="612"/>
        <v>0.12367325186825515</v>
      </c>
      <c r="AL2113" s="17"/>
      <c r="AM2113" s="17"/>
      <c r="AN2113" s="17"/>
      <c r="AO2113" s="17" t="s">
        <v>1512</v>
      </c>
      <c r="AP2113" s="28" t="str">
        <f t="shared" si="613"/>
        <v>20211</v>
      </c>
      <c r="AQ2113" s="28" t="str">
        <f t="shared" si="614"/>
        <v>20211JPY</v>
      </c>
      <c r="AR2113" s="206" t="str">
        <f t="shared" si="615"/>
        <v>YAMAHA_Mounter</v>
      </c>
      <c r="AS2113" s="22">
        <f t="shared" si="616"/>
        <v>3</v>
      </c>
      <c r="AT2113" s="24" t="str">
        <f t="shared" si="617"/>
        <v>0-3 months</v>
      </c>
      <c r="AU2113" s="22" t="s">
        <v>3745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18"/>
        <v>13990000</v>
      </c>
      <c r="AA2114" s="13">
        <v>5.8700000000000002E-2</v>
      </c>
      <c r="AB2114" s="21">
        <f t="shared" si="620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21">IF(P2114="C66 SERVICE","",SUMIFS(AB:AB,F:F,F2114,G:G,G2114,E:E,E2114))</f>
        <v>36480247.665929198</v>
      </c>
      <c r="AJ2114" s="19">
        <f t="shared" ref="AJ2114:AJ2177" si="622">IF(P2114="C66 SERVICE","",SUMIFS(AC:AC,F:F,F2114,G:G,G2114,E:E,E2114))</f>
        <v>5330996.6372757526</v>
      </c>
      <c r="AK2114" s="20">
        <f t="shared" si="612"/>
        <v>0.14613378412599562</v>
      </c>
      <c r="AL2114" s="17"/>
      <c r="AM2114" s="17"/>
      <c r="AN2114" s="17"/>
      <c r="AO2114" s="17"/>
      <c r="AP2114" s="28" t="str">
        <f t="shared" si="613"/>
        <v>20227</v>
      </c>
      <c r="AQ2114" s="28" t="str">
        <f t="shared" si="614"/>
        <v>20227JPY</v>
      </c>
      <c r="AR2114" s="206" t="str">
        <f t="shared" si="615"/>
        <v>YAMAHA_Mounter</v>
      </c>
      <c r="AS2114" s="22">
        <f t="shared" si="616"/>
        <v>4</v>
      </c>
      <c r="AT2114" s="24" t="str">
        <f t="shared" si="617"/>
        <v>4-6 months</v>
      </c>
      <c r="AU2114" s="22" t="s">
        <v>3745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18"/>
        <v>480000</v>
      </c>
      <c r="AA2115" s="13">
        <v>1.0920000000000001</v>
      </c>
      <c r="AB2115" s="21">
        <f t="shared" si="620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21"/>
        <v>22953677.784070797</v>
      </c>
      <c r="AJ2115" s="19">
        <f t="shared" si="622"/>
        <v>4168706.6744155753</v>
      </c>
      <c r="AK2115" s="20">
        <f t="shared" si="612"/>
        <v>0.18161388835511752</v>
      </c>
      <c r="AL2115" s="17"/>
      <c r="AM2115" s="17"/>
      <c r="AN2115" s="17"/>
      <c r="AO2115" s="17"/>
      <c r="AP2115" s="28" t="str">
        <f t="shared" si="613"/>
        <v>20238</v>
      </c>
      <c r="AQ2115" s="28" t="str">
        <f t="shared" si="614"/>
        <v>20238RMB</v>
      </c>
      <c r="AR2115" s="206" t="str">
        <f t="shared" si="615"/>
        <v>YAMAHA_Mounter</v>
      </c>
      <c r="AS2115" s="22">
        <f t="shared" si="616"/>
        <v>0</v>
      </c>
      <c r="AT2115" s="24" t="str">
        <f t="shared" si="617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18"/>
        <v>700000</v>
      </c>
      <c r="AA2116" s="13">
        <v>1.22</v>
      </c>
      <c r="AB2116" s="21">
        <f t="shared" si="620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21"/>
        <v>46600814.041769907</v>
      </c>
      <c r="AJ2116" s="19">
        <f t="shared" si="622"/>
        <v>5956366.3435927071</v>
      </c>
      <c r="AK2116" s="20">
        <f t="shared" si="612"/>
        <v>0.1278167874546958</v>
      </c>
      <c r="AL2116" s="17"/>
      <c r="AM2116" s="17"/>
      <c r="AN2116" s="17"/>
      <c r="AO2116" s="17"/>
      <c r="AP2116" s="28" t="str">
        <f t="shared" si="613"/>
        <v>20224</v>
      </c>
      <c r="AQ2116" s="28" t="str">
        <f t="shared" si="614"/>
        <v>20224RMB</v>
      </c>
      <c r="AR2116" s="206" t="str">
        <f t="shared" si="615"/>
        <v>YAMAHA_Non_Mounter</v>
      </c>
      <c r="AS2116" s="22">
        <f t="shared" si="616"/>
        <v>1</v>
      </c>
      <c r="AT2116" s="24" t="str">
        <f t="shared" si="617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18"/>
        <v>580000</v>
      </c>
      <c r="AA2117" s="13">
        <v>1.095</v>
      </c>
      <c r="AB2117" s="21">
        <f t="shared" si="620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21"/>
        <v>33477255.428389374</v>
      </c>
      <c r="AJ2117" s="19">
        <f t="shared" si="622"/>
        <v>4578663.362915583</v>
      </c>
      <c r="AK2117" s="20">
        <f t="shared" si="612"/>
        <v>0.13676937682988152</v>
      </c>
      <c r="AL2117" s="17"/>
      <c r="AM2117" s="17"/>
      <c r="AN2117" s="17"/>
      <c r="AO2117" s="17"/>
      <c r="AP2117" s="28" t="str">
        <f t="shared" si="613"/>
        <v>20204</v>
      </c>
      <c r="AQ2117" s="28" t="str">
        <f t="shared" si="614"/>
        <v>20204RMB</v>
      </c>
      <c r="AR2117" s="206" t="str">
        <f t="shared" si="615"/>
        <v>YAMAHA_Mounter</v>
      </c>
      <c r="AS2117" s="22">
        <f t="shared" si="616"/>
        <v>1</v>
      </c>
      <c r="AT2117" s="24" t="str">
        <f t="shared" si="617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18"/>
        <v>770000</v>
      </c>
      <c r="AA2118" s="13">
        <v>1.095</v>
      </c>
      <c r="AB2118" s="21">
        <f t="shared" si="620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21"/>
        <v>33477255.428389374</v>
      </c>
      <c r="AJ2118" s="19">
        <f t="shared" si="622"/>
        <v>4578663.362915583</v>
      </c>
      <c r="AK2118" s="20">
        <f t="shared" ref="AK2118:AK2181" si="629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0">IF(F2118="","",F2118&amp;G2118)</f>
        <v>20204</v>
      </c>
      <c r="AQ2118" s="28" t="str">
        <f t="shared" ref="AQ2118:AQ2181" si="631">IF(W2118="","",F2118&amp;G2118&amp;W2118)</f>
        <v>20204RMB</v>
      </c>
      <c r="AR2118" s="206" t="str">
        <f t="shared" ref="AR2118:AR2181" si="632">IFERROR(IF(AND(M2118="YAMAHA", R2118="C28"), "YAMAHA_Non_Mounter", IF(AND(M2118="YAMAHA", R2118="C49"), "YAMAHA_Mounter", M2118)),"")</f>
        <v>YAMAHA_Mounter</v>
      </c>
      <c r="AS2118" s="22">
        <f t="shared" ref="AS2118:AS2181" si="633">IFERROR(IF(OR(G2118="TBA", G2118=""), "", DATEDIF(DATE(B2118, C2118, 1), DATE(F2118, G2118, 1), "M")),"")</f>
        <v>0</v>
      </c>
      <c r="AT2118" s="24" t="str">
        <f t="shared" ref="AT2118:AT2181" si="634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18"/>
        <v>1133889</v>
      </c>
      <c r="AA2119" s="13">
        <v>1.08</v>
      </c>
      <c r="AB2119" s="21">
        <f t="shared" si="620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1"/>
        <v>31017966.201968137</v>
      </c>
      <c r="AJ2119" s="19">
        <f t="shared" si="622"/>
        <v>4704250.3347305888</v>
      </c>
      <c r="AK2119" s="20">
        <f t="shared" si="629"/>
        <v>0.15166211427595458</v>
      </c>
      <c r="AL2119" s="17"/>
      <c r="AM2119" s="17"/>
      <c r="AN2119" s="17"/>
      <c r="AO2119" s="17"/>
      <c r="AP2119" s="28" t="str">
        <f t="shared" si="630"/>
        <v>202211</v>
      </c>
      <c r="AQ2119" s="28" t="str">
        <f t="shared" si="631"/>
        <v>202211RMB</v>
      </c>
      <c r="AR2119" s="206" t="str">
        <f t="shared" si="632"/>
        <v>YAMAHA_Mounter</v>
      </c>
      <c r="AS2119" s="22">
        <f t="shared" si="633"/>
        <v>3</v>
      </c>
      <c r="AT2119" s="24" t="str">
        <f t="shared" si="634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18"/>
        <v>545000</v>
      </c>
      <c r="AA2120" s="13">
        <v>1.08</v>
      </c>
      <c r="AB2120" s="21">
        <f t="shared" si="620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1"/>
        <v>31017966.201968137</v>
      </c>
      <c r="AJ2120" s="19">
        <f t="shared" si="622"/>
        <v>4704250.3347305888</v>
      </c>
      <c r="AK2120" s="20">
        <f t="shared" si="629"/>
        <v>0.15166211427595458</v>
      </c>
      <c r="AL2120" s="17"/>
      <c r="AM2120" s="17"/>
      <c r="AN2120" s="17"/>
      <c r="AO2120" s="17"/>
      <c r="AP2120" s="28" t="str">
        <f t="shared" si="630"/>
        <v>202211</v>
      </c>
      <c r="AQ2120" s="28" t="str">
        <f t="shared" si="631"/>
        <v>202211RMB</v>
      </c>
      <c r="AR2120" s="206" t="str">
        <f t="shared" si="632"/>
        <v>YAMAHA_Mounter</v>
      </c>
      <c r="AS2120" s="22">
        <f t="shared" si="633"/>
        <v>3</v>
      </c>
      <c r="AT2120" s="24" t="str">
        <f t="shared" si="634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18"/>
        <v>680000</v>
      </c>
      <c r="AA2121" s="13">
        <v>1.08</v>
      </c>
      <c r="AB2121" s="21">
        <f t="shared" si="620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1"/>
        <v>31017966.201968137</v>
      </c>
      <c r="AJ2121" s="19">
        <f t="shared" si="622"/>
        <v>4704250.3347305888</v>
      </c>
      <c r="AK2121" s="20">
        <f t="shared" si="629"/>
        <v>0.15166211427595458</v>
      </c>
      <c r="AL2121" s="17"/>
      <c r="AM2121" s="17"/>
      <c r="AN2121" s="17"/>
      <c r="AO2121" s="17"/>
      <c r="AP2121" s="28" t="str">
        <f t="shared" si="630"/>
        <v>202211</v>
      </c>
      <c r="AQ2121" s="28" t="str">
        <f t="shared" si="631"/>
        <v>202211RMB</v>
      </c>
      <c r="AR2121" s="206" t="str">
        <f t="shared" si="632"/>
        <v>YAMAHA_Mounter</v>
      </c>
      <c r="AS2121" s="22">
        <f t="shared" si="633"/>
        <v>3</v>
      </c>
      <c r="AT2121" s="24" t="str">
        <f t="shared" si="634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5">IF(X2122="","",X2122*MAX(O2122,N2122))</f>
        <v>950000</v>
      </c>
      <c r="AA2122" s="13">
        <v>1.105</v>
      </c>
      <c r="AB2122" s="21">
        <f t="shared" si="620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1"/>
        <v>37969334.083628319</v>
      </c>
      <c r="AJ2122" s="19">
        <f t="shared" si="622"/>
        <v>5097226.4551657084</v>
      </c>
      <c r="AK2122" s="20">
        <f t="shared" si="629"/>
        <v>0.13424587441904964</v>
      </c>
      <c r="AL2122" s="17"/>
      <c r="AM2122" s="17"/>
      <c r="AN2122" s="17"/>
      <c r="AO2122" s="17"/>
      <c r="AP2122" s="28" t="str">
        <f t="shared" si="630"/>
        <v>20208</v>
      </c>
      <c r="AQ2122" s="28" t="str">
        <f t="shared" si="631"/>
        <v>20208RMB</v>
      </c>
      <c r="AR2122" s="206" t="str">
        <f t="shared" si="632"/>
        <v>YAMAHA_Non_Mounter</v>
      </c>
      <c r="AS2122" s="22">
        <f t="shared" si="633"/>
        <v>3</v>
      </c>
      <c r="AT2122" s="24" t="str">
        <f t="shared" si="634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5"/>
        <v>600000</v>
      </c>
      <c r="AA2123" s="13">
        <v>1.08</v>
      </c>
      <c r="AB2123" s="21">
        <f t="shared" si="620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1"/>
        <v>31017966.201968137</v>
      </c>
      <c r="AJ2123" s="19">
        <f t="shared" si="622"/>
        <v>4704250.3347305888</v>
      </c>
      <c r="AK2123" s="20">
        <f t="shared" si="629"/>
        <v>0.15166211427595458</v>
      </c>
      <c r="AL2123" s="17"/>
      <c r="AM2123" s="17"/>
      <c r="AN2123" s="17"/>
      <c r="AO2123" s="17"/>
      <c r="AP2123" s="28" t="str">
        <f t="shared" si="630"/>
        <v>202211</v>
      </c>
      <c r="AQ2123" s="28" t="str">
        <f t="shared" si="631"/>
        <v>202211RMB</v>
      </c>
      <c r="AR2123" s="206" t="str">
        <f t="shared" si="632"/>
        <v>YAMAHA_Non_Mounter</v>
      </c>
      <c r="AS2123" s="22">
        <f t="shared" si="633"/>
        <v>3</v>
      </c>
      <c r="AT2123" s="24" t="str">
        <f t="shared" si="634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5"/>
        <v>600000</v>
      </c>
      <c r="AA2124" s="13">
        <v>1.08</v>
      </c>
      <c r="AB2124" s="21">
        <f t="shared" si="620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1"/>
        <v>31017966.201968137</v>
      </c>
      <c r="AJ2124" s="19">
        <f t="shared" si="622"/>
        <v>4704250.3347305888</v>
      </c>
      <c r="AK2124" s="20">
        <f t="shared" si="629"/>
        <v>0.15166211427595458</v>
      </c>
      <c r="AL2124" s="17"/>
      <c r="AM2124" s="17"/>
      <c r="AN2124" s="17"/>
      <c r="AO2124" s="17"/>
      <c r="AP2124" s="28" t="str">
        <f t="shared" si="630"/>
        <v>202211</v>
      </c>
      <c r="AQ2124" s="28" t="str">
        <f t="shared" si="631"/>
        <v>202211RMB</v>
      </c>
      <c r="AR2124" s="206" t="str">
        <f t="shared" si="632"/>
        <v>YAMAHA_Non_Mounter</v>
      </c>
      <c r="AS2124" s="22">
        <f t="shared" si="633"/>
        <v>3</v>
      </c>
      <c r="AT2124" s="24" t="str">
        <f t="shared" si="634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5"/>
        <v>600000</v>
      </c>
      <c r="AA2125" s="13">
        <v>1.08</v>
      </c>
      <c r="AB2125" s="21">
        <f t="shared" si="620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1"/>
        <v>31017966.201968137</v>
      </c>
      <c r="AJ2125" s="19">
        <f t="shared" si="622"/>
        <v>4704250.3347305888</v>
      </c>
      <c r="AK2125" s="20">
        <f t="shared" si="629"/>
        <v>0.15166211427595458</v>
      </c>
      <c r="AL2125" s="17"/>
      <c r="AM2125" s="17"/>
      <c r="AN2125" s="17"/>
      <c r="AO2125" s="17"/>
      <c r="AP2125" s="28" t="str">
        <f t="shared" si="630"/>
        <v>202211</v>
      </c>
      <c r="AQ2125" s="28" t="str">
        <f t="shared" si="631"/>
        <v>202211RMB</v>
      </c>
      <c r="AR2125" s="206" t="str">
        <f t="shared" si="632"/>
        <v>YAMAHA_Non_Mounter</v>
      </c>
      <c r="AS2125" s="22">
        <f t="shared" si="633"/>
        <v>3</v>
      </c>
      <c r="AT2125" s="24" t="str">
        <f t="shared" si="634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5"/>
        <v>600000</v>
      </c>
      <c r="AA2126" s="13">
        <v>1.08</v>
      </c>
      <c r="AB2126" s="21">
        <f t="shared" si="620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1"/>
        <v>31017966.201968137</v>
      </c>
      <c r="AJ2126" s="19">
        <f t="shared" si="622"/>
        <v>4704250.3347305888</v>
      </c>
      <c r="AK2126" s="20">
        <f t="shared" si="629"/>
        <v>0.15166211427595458</v>
      </c>
      <c r="AL2126" s="17"/>
      <c r="AM2126" s="17"/>
      <c r="AN2126" s="17"/>
      <c r="AO2126" s="17"/>
      <c r="AP2126" s="28" t="str">
        <f t="shared" si="630"/>
        <v>202211</v>
      </c>
      <c r="AQ2126" s="28" t="str">
        <f t="shared" si="631"/>
        <v>202211RMB</v>
      </c>
      <c r="AR2126" s="206" t="str">
        <f t="shared" si="632"/>
        <v>YAMAHA_Non_Mounter</v>
      </c>
      <c r="AS2126" s="22">
        <f t="shared" si="633"/>
        <v>3</v>
      </c>
      <c r="AT2126" s="24" t="str">
        <f t="shared" si="634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5"/>
        <v>500000</v>
      </c>
      <c r="AA2127" s="13">
        <v>1.1299999999999999</v>
      </c>
      <c r="AB2127" s="21">
        <f t="shared" si="620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1"/>
        <v>33543315.897345133</v>
      </c>
      <c r="AJ2127" s="19">
        <f t="shared" si="622"/>
        <v>4706169.3252984071</v>
      </c>
      <c r="AK2127" s="20">
        <f t="shared" si="629"/>
        <v>0.14030125523967318</v>
      </c>
      <c r="AL2127" s="17"/>
      <c r="AM2127" s="17"/>
      <c r="AN2127" s="17"/>
      <c r="AO2127" s="17"/>
      <c r="AP2127" s="28" t="str">
        <f t="shared" si="630"/>
        <v>20233</v>
      </c>
      <c r="AQ2127" s="28" t="str">
        <f t="shared" si="631"/>
        <v>20233RMB</v>
      </c>
      <c r="AR2127" s="206" t="str">
        <f t="shared" si="632"/>
        <v>YAMAHA_Non_Mounter</v>
      </c>
      <c r="AS2127" s="22">
        <f t="shared" si="633"/>
        <v>1</v>
      </c>
      <c r="AT2127" s="24" t="str">
        <f t="shared" si="634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5"/>
        <v>528000</v>
      </c>
      <c r="AA2128" s="13">
        <v>1.23</v>
      </c>
      <c r="AB2128" s="21">
        <f t="shared" si="620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1"/>
        <v>29288201.603076916</v>
      </c>
      <c r="AJ2128" s="19">
        <f t="shared" si="622"/>
        <v>3870159.1769246152</v>
      </c>
      <c r="AK2128" s="20">
        <f t="shared" si="629"/>
        <v>0.13214055370740244</v>
      </c>
      <c r="AL2128" s="17"/>
      <c r="AM2128" s="17"/>
      <c r="AN2128" s="17"/>
      <c r="AO2128" s="17"/>
      <c r="AP2128" s="28" t="str">
        <f t="shared" si="630"/>
        <v>20184</v>
      </c>
      <c r="AQ2128" s="28" t="str">
        <f t="shared" si="631"/>
        <v>20184RMB</v>
      </c>
      <c r="AR2128" s="206" t="str">
        <f t="shared" si="632"/>
        <v>YAMAHA_Mounter</v>
      </c>
      <c r="AS2128" s="22">
        <f t="shared" si="633"/>
        <v>3</v>
      </c>
      <c r="AT2128" s="24" t="str">
        <f t="shared" si="634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5"/>
        <v>980000</v>
      </c>
      <c r="AA2129" s="13">
        <v>1.135</v>
      </c>
      <c r="AB2129" s="21">
        <f t="shared" si="620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1"/>
        <v>28011162.254106201</v>
      </c>
      <c r="AJ2129" s="19">
        <f t="shared" si="622"/>
        <v>3401347.1124888416</v>
      </c>
      <c r="AK2129" s="20">
        <f t="shared" si="629"/>
        <v>0.12142827497242578</v>
      </c>
      <c r="AL2129" s="17"/>
      <c r="AM2129" s="17"/>
      <c r="AN2129" s="17"/>
      <c r="AO2129" s="17"/>
      <c r="AP2129" s="28" t="str">
        <f t="shared" si="630"/>
        <v>202010</v>
      </c>
      <c r="AQ2129" s="28" t="str">
        <f t="shared" si="631"/>
        <v>202010RMB</v>
      </c>
      <c r="AR2129" s="206" t="str">
        <f t="shared" si="632"/>
        <v>YAMAHA_Mounter</v>
      </c>
      <c r="AS2129" s="22">
        <f t="shared" si="633"/>
        <v>2</v>
      </c>
      <c r="AT2129" s="24" t="str">
        <f t="shared" si="634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5"/>
        <v>700000</v>
      </c>
      <c r="AA2130" s="13">
        <v>1.135</v>
      </c>
      <c r="AB2130" s="21">
        <f t="shared" si="620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1"/>
        <v>28011162.254106201</v>
      </c>
      <c r="AJ2130" s="19">
        <f t="shared" si="622"/>
        <v>3401347.1124888416</v>
      </c>
      <c r="AK2130" s="20">
        <f t="shared" si="629"/>
        <v>0.12142827497242578</v>
      </c>
      <c r="AL2130" s="17"/>
      <c r="AM2130" s="17"/>
      <c r="AN2130" s="17"/>
      <c r="AO2130" s="17"/>
      <c r="AP2130" s="28" t="str">
        <f t="shared" si="630"/>
        <v>202010</v>
      </c>
      <c r="AQ2130" s="28" t="str">
        <f t="shared" si="631"/>
        <v>202010RMB</v>
      </c>
      <c r="AR2130" s="206" t="str">
        <f t="shared" si="632"/>
        <v>YAMAHA_Mounter</v>
      </c>
      <c r="AS2130" s="22">
        <f t="shared" si="633"/>
        <v>2</v>
      </c>
      <c r="AT2130" s="24" t="str">
        <f t="shared" si="634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5"/>
        <v>520000</v>
      </c>
      <c r="AA2131" s="13">
        <v>1.1599999999999999</v>
      </c>
      <c r="AB2131" s="21">
        <f t="shared" si="620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1"/>
        <v>21045012.884955753</v>
      </c>
      <c r="AJ2131" s="19">
        <f t="shared" si="622"/>
        <v>2650260.9603327443</v>
      </c>
      <c r="AK2131" s="20">
        <f t="shared" si="629"/>
        <v>0.12593296924172048</v>
      </c>
      <c r="AL2131" s="17"/>
      <c r="AM2131" s="17"/>
      <c r="AN2131" s="17"/>
      <c r="AO2131" s="17"/>
      <c r="AP2131" s="28" t="str">
        <f t="shared" si="630"/>
        <v>20232</v>
      </c>
      <c r="AQ2131" s="28" t="str">
        <f t="shared" si="631"/>
        <v>20232RMB</v>
      </c>
      <c r="AR2131" s="206" t="str">
        <f t="shared" si="632"/>
        <v>YAMAHA_Mounter</v>
      </c>
      <c r="AS2131" s="22">
        <f t="shared" si="633"/>
        <v>9</v>
      </c>
      <c r="AT2131" s="24" t="str">
        <f t="shared" si="634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6"/>
        <v>1.13</v>
      </c>
      <c r="Z2132" s="18">
        <f t="shared" si="635"/>
        <v>520000</v>
      </c>
      <c r="AA2132" s="13">
        <v>1.1599999999999999</v>
      </c>
      <c r="AB2132" s="21">
        <f t="shared" si="620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1"/>
        <v>21045012.884955753</v>
      </c>
      <c r="AJ2132" s="19">
        <f t="shared" si="622"/>
        <v>2650260.9603327443</v>
      </c>
      <c r="AK2132" s="20">
        <f t="shared" si="629"/>
        <v>0.12593296924172048</v>
      </c>
      <c r="AL2132" s="17"/>
      <c r="AM2132" s="17"/>
      <c r="AN2132" s="17"/>
      <c r="AO2132" s="17"/>
      <c r="AP2132" s="28" t="str">
        <f t="shared" si="630"/>
        <v>20232</v>
      </c>
      <c r="AQ2132" s="28" t="str">
        <f t="shared" si="631"/>
        <v>20232RMB</v>
      </c>
      <c r="AR2132" s="206" t="str">
        <f t="shared" si="632"/>
        <v>YAMAHA_Mounter</v>
      </c>
      <c r="AS2132" s="22">
        <f t="shared" si="633"/>
        <v>9</v>
      </c>
      <c r="AT2132" s="24" t="str">
        <f t="shared" si="634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6"/>
        <v>1.13</v>
      </c>
      <c r="Z2133" s="18">
        <f t="shared" si="635"/>
        <v>820000</v>
      </c>
      <c r="AA2133" s="13">
        <v>1.1599999999999999</v>
      </c>
      <c r="AB2133" s="21">
        <f t="shared" si="620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1"/>
        <v>21045012.884955753</v>
      </c>
      <c r="AJ2133" s="19">
        <f t="shared" si="622"/>
        <v>2650260.9603327443</v>
      </c>
      <c r="AK2133" s="20">
        <f t="shared" si="629"/>
        <v>0.12593296924172048</v>
      </c>
      <c r="AL2133" s="17"/>
      <c r="AM2133" s="17"/>
      <c r="AN2133" s="17"/>
      <c r="AO2133" s="17"/>
      <c r="AP2133" s="28" t="str">
        <f t="shared" si="630"/>
        <v>20232</v>
      </c>
      <c r="AQ2133" s="28" t="str">
        <f t="shared" si="631"/>
        <v>20232RMB</v>
      </c>
      <c r="AR2133" s="206" t="str">
        <f t="shared" si="632"/>
        <v>YAMAHA_Mounter</v>
      </c>
      <c r="AS2133" s="22">
        <f t="shared" si="633"/>
        <v>9</v>
      </c>
      <c r="AT2133" s="24" t="str">
        <f t="shared" si="634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6"/>
        <v>1.13</v>
      </c>
      <c r="Z2134" s="18">
        <f t="shared" si="635"/>
        <v>820000</v>
      </c>
      <c r="AA2134" s="13">
        <v>1.1599999999999999</v>
      </c>
      <c r="AB2134" s="21">
        <f t="shared" si="620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1"/>
        <v>21045012.884955753</v>
      </c>
      <c r="AJ2134" s="19">
        <f t="shared" si="622"/>
        <v>2650260.9603327443</v>
      </c>
      <c r="AK2134" s="20">
        <f t="shared" si="629"/>
        <v>0.12593296924172048</v>
      </c>
      <c r="AL2134" s="17"/>
      <c r="AM2134" s="17"/>
      <c r="AN2134" s="17"/>
      <c r="AO2134" s="17"/>
      <c r="AP2134" s="28" t="str">
        <f t="shared" si="630"/>
        <v>20232</v>
      </c>
      <c r="AQ2134" s="28" t="str">
        <f t="shared" si="631"/>
        <v>20232RMB</v>
      </c>
      <c r="AR2134" s="206" t="str">
        <f t="shared" si="632"/>
        <v>YAMAHA_Mounter</v>
      </c>
      <c r="AS2134" s="22">
        <f t="shared" si="633"/>
        <v>9</v>
      </c>
      <c r="AT2134" s="24" t="str">
        <f t="shared" si="634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6"/>
        <v>1.13</v>
      </c>
      <c r="Z2135" s="18">
        <f t="shared" si="635"/>
        <v>481416.5</v>
      </c>
      <c r="AA2135" s="13">
        <v>1.1950000000000001</v>
      </c>
      <c r="AB2135" s="21">
        <f t="shared" si="620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1"/>
        <v>63006605.696460173</v>
      </c>
      <c r="AJ2135" s="19">
        <f t="shared" si="622"/>
        <v>8897485.660753984</v>
      </c>
      <c r="AK2135" s="20">
        <f t="shared" si="629"/>
        <v>0.141215124388995</v>
      </c>
      <c r="AL2135" s="17"/>
      <c r="AM2135" s="17"/>
      <c r="AN2135" s="17"/>
      <c r="AO2135" s="17"/>
      <c r="AP2135" s="28" t="str">
        <f t="shared" si="630"/>
        <v>20215</v>
      </c>
      <c r="AQ2135" s="28" t="str">
        <f t="shared" si="631"/>
        <v>20215RMB</v>
      </c>
      <c r="AR2135" s="206" t="str">
        <f t="shared" si="632"/>
        <v>YAMAHA_Mounter</v>
      </c>
      <c r="AS2135" s="22">
        <f t="shared" si="633"/>
        <v>1</v>
      </c>
      <c r="AT2135" s="24" t="str">
        <f t="shared" si="634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6"/>
        <v>1.13</v>
      </c>
      <c r="Z2136" s="18">
        <f t="shared" si="635"/>
        <v>481416.5</v>
      </c>
      <c r="AA2136" s="13">
        <v>1.1950000000000001</v>
      </c>
      <c r="AB2136" s="21">
        <f t="shared" si="620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1"/>
        <v>63006605.696460173</v>
      </c>
      <c r="AJ2136" s="19">
        <f t="shared" si="622"/>
        <v>8897485.660753984</v>
      </c>
      <c r="AK2136" s="20">
        <f t="shared" si="629"/>
        <v>0.141215124388995</v>
      </c>
      <c r="AL2136" s="17"/>
      <c r="AM2136" s="17"/>
      <c r="AN2136" s="17"/>
      <c r="AO2136" s="17"/>
      <c r="AP2136" s="28" t="str">
        <f t="shared" si="630"/>
        <v>20215</v>
      </c>
      <c r="AQ2136" s="28" t="str">
        <f t="shared" si="631"/>
        <v>20215RMB</v>
      </c>
      <c r="AR2136" s="206" t="str">
        <f t="shared" si="632"/>
        <v>YAMAHA_Mounter</v>
      </c>
      <c r="AS2136" s="22">
        <f t="shared" si="633"/>
        <v>1</v>
      </c>
      <c r="AT2136" s="24" t="str">
        <f t="shared" si="634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6"/>
        <v>1.13</v>
      </c>
      <c r="Z2137" s="18">
        <f t="shared" si="635"/>
        <v>820700</v>
      </c>
      <c r="AA2137" s="13">
        <v>1.1950000000000001</v>
      </c>
      <c r="AB2137" s="21">
        <f t="shared" si="620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1"/>
        <v>63006605.696460173</v>
      </c>
      <c r="AJ2137" s="19">
        <f t="shared" si="622"/>
        <v>8897485.660753984</v>
      </c>
      <c r="AK2137" s="20">
        <f t="shared" si="629"/>
        <v>0.141215124388995</v>
      </c>
      <c r="AL2137" s="17"/>
      <c r="AM2137" s="17"/>
      <c r="AN2137" s="17"/>
      <c r="AO2137" s="17"/>
      <c r="AP2137" s="28" t="str">
        <f t="shared" si="630"/>
        <v>20215</v>
      </c>
      <c r="AQ2137" s="28" t="str">
        <f t="shared" si="631"/>
        <v>20215RMB</v>
      </c>
      <c r="AR2137" s="206" t="str">
        <f t="shared" si="632"/>
        <v>YAMAHA_Mounter</v>
      </c>
      <c r="AS2137" s="22">
        <f t="shared" si="633"/>
        <v>1</v>
      </c>
      <c r="AT2137" s="24" t="str">
        <f t="shared" si="634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5"/>
        <v>1009000</v>
      </c>
      <c r="AA2138" s="13">
        <v>1.1100000000000001</v>
      </c>
      <c r="AB2138" s="21">
        <f t="shared" si="620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1"/>
        <v>27318180.088495575</v>
      </c>
      <c r="AJ2138" s="19">
        <f t="shared" si="622"/>
        <v>3014099.212353982</v>
      </c>
      <c r="AK2138" s="20">
        <f t="shared" si="629"/>
        <v>0.11033308963444827</v>
      </c>
      <c r="AL2138" s="17"/>
      <c r="AM2138" s="17"/>
      <c r="AN2138" s="17"/>
      <c r="AO2138" s="17"/>
      <c r="AP2138" s="28" t="str">
        <f t="shared" si="630"/>
        <v>201912</v>
      </c>
      <c r="AQ2138" s="28" t="str">
        <f t="shared" si="631"/>
        <v>201912RMB</v>
      </c>
      <c r="AR2138" s="206" t="str">
        <f t="shared" si="632"/>
        <v>YAMAHA_Mounter</v>
      </c>
      <c r="AS2138" s="22">
        <f t="shared" si="633"/>
        <v>2</v>
      </c>
      <c r="AT2138" s="24" t="str">
        <f t="shared" si="634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5"/>
        <v>1009000</v>
      </c>
      <c r="AA2139" s="13">
        <v>1.1100000000000001</v>
      </c>
      <c r="AB2139" s="21">
        <f t="shared" si="620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1"/>
        <v>27318180.088495575</v>
      </c>
      <c r="AJ2139" s="19">
        <f t="shared" si="622"/>
        <v>3014099.212353982</v>
      </c>
      <c r="AK2139" s="20">
        <f t="shared" si="629"/>
        <v>0.11033308963444827</v>
      </c>
      <c r="AL2139" s="17"/>
      <c r="AM2139" s="17"/>
      <c r="AN2139" s="17"/>
      <c r="AO2139" s="17"/>
      <c r="AP2139" s="28" t="str">
        <f t="shared" si="630"/>
        <v>201912</v>
      </c>
      <c r="AQ2139" s="28" t="str">
        <f t="shared" si="631"/>
        <v>201912RMB</v>
      </c>
      <c r="AR2139" s="206" t="str">
        <f t="shared" si="632"/>
        <v>YAMAHA_Mounter</v>
      </c>
      <c r="AS2139" s="22">
        <f t="shared" si="633"/>
        <v>2</v>
      </c>
      <c r="AT2139" s="24" t="str">
        <f t="shared" si="634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5"/>
        <v>370000</v>
      </c>
      <c r="AA2140" s="13">
        <v>1.1100000000000001</v>
      </c>
      <c r="AB2140" s="21">
        <f t="shared" si="620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1"/>
        <v>27318180.088495575</v>
      </c>
      <c r="AJ2140" s="19">
        <f t="shared" si="622"/>
        <v>3014099.212353982</v>
      </c>
      <c r="AK2140" s="20">
        <f t="shared" si="629"/>
        <v>0.11033308963444827</v>
      </c>
      <c r="AL2140" s="17"/>
      <c r="AM2140" s="17"/>
      <c r="AN2140" s="17"/>
      <c r="AO2140" s="17"/>
      <c r="AP2140" s="28" t="str">
        <f t="shared" si="630"/>
        <v>201912</v>
      </c>
      <c r="AQ2140" s="28" t="str">
        <f t="shared" si="631"/>
        <v>201912RMB</v>
      </c>
      <c r="AR2140" s="206" t="str">
        <f t="shared" si="632"/>
        <v>YAMAHA_Non_Mounter</v>
      </c>
      <c r="AS2140" s="22">
        <f t="shared" si="633"/>
        <v>2</v>
      </c>
      <c r="AT2140" s="24" t="str">
        <f t="shared" si="634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5"/>
        <v>380000</v>
      </c>
      <c r="AA2141" s="13">
        <v>1.135</v>
      </c>
      <c r="AB2141" s="21">
        <f t="shared" si="620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1"/>
        <v>28177779.013274338</v>
      </c>
      <c r="AJ2141" s="19">
        <f t="shared" si="622"/>
        <v>4727216.6376190251</v>
      </c>
      <c r="AK2141" s="20">
        <f t="shared" si="629"/>
        <v>0.1677639900359808</v>
      </c>
      <c r="AL2141" s="17"/>
      <c r="AM2141" s="17"/>
      <c r="AN2141" s="17"/>
      <c r="AO2141" s="17"/>
      <c r="AP2141" s="28" t="str">
        <f t="shared" si="630"/>
        <v>20235</v>
      </c>
      <c r="AQ2141" s="28" t="str">
        <f t="shared" si="631"/>
        <v>20235RMB</v>
      </c>
      <c r="AR2141" s="206" t="str">
        <f t="shared" si="632"/>
        <v>PEMTRON</v>
      </c>
      <c r="AS2141" s="22">
        <f t="shared" si="633"/>
        <v>6</v>
      </c>
      <c r="AT2141" s="24" t="str">
        <f t="shared" si="634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7"/>
        <v>1.13</v>
      </c>
      <c r="Z2142" s="18">
        <f t="shared" si="635"/>
        <v>380000</v>
      </c>
      <c r="AA2142" s="13">
        <v>1.135</v>
      </c>
      <c r="AB2142" s="21">
        <f t="shared" si="620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1"/>
        <v>28177779.013274338</v>
      </c>
      <c r="AJ2142" s="19">
        <f t="shared" si="622"/>
        <v>4727216.6376190251</v>
      </c>
      <c r="AK2142" s="20">
        <f t="shared" si="629"/>
        <v>0.1677639900359808</v>
      </c>
      <c r="AL2142" s="17"/>
      <c r="AM2142" s="17"/>
      <c r="AN2142" s="17"/>
      <c r="AO2142" s="17"/>
      <c r="AP2142" s="28" t="str">
        <f t="shared" si="630"/>
        <v>20235</v>
      </c>
      <c r="AQ2142" s="28" t="str">
        <f t="shared" si="631"/>
        <v>20235RMB</v>
      </c>
      <c r="AR2142" s="206" t="str">
        <f t="shared" si="632"/>
        <v>PEMTRON</v>
      </c>
      <c r="AS2142" s="22">
        <f t="shared" si="633"/>
        <v>6</v>
      </c>
      <c r="AT2142" s="24" t="str">
        <f t="shared" si="634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7"/>
        <v>1.13</v>
      </c>
      <c r="Z2143" s="18">
        <f t="shared" si="635"/>
        <v>380000</v>
      </c>
      <c r="AA2143" s="13">
        <v>1.135</v>
      </c>
      <c r="AB2143" s="21">
        <f t="shared" si="620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1"/>
        <v>28177779.013274338</v>
      </c>
      <c r="AJ2143" s="19">
        <f t="shared" si="622"/>
        <v>4727216.6376190251</v>
      </c>
      <c r="AK2143" s="20">
        <f t="shared" si="629"/>
        <v>0.1677639900359808</v>
      </c>
      <c r="AL2143" s="17"/>
      <c r="AM2143" s="17"/>
      <c r="AN2143" s="17"/>
      <c r="AO2143" s="17"/>
      <c r="AP2143" s="28" t="str">
        <f t="shared" si="630"/>
        <v>20235</v>
      </c>
      <c r="AQ2143" s="28" t="str">
        <f t="shared" si="631"/>
        <v>20235RMB</v>
      </c>
      <c r="AR2143" s="206" t="str">
        <f t="shared" si="632"/>
        <v>PEMTRON</v>
      </c>
      <c r="AS2143" s="22">
        <f t="shared" si="633"/>
        <v>6</v>
      </c>
      <c r="AT2143" s="24" t="str">
        <f t="shared" si="634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7"/>
        <v>1.13</v>
      </c>
      <c r="Z2144" s="18">
        <f t="shared" si="635"/>
        <v>380000</v>
      </c>
      <c r="AA2144" s="13">
        <v>1.135</v>
      </c>
      <c r="AB2144" s="21">
        <f t="shared" si="620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1"/>
        <v>28177779.013274338</v>
      </c>
      <c r="AJ2144" s="19">
        <f t="shared" si="622"/>
        <v>4727216.6376190251</v>
      </c>
      <c r="AK2144" s="20">
        <f t="shared" si="629"/>
        <v>0.1677639900359808</v>
      </c>
      <c r="AL2144" s="17"/>
      <c r="AM2144" s="17"/>
      <c r="AN2144" s="17"/>
      <c r="AO2144" s="17"/>
      <c r="AP2144" s="28" t="str">
        <f t="shared" si="630"/>
        <v>20235</v>
      </c>
      <c r="AQ2144" s="28" t="str">
        <f t="shared" si="631"/>
        <v>20235RMB</v>
      </c>
      <c r="AR2144" s="206" t="str">
        <f t="shared" si="632"/>
        <v>PEMTRON</v>
      </c>
      <c r="AS2144" s="22">
        <f t="shared" si="633"/>
        <v>6</v>
      </c>
      <c r="AT2144" s="24" t="str">
        <f t="shared" si="634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7"/>
        <v>1.13</v>
      </c>
      <c r="Z2145" s="18">
        <f t="shared" si="635"/>
        <v>380000</v>
      </c>
      <c r="AA2145" s="13">
        <v>1.135</v>
      </c>
      <c r="AB2145" s="21">
        <f t="shared" si="620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1"/>
        <v>28177779.013274338</v>
      </c>
      <c r="AJ2145" s="19">
        <f t="shared" si="622"/>
        <v>4727216.6376190251</v>
      </c>
      <c r="AK2145" s="20">
        <f t="shared" si="629"/>
        <v>0.1677639900359808</v>
      </c>
      <c r="AL2145" s="17"/>
      <c r="AM2145" s="17"/>
      <c r="AN2145" s="17"/>
      <c r="AO2145" s="17"/>
      <c r="AP2145" s="28" t="str">
        <f t="shared" si="630"/>
        <v>20235</v>
      </c>
      <c r="AQ2145" s="28" t="str">
        <f t="shared" si="631"/>
        <v>20235RMB</v>
      </c>
      <c r="AR2145" s="206" t="str">
        <f t="shared" si="632"/>
        <v>PEMTRON</v>
      </c>
      <c r="AS2145" s="22">
        <f t="shared" si="633"/>
        <v>6</v>
      </c>
      <c r="AT2145" s="24" t="str">
        <f t="shared" si="634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7"/>
        <v>1.13</v>
      </c>
      <c r="Z2146" s="18">
        <f t="shared" si="635"/>
        <v>380000</v>
      </c>
      <c r="AA2146" s="13">
        <v>1.135</v>
      </c>
      <c r="AB2146" s="21">
        <f t="shared" si="620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1"/>
        <v>28177779.013274338</v>
      </c>
      <c r="AJ2146" s="19">
        <f t="shared" si="622"/>
        <v>4727216.6376190251</v>
      </c>
      <c r="AK2146" s="20">
        <f t="shared" si="629"/>
        <v>0.1677639900359808</v>
      </c>
      <c r="AL2146" s="17"/>
      <c r="AM2146" s="17"/>
      <c r="AN2146" s="17"/>
      <c r="AO2146" s="17"/>
      <c r="AP2146" s="28" t="str">
        <f t="shared" si="630"/>
        <v>20235</v>
      </c>
      <c r="AQ2146" s="28" t="str">
        <f t="shared" si="631"/>
        <v>20235RMB</v>
      </c>
      <c r="AR2146" s="206" t="str">
        <f t="shared" si="632"/>
        <v>PEMTRON</v>
      </c>
      <c r="AS2146" s="22">
        <f t="shared" si="633"/>
        <v>6</v>
      </c>
      <c r="AT2146" s="24" t="str">
        <f t="shared" si="634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7"/>
        <v>1.13</v>
      </c>
      <c r="Z2147" s="18">
        <f t="shared" si="635"/>
        <v>380000</v>
      </c>
      <c r="AA2147" s="13">
        <v>1.135</v>
      </c>
      <c r="AB2147" s="21">
        <f t="shared" si="620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1"/>
        <v>28177779.013274338</v>
      </c>
      <c r="AJ2147" s="19">
        <f t="shared" si="622"/>
        <v>4727216.6376190251</v>
      </c>
      <c r="AK2147" s="20">
        <f t="shared" si="629"/>
        <v>0.1677639900359808</v>
      </c>
      <c r="AL2147" s="17"/>
      <c r="AM2147" s="17"/>
      <c r="AN2147" s="17"/>
      <c r="AO2147" s="17"/>
      <c r="AP2147" s="28" t="str">
        <f t="shared" si="630"/>
        <v>20235</v>
      </c>
      <c r="AQ2147" s="28" t="str">
        <f t="shared" si="631"/>
        <v>20235RMB</v>
      </c>
      <c r="AR2147" s="206" t="str">
        <f t="shared" si="632"/>
        <v>PEMTRON</v>
      </c>
      <c r="AS2147" s="22">
        <f t="shared" si="633"/>
        <v>6</v>
      </c>
      <c r="AT2147" s="24" t="str">
        <f t="shared" si="634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7"/>
        <v>1</v>
      </c>
      <c r="Z2148" s="18">
        <f t="shared" si="635"/>
        <v>7200000</v>
      </c>
      <c r="AA2148" s="22">
        <v>5.0999999999999997E-2</v>
      </c>
      <c r="AB2148" s="21">
        <f t="shared" si="620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1"/>
        <v>27308925.887079656</v>
      </c>
      <c r="AJ2148" s="27">
        <f t="shared" si="622"/>
        <v>3319273.860338124</v>
      </c>
      <c r="AK2148" s="28">
        <f t="shared" si="629"/>
        <v>0.12154538314919709</v>
      </c>
      <c r="AL2148" s="24"/>
      <c r="AM2148" s="24"/>
      <c r="AN2148" s="24"/>
      <c r="AO2148" s="24"/>
      <c r="AP2148" s="28" t="str">
        <f t="shared" si="630"/>
        <v>20246</v>
      </c>
      <c r="AQ2148" s="28" t="str">
        <f t="shared" si="631"/>
        <v>20246JPY</v>
      </c>
      <c r="AR2148" s="206" t="str">
        <f t="shared" si="632"/>
        <v>YAMAHA_Non_Mounter</v>
      </c>
      <c r="AS2148" s="22">
        <f t="shared" si="633"/>
        <v>2</v>
      </c>
      <c r="AT2148" s="24" t="str">
        <f t="shared" si="634"/>
        <v>0-3 months</v>
      </c>
      <c r="AU2148" s="22" t="s">
        <v>3746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7"/>
        <v>1.13</v>
      </c>
      <c r="Z2149" s="196">
        <f t="shared" si="635"/>
        <v>785000</v>
      </c>
      <c r="AA2149" s="22">
        <v>1.08</v>
      </c>
      <c r="AB2149" s="197">
        <f t="shared" si="620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1"/>
        <v>27308925.887079656</v>
      </c>
      <c r="AJ2149" s="200">
        <f t="shared" si="622"/>
        <v>3319273.860338124</v>
      </c>
      <c r="AK2149" s="201">
        <f t="shared" si="629"/>
        <v>0.12154538314919709</v>
      </c>
      <c r="AL2149" s="24"/>
      <c r="AM2149" s="24"/>
      <c r="AN2149" s="24"/>
      <c r="AO2149" s="24"/>
      <c r="AP2149" s="105" t="str">
        <f t="shared" si="630"/>
        <v>20246</v>
      </c>
      <c r="AQ2149" s="28" t="str">
        <f t="shared" si="631"/>
        <v>20246RMB</v>
      </c>
      <c r="AR2149" s="206" t="str">
        <f t="shared" si="632"/>
        <v>YAMAHA_Mounter</v>
      </c>
      <c r="AS2149" s="22">
        <f t="shared" si="633"/>
        <v>1</v>
      </c>
      <c r="AT2149" s="24" t="str">
        <f t="shared" si="634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5"/>
        <v>740000</v>
      </c>
      <c r="AA2150" s="13">
        <v>1.089</v>
      </c>
      <c r="AB2150" s="21">
        <f t="shared" si="620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1"/>
        <v>29183109.05575221</v>
      </c>
      <c r="AJ2150" s="19">
        <f t="shared" si="622"/>
        <v>3741266.5648721238</v>
      </c>
      <c r="AK2150" s="20">
        <f t="shared" si="629"/>
        <v>0.12819972531798121</v>
      </c>
      <c r="AL2150" s="17"/>
      <c r="AM2150" s="17"/>
      <c r="AN2150" s="17"/>
      <c r="AO2150" s="17"/>
      <c r="AP2150" s="28" t="str">
        <f t="shared" si="630"/>
        <v>20206</v>
      </c>
      <c r="AQ2150" s="28" t="str">
        <f t="shared" si="631"/>
        <v>20206RMB</v>
      </c>
      <c r="AR2150" s="206" t="str">
        <f t="shared" si="632"/>
        <v>YAMAHA_Mounter</v>
      </c>
      <c r="AS2150" s="22">
        <f t="shared" si="633"/>
        <v>6</v>
      </c>
      <c r="AT2150" s="24" t="str">
        <f t="shared" si="634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5"/>
        <v>460000</v>
      </c>
      <c r="AA2151" s="13">
        <v>1.105</v>
      </c>
      <c r="AB2151" s="21">
        <f t="shared" si="620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1"/>
        <v>13640480.497522123</v>
      </c>
      <c r="AJ2151" s="19">
        <f t="shared" si="622"/>
        <v>1928605.8020906283</v>
      </c>
      <c r="AK2151" s="20">
        <f t="shared" si="629"/>
        <v>0.1413884065477731</v>
      </c>
      <c r="AL2151" s="17"/>
      <c r="AM2151" s="17"/>
      <c r="AN2151" s="17"/>
      <c r="AO2151" s="17"/>
      <c r="AP2151" s="28" t="str">
        <f t="shared" si="630"/>
        <v>20236</v>
      </c>
      <c r="AQ2151" s="28" t="str">
        <f t="shared" si="631"/>
        <v>20236RMB</v>
      </c>
      <c r="AR2151" s="206" t="str">
        <f t="shared" si="632"/>
        <v>YAMAHA_Mounter</v>
      </c>
      <c r="AS2151" s="22">
        <f t="shared" si="633"/>
        <v>7</v>
      </c>
      <c r="AT2151" s="24" t="str">
        <f t="shared" si="634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5"/>
        <v>1000000</v>
      </c>
      <c r="AA2152" s="13">
        <v>1.1850000000000001</v>
      </c>
      <c r="AB2152" s="21">
        <f t="shared" si="620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1"/>
        <v>45803245.025628321</v>
      </c>
      <c r="AJ2152" s="19">
        <f t="shared" si="622"/>
        <v>5664636.2584379362</v>
      </c>
      <c r="AK2152" s="20">
        <f t="shared" si="629"/>
        <v>0.12367325186825515</v>
      </c>
      <c r="AL2152" s="17"/>
      <c r="AM2152" s="17"/>
      <c r="AN2152" s="17"/>
      <c r="AO2152" s="17"/>
      <c r="AP2152" s="28" t="str">
        <f t="shared" si="630"/>
        <v>20211</v>
      </c>
      <c r="AQ2152" s="28" t="str">
        <f t="shared" si="631"/>
        <v>20211RMB</v>
      </c>
      <c r="AR2152" s="206" t="str">
        <f t="shared" si="632"/>
        <v>YAMAHA_Mounter</v>
      </c>
      <c r="AS2152" s="22">
        <f t="shared" si="633"/>
        <v>3</v>
      </c>
      <c r="AT2152" s="24" t="str">
        <f t="shared" si="634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5"/>
        <v>800800</v>
      </c>
      <c r="AA2153" s="13">
        <v>1.1850000000000001</v>
      </c>
      <c r="AB2153" s="21">
        <f t="shared" si="620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1"/>
        <v>45803245.025628321</v>
      </c>
      <c r="AJ2153" s="19">
        <f t="shared" si="622"/>
        <v>5664636.2584379362</v>
      </c>
      <c r="AK2153" s="20">
        <f t="shared" si="629"/>
        <v>0.12367325186825515</v>
      </c>
      <c r="AL2153" s="17"/>
      <c r="AM2153" s="17"/>
      <c r="AN2153" s="17"/>
      <c r="AO2153" s="17"/>
      <c r="AP2153" s="28" t="str">
        <f t="shared" si="630"/>
        <v>20211</v>
      </c>
      <c r="AQ2153" s="28" t="str">
        <f t="shared" si="631"/>
        <v>20211RMB</v>
      </c>
      <c r="AR2153" s="206" t="str">
        <f t="shared" si="632"/>
        <v>YAMAHA_Mounter</v>
      </c>
      <c r="AS2153" s="22">
        <f t="shared" si="633"/>
        <v>3</v>
      </c>
      <c r="AT2153" s="24" t="str">
        <f t="shared" si="634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5"/>
        <v>35800</v>
      </c>
      <c r="AA2154" s="13">
        <v>1.105</v>
      </c>
      <c r="AB2154" s="21">
        <f t="shared" si="620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1"/>
        <v>37969334.083628319</v>
      </c>
      <c r="AJ2154" s="19">
        <f t="shared" si="622"/>
        <v>5097226.4551657084</v>
      </c>
      <c r="AK2154" s="20">
        <f t="shared" si="629"/>
        <v>0.13424587441904964</v>
      </c>
      <c r="AL2154" s="17"/>
      <c r="AM2154" s="17"/>
      <c r="AN2154" s="17"/>
      <c r="AO2154" s="17"/>
      <c r="AP2154" s="28" t="str">
        <f t="shared" si="630"/>
        <v>20208</v>
      </c>
      <c r="AQ2154" s="28" t="str">
        <f t="shared" si="631"/>
        <v>20208RMB</v>
      </c>
      <c r="AR2154" s="206" t="str">
        <f t="shared" si="632"/>
        <v>YAMAHA_Mounter</v>
      </c>
      <c r="AS2154" s="22">
        <f t="shared" si="633"/>
        <v>0</v>
      </c>
      <c r="AT2154" s="24" t="str">
        <f t="shared" si="634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5"/>
        <v>750000</v>
      </c>
      <c r="AA2155" s="13">
        <v>1.095</v>
      </c>
      <c r="AB2155" s="21">
        <f t="shared" si="620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1"/>
        <v>35384300.169380538</v>
      </c>
      <c r="AJ2155" s="19">
        <f t="shared" si="622"/>
        <v>5044538.8896988509</v>
      </c>
      <c r="AK2155" s="20">
        <f t="shared" si="629"/>
        <v>0.14256432557804533</v>
      </c>
      <c r="AL2155" s="17"/>
      <c r="AM2155" s="17"/>
      <c r="AN2155" s="17"/>
      <c r="AO2155" s="17"/>
      <c r="AP2155" s="28" t="str">
        <f t="shared" si="630"/>
        <v>20207</v>
      </c>
      <c r="AQ2155" s="28" t="str">
        <f t="shared" si="631"/>
        <v>20207RMB</v>
      </c>
      <c r="AR2155" s="206" t="str">
        <f t="shared" si="632"/>
        <v>YAMAHA_Mounter</v>
      </c>
      <c r="AS2155" s="22">
        <f t="shared" si="633"/>
        <v>1</v>
      </c>
      <c r="AT2155" s="24" t="str">
        <f t="shared" si="634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5"/>
        <v>640000</v>
      </c>
      <c r="AA2156" s="13">
        <v>1.095</v>
      </c>
      <c r="AB2156" s="21">
        <f t="shared" si="620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1"/>
        <v>28065694.408805311</v>
      </c>
      <c r="AJ2156" s="19">
        <f t="shared" si="622"/>
        <v>4157433.2906989697</v>
      </c>
      <c r="AK2156" s="20">
        <f t="shared" si="629"/>
        <v>0.14813220831602228</v>
      </c>
      <c r="AL2156" s="17"/>
      <c r="AM2156" s="17"/>
      <c r="AN2156" s="17"/>
      <c r="AO2156" s="17"/>
      <c r="AP2156" s="28" t="str">
        <f t="shared" si="630"/>
        <v>20205</v>
      </c>
      <c r="AQ2156" s="28" t="str">
        <f t="shared" si="631"/>
        <v>20205RMB</v>
      </c>
      <c r="AR2156" s="206" t="str">
        <f t="shared" si="632"/>
        <v>YAMAHA_Mounter</v>
      </c>
      <c r="AS2156" s="22">
        <f t="shared" si="633"/>
        <v>1</v>
      </c>
      <c r="AT2156" s="24" t="str">
        <f t="shared" si="634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5"/>
        <v>640000</v>
      </c>
      <c r="AA2157" s="13">
        <v>1.095</v>
      </c>
      <c r="AB2157" s="21">
        <f t="shared" si="620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1"/>
        <v>28065694.408805311</v>
      </c>
      <c r="AJ2157" s="19">
        <f t="shared" si="622"/>
        <v>4157433.2906989697</v>
      </c>
      <c r="AK2157" s="20">
        <f t="shared" si="629"/>
        <v>0.14813220831602228</v>
      </c>
      <c r="AL2157" s="17"/>
      <c r="AM2157" s="17"/>
      <c r="AN2157" s="17"/>
      <c r="AO2157" s="17"/>
      <c r="AP2157" s="28" t="str">
        <f t="shared" si="630"/>
        <v>20205</v>
      </c>
      <c r="AQ2157" s="28" t="str">
        <f t="shared" si="631"/>
        <v>20205RMB</v>
      </c>
      <c r="AR2157" s="206" t="str">
        <f t="shared" si="632"/>
        <v>YAMAHA_Mounter</v>
      </c>
      <c r="AS2157" s="22">
        <f t="shared" si="633"/>
        <v>1</v>
      </c>
      <c r="AT2157" s="24" t="str">
        <f t="shared" si="634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5"/>
        <v>910000</v>
      </c>
      <c r="AA2158" s="13">
        <v>1.1399999999999999</v>
      </c>
      <c r="AB2158" s="21">
        <f t="shared" si="620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1"/>
        <v>30573205.452778768</v>
      </c>
      <c r="AJ2158" s="19">
        <f t="shared" si="622"/>
        <v>3790930.1683151261</v>
      </c>
      <c r="AK2158" s="20">
        <f t="shared" si="629"/>
        <v>0.12399518179964254</v>
      </c>
      <c r="AL2158" s="17"/>
      <c r="AM2158" s="17"/>
      <c r="AN2158" s="17"/>
      <c r="AO2158" s="17"/>
      <c r="AP2158" s="28" t="str">
        <f t="shared" si="630"/>
        <v>20234</v>
      </c>
      <c r="AQ2158" s="28" t="str">
        <f t="shared" si="631"/>
        <v>20234RMB</v>
      </c>
      <c r="AR2158" s="206" t="str">
        <f t="shared" si="632"/>
        <v>YAMAHA_Mounter</v>
      </c>
      <c r="AS2158" s="22">
        <f t="shared" si="633"/>
        <v>0</v>
      </c>
      <c r="AT2158" s="24" t="str">
        <f t="shared" si="634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5"/>
        <v>1035500</v>
      </c>
      <c r="AA2159" s="13">
        <v>1.23</v>
      </c>
      <c r="AB2159" s="21">
        <f t="shared" si="620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1"/>
        <v>34109166.105589926</v>
      </c>
      <c r="AJ2159" s="19">
        <f t="shared" si="622"/>
        <v>4642032.7199573703</v>
      </c>
      <c r="AK2159" s="20">
        <f t="shared" si="629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0"/>
        <v>20185</v>
      </c>
      <c r="AQ2159" s="28" t="str">
        <f t="shared" si="631"/>
        <v>20185RMB</v>
      </c>
      <c r="AR2159" s="206" t="str">
        <f t="shared" si="632"/>
        <v>YAMAHA_Mounter</v>
      </c>
      <c r="AS2159" s="22">
        <f t="shared" si="633"/>
        <v>1</v>
      </c>
      <c r="AT2159" s="24" t="str">
        <f t="shared" si="634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5"/>
        <v>783700</v>
      </c>
      <c r="AA2160" s="13">
        <v>1.125</v>
      </c>
      <c r="AB2160" s="21">
        <f t="shared" si="620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1"/>
        <v>10785027.603448275</v>
      </c>
      <c r="AJ2160" s="19">
        <f t="shared" si="622"/>
        <v>1540894.1297982759</v>
      </c>
      <c r="AK2160" s="20">
        <f t="shared" si="629"/>
        <v>0.1428734525728621</v>
      </c>
      <c r="AL2160" s="17"/>
      <c r="AM2160" s="17"/>
      <c r="AN2160" s="17"/>
      <c r="AO2160" s="17"/>
      <c r="AP2160" s="28" t="str">
        <f t="shared" si="630"/>
        <v>201811</v>
      </c>
      <c r="AQ2160" s="28" t="str">
        <f t="shared" si="631"/>
        <v>201811RMB</v>
      </c>
      <c r="AR2160" s="206" t="str">
        <f t="shared" si="632"/>
        <v>YAMAHA_Mounter</v>
      </c>
      <c r="AS2160" s="22">
        <f t="shared" si="633"/>
        <v>7</v>
      </c>
      <c r="AT2160" s="24" t="str">
        <f t="shared" si="634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5"/>
        <v>983879</v>
      </c>
      <c r="AA2161" s="13">
        <v>1.1599999999999999</v>
      </c>
      <c r="AB2161" s="21">
        <f t="shared" si="620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1"/>
        <v>32843736.557277881</v>
      </c>
      <c r="AJ2161" s="19">
        <f t="shared" si="622"/>
        <v>3921470.6822663117</v>
      </c>
      <c r="AK2161" s="20">
        <f t="shared" si="629"/>
        <v>0.11939782416131177</v>
      </c>
      <c r="AL2161" s="17"/>
      <c r="AM2161" s="17">
        <v>19</v>
      </c>
      <c r="AN2161" s="17"/>
      <c r="AO2161" s="17"/>
      <c r="AP2161" s="28" t="str">
        <f t="shared" si="630"/>
        <v>20194</v>
      </c>
      <c r="AQ2161" s="28" t="str">
        <f t="shared" si="631"/>
        <v>20194RMB</v>
      </c>
      <c r="AR2161" s="206" t="str">
        <f t="shared" si="632"/>
        <v>YAMAHA_Mounter</v>
      </c>
      <c r="AS2161" s="22">
        <f t="shared" si="633"/>
        <v>0</v>
      </c>
      <c r="AT2161" s="24" t="str">
        <f t="shared" si="634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5"/>
        <v>2016465</v>
      </c>
      <c r="AA2162" s="13">
        <v>1.1599999999999999</v>
      </c>
      <c r="AB2162" s="21">
        <f t="shared" si="620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1"/>
        <v>32843736.557277881</v>
      </c>
      <c r="AJ2162" s="19">
        <f t="shared" si="622"/>
        <v>3921470.6822663117</v>
      </c>
      <c r="AK2162" s="20">
        <f t="shared" si="629"/>
        <v>0.11939782416131177</v>
      </c>
      <c r="AL2162" s="17"/>
      <c r="AM2162" s="17">
        <v>19</v>
      </c>
      <c r="AN2162" s="17"/>
      <c r="AO2162" s="17"/>
      <c r="AP2162" s="28" t="str">
        <f t="shared" si="630"/>
        <v>20194</v>
      </c>
      <c r="AQ2162" s="28" t="str">
        <f t="shared" si="631"/>
        <v>20194RMB</v>
      </c>
      <c r="AR2162" s="206" t="str">
        <f t="shared" si="632"/>
        <v>YAMAHA_Mounter</v>
      </c>
      <c r="AS2162" s="22">
        <f t="shared" si="633"/>
        <v>0</v>
      </c>
      <c r="AT2162" s="24" t="str">
        <f t="shared" si="634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38">IF(W2163="RMB","1.13", "1")</f>
        <v>1.13</v>
      </c>
      <c r="Z2163" s="18">
        <f t="shared" si="635"/>
        <v>800000</v>
      </c>
      <c r="AA2163" s="13">
        <v>1.105</v>
      </c>
      <c r="AB2163" s="21">
        <f t="shared" si="620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1"/>
        <v>499582152.5142017</v>
      </c>
      <c r="AJ2163" s="19">
        <f t="shared" si="622"/>
        <v>59520528.679470733</v>
      </c>
      <c r="AK2163" s="20">
        <f t="shared" si="629"/>
        <v>0.11914062257814291</v>
      </c>
      <c r="AL2163" s="17"/>
      <c r="AM2163" s="17"/>
      <c r="AN2163" s="17"/>
      <c r="AO2163" s="17"/>
      <c r="AP2163" s="28" t="str">
        <f t="shared" si="630"/>
        <v>CancelCancel</v>
      </c>
      <c r="AQ2163" s="28" t="str">
        <f t="shared" si="631"/>
        <v>CancelCancelRMB</v>
      </c>
      <c r="AR2163" s="206" t="str">
        <f t="shared" si="632"/>
        <v>YAMAHA_Mounter</v>
      </c>
      <c r="AS2163" s="22" t="str">
        <f t="shared" si="633"/>
        <v/>
      </c>
      <c r="AT2163" s="24" t="str">
        <f t="shared" si="634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38"/>
        <v>1.13</v>
      </c>
      <c r="Z2164" s="18">
        <f t="shared" si="635"/>
        <v>525000</v>
      </c>
      <c r="AA2164" s="13">
        <v>1.105</v>
      </c>
      <c r="AB2164" s="21">
        <f t="shared" si="620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1"/>
        <v>499582152.5142017</v>
      </c>
      <c r="AJ2164" s="19">
        <f t="shared" si="622"/>
        <v>59520528.679470733</v>
      </c>
      <c r="AK2164" s="20">
        <f t="shared" si="629"/>
        <v>0.11914062257814291</v>
      </c>
      <c r="AL2164" s="17"/>
      <c r="AM2164" s="17"/>
      <c r="AN2164" s="17"/>
      <c r="AO2164" s="17"/>
      <c r="AP2164" s="28" t="str">
        <f t="shared" si="630"/>
        <v>CancelCancel</v>
      </c>
      <c r="AQ2164" s="28" t="str">
        <f t="shared" si="631"/>
        <v>CancelCancelRMB</v>
      </c>
      <c r="AR2164" s="206" t="str">
        <f t="shared" si="632"/>
        <v>YAMAHA_Mounter</v>
      </c>
      <c r="AS2164" s="22" t="str">
        <f t="shared" si="633"/>
        <v/>
      </c>
      <c r="AT2164" s="24" t="str">
        <f t="shared" si="634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38"/>
        <v>1.13</v>
      </c>
      <c r="Z2165" s="18">
        <f t="shared" si="635"/>
        <v>783200</v>
      </c>
      <c r="AA2165" s="13">
        <v>1.22</v>
      </c>
      <c r="AB2165" s="21">
        <f t="shared" si="620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1"/>
        <v>28726768.133805312</v>
      </c>
      <c r="AJ2165" s="19">
        <f t="shared" si="622"/>
        <v>3853638.1988864429</v>
      </c>
      <c r="AK2165" s="20">
        <f t="shared" si="629"/>
        <v>0.1341479898099476</v>
      </c>
      <c r="AL2165" s="17"/>
      <c r="AM2165" s="17"/>
      <c r="AN2165" s="17"/>
      <c r="AO2165" s="17"/>
      <c r="AP2165" s="28" t="str">
        <f t="shared" si="630"/>
        <v>20223</v>
      </c>
      <c r="AQ2165" s="28" t="str">
        <f t="shared" si="631"/>
        <v>20223RMB</v>
      </c>
      <c r="AR2165" s="206" t="str">
        <f t="shared" si="632"/>
        <v>YAMAHA_Mounter</v>
      </c>
      <c r="AS2165" s="22">
        <f t="shared" si="633"/>
        <v>0</v>
      </c>
      <c r="AT2165" s="24" t="str">
        <f t="shared" si="634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38"/>
        <v>1.13</v>
      </c>
      <c r="Z2166" s="18">
        <f t="shared" si="635"/>
        <v>783200</v>
      </c>
      <c r="AA2166" s="13">
        <v>1.22</v>
      </c>
      <c r="AB2166" s="21">
        <f t="shared" ref="AB2166:AB2229" si="639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1"/>
        <v>28726768.133805312</v>
      </c>
      <c r="AJ2166" s="19">
        <f t="shared" si="622"/>
        <v>3853638.1988864429</v>
      </c>
      <c r="AK2166" s="20">
        <f t="shared" si="629"/>
        <v>0.1341479898099476</v>
      </c>
      <c r="AL2166" s="17"/>
      <c r="AM2166" s="17"/>
      <c r="AN2166" s="17"/>
      <c r="AO2166" s="17"/>
      <c r="AP2166" s="28" t="str">
        <f t="shared" si="630"/>
        <v>20223</v>
      </c>
      <c r="AQ2166" s="28" t="str">
        <f t="shared" si="631"/>
        <v>20223RMB</v>
      </c>
      <c r="AR2166" s="206" t="str">
        <f t="shared" si="632"/>
        <v>YAMAHA_Mounter</v>
      </c>
      <c r="AS2166" s="22">
        <f t="shared" si="633"/>
        <v>0</v>
      </c>
      <c r="AT2166" s="24" t="str">
        <f t="shared" si="634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38"/>
        <v>1.13</v>
      </c>
      <c r="Z2167" s="18">
        <f t="shared" si="635"/>
        <v>377479.95999999996</v>
      </c>
      <c r="AA2167" s="13">
        <v>1.22</v>
      </c>
      <c r="AB2167" s="21">
        <f t="shared" si="639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1"/>
        <v>28726768.133805312</v>
      </c>
      <c r="AJ2167" s="19">
        <f t="shared" si="622"/>
        <v>3853638.1988864429</v>
      </c>
      <c r="AK2167" s="20">
        <f t="shared" si="629"/>
        <v>0.1341479898099476</v>
      </c>
      <c r="AL2167" s="17"/>
      <c r="AM2167" s="17"/>
      <c r="AN2167" s="17"/>
      <c r="AO2167" s="17"/>
      <c r="AP2167" s="28" t="str">
        <f t="shared" si="630"/>
        <v>20223</v>
      </c>
      <c r="AQ2167" s="28" t="str">
        <f t="shared" si="631"/>
        <v>20223RMB</v>
      </c>
      <c r="AR2167" s="206" t="str">
        <f t="shared" si="632"/>
        <v>YAMAHA_Mounter</v>
      </c>
      <c r="AS2167" s="22">
        <f t="shared" si="633"/>
        <v>0</v>
      </c>
      <c r="AT2167" s="24" t="str">
        <f t="shared" si="634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38"/>
        <v>1.13</v>
      </c>
      <c r="Z2168" s="18">
        <f t="shared" si="635"/>
        <v>2120</v>
      </c>
      <c r="AA2168" s="13">
        <v>1.22</v>
      </c>
      <c r="AB2168" s="21">
        <f t="shared" si="639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1"/>
        <v>28726768.133805312</v>
      </c>
      <c r="AJ2168" s="19">
        <f t="shared" si="622"/>
        <v>3853638.1988864429</v>
      </c>
      <c r="AK2168" s="20">
        <f t="shared" si="629"/>
        <v>0.1341479898099476</v>
      </c>
      <c r="AL2168" s="17"/>
      <c r="AM2168" s="17"/>
      <c r="AN2168" s="17"/>
      <c r="AO2168" s="17"/>
      <c r="AP2168" s="28" t="str">
        <f t="shared" si="630"/>
        <v>20223</v>
      </c>
      <c r="AQ2168" s="28" t="str">
        <f t="shared" si="631"/>
        <v>20223RMB</v>
      </c>
      <c r="AR2168" s="206" t="str">
        <f t="shared" si="632"/>
        <v>LOCAL SUPPLIER</v>
      </c>
      <c r="AS2168" s="22">
        <f t="shared" si="633"/>
        <v>0</v>
      </c>
      <c r="AT2168" s="24" t="str">
        <f t="shared" si="634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5"/>
        <v>670000</v>
      </c>
      <c r="AA2169" s="13">
        <v>1.095</v>
      </c>
      <c r="AB2169" s="21">
        <f t="shared" si="639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1"/>
        <v>28065694.408805311</v>
      </c>
      <c r="AJ2169" s="19">
        <f t="shared" si="622"/>
        <v>4157433.2906989697</v>
      </c>
      <c r="AK2169" s="20">
        <f t="shared" si="629"/>
        <v>0.14813220831602228</v>
      </c>
      <c r="AL2169" s="17"/>
      <c r="AM2169" s="17"/>
      <c r="AN2169" s="17"/>
      <c r="AO2169" s="17"/>
      <c r="AP2169" s="28" t="str">
        <f t="shared" si="630"/>
        <v>20205</v>
      </c>
      <c r="AQ2169" s="28" t="str">
        <f t="shared" si="631"/>
        <v>20205RMB</v>
      </c>
      <c r="AR2169" s="206" t="str">
        <f t="shared" si="632"/>
        <v>YAMAHA_Mounter</v>
      </c>
      <c r="AS2169" s="22">
        <f t="shared" si="633"/>
        <v>2</v>
      </c>
      <c r="AT2169" s="24" t="str">
        <f t="shared" si="634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0">IF(W2170="RMB","1.13", "1")</f>
        <v>1.13</v>
      </c>
      <c r="Z2170" s="18">
        <f t="shared" si="635"/>
        <v>814570</v>
      </c>
      <c r="AA2170" s="13">
        <v>1.135</v>
      </c>
      <c r="AB2170" s="21">
        <f t="shared" si="639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1"/>
        <v>28177779.013274338</v>
      </c>
      <c r="AJ2170" s="19">
        <f t="shared" si="622"/>
        <v>4727216.6376190251</v>
      </c>
      <c r="AK2170" s="20">
        <f t="shared" si="629"/>
        <v>0.1677639900359808</v>
      </c>
      <c r="AL2170" s="17"/>
      <c r="AM2170" s="17"/>
      <c r="AN2170" s="17"/>
      <c r="AO2170" s="17"/>
      <c r="AP2170" s="28" t="str">
        <f t="shared" si="630"/>
        <v>20235</v>
      </c>
      <c r="AQ2170" s="28" t="str">
        <f t="shared" si="631"/>
        <v>20235RMB</v>
      </c>
      <c r="AR2170" s="206" t="str">
        <f t="shared" si="632"/>
        <v>YAMAHA_Mounter</v>
      </c>
      <c r="AS2170" s="22">
        <f t="shared" si="633"/>
        <v>0</v>
      </c>
      <c r="AT2170" s="24" t="str">
        <f t="shared" si="634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0"/>
        <v>1.13</v>
      </c>
      <c r="Z2171" s="18">
        <f t="shared" si="635"/>
        <v>910000</v>
      </c>
      <c r="AA2171" s="13">
        <v>1.2</v>
      </c>
      <c r="AB2171" s="21">
        <f t="shared" si="639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1"/>
        <v>57778307.282035396</v>
      </c>
      <c r="AJ2171" s="19">
        <f t="shared" si="622"/>
        <v>7259860.7225420559</v>
      </c>
      <c r="AK2171" s="20">
        <f t="shared" si="629"/>
        <v>0.12565028406083667</v>
      </c>
      <c r="AL2171" s="17"/>
      <c r="AM2171" s="17"/>
      <c r="AN2171" s="17"/>
      <c r="AO2171" s="17"/>
      <c r="AP2171" s="28" t="str">
        <f t="shared" si="630"/>
        <v>20213</v>
      </c>
      <c r="AQ2171" s="28" t="str">
        <f t="shared" si="631"/>
        <v>20213RMB</v>
      </c>
      <c r="AR2171" s="206" t="str">
        <f t="shared" si="632"/>
        <v>YAMAHA_Mounter</v>
      </c>
      <c r="AS2171" s="22">
        <f t="shared" si="633"/>
        <v>3</v>
      </c>
      <c r="AT2171" s="24" t="str">
        <f t="shared" si="634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0"/>
        <v>1.13</v>
      </c>
      <c r="Z2172" s="18">
        <f t="shared" si="635"/>
        <v>550000</v>
      </c>
      <c r="AA2172" s="13">
        <v>1.2</v>
      </c>
      <c r="AB2172" s="21">
        <f t="shared" si="639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1"/>
        <v>57778307.282035396</v>
      </c>
      <c r="AJ2172" s="19">
        <f t="shared" si="622"/>
        <v>7259860.7225420559</v>
      </c>
      <c r="AK2172" s="20">
        <f t="shared" si="629"/>
        <v>0.12565028406083667</v>
      </c>
      <c r="AL2172" s="17"/>
      <c r="AM2172" s="17"/>
      <c r="AN2172" s="17"/>
      <c r="AO2172" s="17"/>
      <c r="AP2172" s="28" t="str">
        <f t="shared" si="630"/>
        <v>20213</v>
      </c>
      <c r="AQ2172" s="28" t="str">
        <f t="shared" si="631"/>
        <v>20213RMB</v>
      </c>
      <c r="AR2172" s="206" t="str">
        <f t="shared" si="632"/>
        <v>YAMAHA_Mounter</v>
      </c>
      <c r="AS2172" s="22">
        <f t="shared" si="633"/>
        <v>3</v>
      </c>
      <c r="AT2172" s="24" t="str">
        <f t="shared" si="634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0"/>
        <v>1.13</v>
      </c>
      <c r="Z2173" s="18">
        <f t="shared" si="635"/>
        <v>845000</v>
      </c>
      <c r="AA2173" s="13">
        <v>1.163</v>
      </c>
      <c r="AB2173" s="21">
        <f t="shared" si="639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1"/>
        <v>35073581.838938057</v>
      </c>
      <c r="AJ2173" s="19">
        <f t="shared" si="622"/>
        <v>5034113.9728989396</v>
      </c>
      <c r="AK2173" s="20">
        <f t="shared" si="629"/>
        <v>0.14353007902118958</v>
      </c>
      <c r="AL2173" s="17"/>
      <c r="AM2173" s="17"/>
      <c r="AN2173" s="17"/>
      <c r="AO2173" s="17"/>
      <c r="AP2173" s="28" t="str">
        <f t="shared" si="630"/>
        <v>20228</v>
      </c>
      <c r="AQ2173" s="28" t="str">
        <f t="shared" si="631"/>
        <v>20228RMB</v>
      </c>
      <c r="AR2173" s="206" t="str">
        <f t="shared" si="632"/>
        <v>YAMAHA_Mounter</v>
      </c>
      <c r="AS2173" s="22">
        <f t="shared" si="633"/>
        <v>4</v>
      </c>
      <c r="AT2173" s="24" t="str">
        <f t="shared" si="634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0"/>
        <v>1.13</v>
      </c>
      <c r="Z2174" s="18">
        <f t="shared" si="635"/>
        <v>845000</v>
      </c>
      <c r="AA2174" s="13">
        <v>1.163</v>
      </c>
      <c r="AB2174" s="21">
        <f t="shared" si="639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1"/>
        <v>35073581.838938057</v>
      </c>
      <c r="AJ2174" s="19">
        <f t="shared" si="622"/>
        <v>5034113.9728989396</v>
      </c>
      <c r="AK2174" s="20">
        <f t="shared" si="629"/>
        <v>0.14353007902118958</v>
      </c>
      <c r="AL2174" s="17"/>
      <c r="AM2174" s="17"/>
      <c r="AN2174" s="17"/>
      <c r="AO2174" s="17"/>
      <c r="AP2174" s="28" t="str">
        <f t="shared" si="630"/>
        <v>20228</v>
      </c>
      <c r="AQ2174" s="28" t="str">
        <f t="shared" si="631"/>
        <v>20228RMB</v>
      </c>
      <c r="AR2174" s="206" t="str">
        <f t="shared" si="632"/>
        <v>YAMAHA_Mounter</v>
      </c>
      <c r="AS2174" s="22">
        <f t="shared" si="633"/>
        <v>4</v>
      </c>
      <c r="AT2174" s="24" t="str">
        <f t="shared" si="634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0"/>
        <v>1.13</v>
      </c>
      <c r="Z2175" s="18">
        <f t="shared" si="635"/>
        <v>500000</v>
      </c>
      <c r="AA2175" s="13">
        <v>1.163</v>
      </c>
      <c r="AB2175" s="21">
        <f t="shared" si="639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1"/>
        <v>35073581.838938057</v>
      </c>
      <c r="AJ2175" s="19">
        <f t="shared" si="622"/>
        <v>5034113.9728989396</v>
      </c>
      <c r="AK2175" s="20">
        <f t="shared" si="629"/>
        <v>0.14353007902118958</v>
      </c>
      <c r="AL2175" s="17"/>
      <c r="AM2175" s="17"/>
      <c r="AN2175" s="17"/>
      <c r="AO2175" s="17"/>
      <c r="AP2175" s="28" t="str">
        <f t="shared" si="630"/>
        <v>20228</v>
      </c>
      <c r="AQ2175" s="28" t="str">
        <f t="shared" si="631"/>
        <v>20228RMB</v>
      </c>
      <c r="AR2175" s="206" t="str">
        <f t="shared" si="632"/>
        <v>YAMAHA_Mounter</v>
      </c>
      <c r="AS2175" s="22">
        <f t="shared" si="633"/>
        <v>4</v>
      </c>
      <c r="AT2175" s="24" t="str">
        <f t="shared" si="634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0"/>
        <v>1.13</v>
      </c>
      <c r="Z2176" s="18">
        <f t="shared" si="635"/>
        <v>500000</v>
      </c>
      <c r="AA2176" s="13">
        <v>1.163</v>
      </c>
      <c r="AB2176" s="21">
        <f t="shared" si="639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1"/>
        <v>35073581.838938057</v>
      </c>
      <c r="AJ2176" s="19">
        <f t="shared" si="622"/>
        <v>5034113.9728989396</v>
      </c>
      <c r="AK2176" s="20">
        <f t="shared" si="629"/>
        <v>0.14353007902118958</v>
      </c>
      <c r="AL2176" s="17"/>
      <c r="AM2176" s="17"/>
      <c r="AN2176" s="17"/>
      <c r="AO2176" s="17"/>
      <c r="AP2176" s="28" t="str">
        <f t="shared" si="630"/>
        <v>20228</v>
      </c>
      <c r="AQ2176" s="28" t="str">
        <f t="shared" si="631"/>
        <v>20228RMB</v>
      </c>
      <c r="AR2176" s="206" t="str">
        <f t="shared" si="632"/>
        <v>YAMAHA_Mounter</v>
      </c>
      <c r="AS2176" s="22">
        <f t="shared" si="633"/>
        <v>4</v>
      </c>
      <c r="AT2176" s="24" t="str">
        <f t="shared" si="634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0"/>
        <v>1.13</v>
      </c>
      <c r="Z2177" s="18">
        <f t="shared" si="635"/>
        <v>650000</v>
      </c>
      <c r="AA2177" s="13">
        <v>1.1399999999999999</v>
      </c>
      <c r="AB2177" s="21">
        <f t="shared" si="639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1"/>
        <v>30573205.452778768</v>
      </c>
      <c r="AJ2177" s="19">
        <f t="shared" si="622"/>
        <v>3790930.1683151261</v>
      </c>
      <c r="AK2177" s="20">
        <f t="shared" si="629"/>
        <v>0.12399518179964254</v>
      </c>
      <c r="AL2177" s="17"/>
      <c r="AM2177" s="17"/>
      <c r="AN2177" s="17"/>
      <c r="AO2177" s="17"/>
      <c r="AP2177" s="28" t="str">
        <f t="shared" si="630"/>
        <v>20234</v>
      </c>
      <c r="AQ2177" s="28" t="str">
        <f t="shared" si="631"/>
        <v>20234RMB</v>
      </c>
      <c r="AR2177" s="206" t="str">
        <f t="shared" si="632"/>
        <v>YAMAHA_Mounter</v>
      </c>
      <c r="AS2177" s="22">
        <f t="shared" si="633"/>
        <v>1</v>
      </c>
      <c r="AT2177" s="24" t="str">
        <f t="shared" si="634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0"/>
        <v>1.13</v>
      </c>
      <c r="Z2178" s="18">
        <f t="shared" si="635"/>
        <v>495000</v>
      </c>
      <c r="AA2178" s="13">
        <v>1.1950000000000001</v>
      </c>
      <c r="AB2178" s="21">
        <f t="shared" si="639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41">IF(P2178="C66 SERVICE","",SUMIFS(AB:AB,F:F,F2178,G:G,G2178,E:E,E2178))</f>
        <v>44014086.982070789</v>
      </c>
      <c r="AJ2178" s="19">
        <f t="shared" ref="AJ2178:AJ2241" si="642">IF(P2178="C66 SERVICE","",SUMIFS(AC:AC,F:F,F2178,G:G,G2178,E:E,E2178))</f>
        <v>6419974.0221889298</v>
      </c>
      <c r="AK2178" s="20">
        <f t="shared" si="629"/>
        <v>0.14586180158193709</v>
      </c>
      <c r="AL2178" s="17"/>
      <c r="AM2178" s="17"/>
      <c r="AN2178" s="17"/>
      <c r="AO2178" s="17"/>
      <c r="AP2178" s="28" t="str">
        <f t="shared" si="630"/>
        <v>20225</v>
      </c>
      <c r="AQ2178" s="28" t="str">
        <f t="shared" si="631"/>
        <v>20225RMB</v>
      </c>
      <c r="AR2178" s="206" t="str">
        <f t="shared" si="632"/>
        <v>YAMAHA_Mounter</v>
      </c>
      <c r="AS2178" s="22">
        <f t="shared" si="633"/>
        <v>4</v>
      </c>
      <c r="AT2178" s="24" t="str">
        <f t="shared" si="634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0"/>
        <v>1.13</v>
      </c>
      <c r="Z2179" s="18">
        <f t="shared" si="635"/>
        <v>955900</v>
      </c>
      <c r="AA2179" s="13">
        <v>1.1950000000000001</v>
      </c>
      <c r="AB2179" s="21">
        <f t="shared" si="639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41"/>
        <v>44014086.982070789</v>
      </c>
      <c r="AJ2179" s="19">
        <f t="shared" si="642"/>
        <v>6419974.0221889298</v>
      </c>
      <c r="AK2179" s="20">
        <f t="shared" si="629"/>
        <v>0.14586180158193709</v>
      </c>
      <c r="AL2179" s="17"/>
      <c r="AM2179" s="17"/>
      <c r="AN2179" s="17"/>
      <c r="AO2179" s="17"/>
      <c r="AP2179" s="28" t="str">
        <f t="shared" si="630"/>
        <v>20225</v>
      </c>
      <c r="AQ2179" s="28" t="str">
        <f t="shared" si="631"/>
        <v>20225RMB</v>
      </c>
      <c r="AR2179" s="206" t="str">
        <f t="shared" si="632"/>
        <v>YAMAHA_Mounter</v>
      </c>
      <c r="AS2179" s="22">
        <f t="shared" si="633"/>
        <v>4</v>
      </c>
      <c r="AT2179" s="24" t="str">
        <f t="shared" si="634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5"/>
        <v>525000</v>
      </c>
      <c r="AA2180" s="22">
        <v>1.0900000000000001</v>
      </c>
      <c r="AB2180" s="21">
        <f t="shared" si="639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41"/>
        <v>10524262.405309737</v>
      </c>
      <c r="AJ2180" s="27">
        <f t="shared" si="642"/>
        <v>1479050.9527127435</v>
      </c>
      <c r="AK2180" s="28">
        <f t="shared" si="629"/>
        <v>0.14053725532028996</v>
      </c>
      <c r="AL2180" s="24"/>
      <c r="AM2180" s="24"/>
      <c r="AN2180" s="24"/>
      <c r="AO2180" s="24"/>
      <c r="AP2180" s="28" t="str">
        <f t="shared" si="630"/>
        <v>20242</v>
      </c>
      <c r="AQ2180" s="28" t="str">
        <f t="shared" si="631"/>
        <v>20242RMB</v>
      </c>
      <c r="AR2180" s="206" t="str">
        <f t="shared" si="632"/>
        <v>YAMAHA_Mounter</v>
      </c>
      <c r="AS2180" s="22">
        <f t="shared" si="633"/>
        <v>1</v>
      </c>
      <c r="AT2180" s="24" t="str">
        <f t="shared" si="634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5"/>
        <v>525000</v>
      </c>
      <c r="AA2181" s="22">
        <v>1.0900000000000001</v>
      </c>
      <c r="AB2181" s="21">
        <f t="shared" si="639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41"/>
        <v>10524262.405309737</v>
      </c>
      <c r="AJ2181" s="27">
        <f t="shared" si="642"/>
        <v>1479050.9527127435</v>
      </c>
      <c r="AK2181" s="28">
        <f t="shared" si="629"/>
        <v>0.14053725532028996</v>
      </c>
      <c r="AL2181" s="24"/>
      <c r="AM2181" s="24"/>
      <c r="AN2181" s="24"/>
      <c r="AO2181" s="24"/>
      <c r="AP2181" s="28" t="str">
        <f t="shared" si="630"/>
        <v>20242</v>
      </c>
      <c r="AQ2181" s="28" t="str">
        <f t="shared" si="631"/>
        <v>20242RMB</v>
      </c>
      <c r="AR2181" s="206" t="str">
        <f t="shared" si="632"/>
        <v>YAMAHA_Mounter</v>
      </c>
      <c r="AS2181" s="22">
        <f t="shared" si="633"/>
        <v>1</v>
      </c>
      <c r="AT2181" s="24" t="str">
        <f t="shared" si="634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5"/>
        <v>507000</v>
      </c>
      <c r="AA2182" s="13">
        <v>1.23</v>
      </c>
      <c r="AB2182" s="21">
        <f t="shared" si="639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41"/>
        <v>29288201.603076916</v>
      </c>
      <c r="AJ2182" s="19">
        <f t="shared" si="642"/>
        <v>3870159.1769246152</v>
      </c>
      <c r="AK2182" s="20">
        <f t="shared" ref="AK2182:AK2245" si="64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0">IF(F2182="","",F2182&amp;G2182)</f>
        <v>20184</v>
      </c>
      <c r="AQ2182" s="28" t="str">
        <f t="shared" ref="AQ2182:AQ2245" si="651">IF(W2182="","",F2182&amp;G2182&amp;W2182)</f>
        <v>20184RMB</v>
      </c>
      <c r="AR2182" s="206" t="str">
        <f t="shared" ref="AR2182:AR2245" si="652">IFERROR(IF(AND(M2182="YAMAHA", R2182="C28"), "YAMAHA_Non_Mounter", IF(AND(M2182="YAMAHA", R2182="C49"), "YAMAHA_Mounter", M2182)),"")</f>
        <v>YAMAHA_Mounter</v>
      </c>
      <c r="AS2182" s="22">
        <f t="shared" ref="AS2182:AS2245" si="653">IFERROR(IF(OR(G2182="TBA", G2182=""), "", DATEDIF(DATE(B2182, C2182, 1), DATE(F2182, G2182, 1), "M")),"")</f>
        <v>5</v>
      </c>
      <c r="AT2182" s="24" t="str">
        <f t="shared" ref="AT2182:AT2245" si="65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5"/>
        <v>800000</v>
      </c>
      <c r="AA2183" s="13">
        <v>1.1100000000000001</v>
      </c>
      <c r="AB2183" s="21">
        <f t="shared" si="639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1"/>
        <v>499582152.5142017</v>
      </c>
      <c r="AJ2183" s="19">
        <f t="shared" si="642"/>
        <v>59520528.679470733</v>
      </c>
      <c r="AK2183" s="20">
        <f t="shared" si="649"/>
        <v>0.11914062257814291</v>
      </c>
      <c r="AL2183" s="17"/>
      <c r="AM2183" s="17"/>
      <c r="AN2183" s="17"/>
      <c r="AO2183" s="17"/>
      <c r="AP2183" s="28" t="str">
        <f t="shared" si="650"/>
        <v>CancelCancel</v>
      </c>
      <c r="AQ2183" s="28" t="str">
        <f t="shared" si="651"/>
        <v>CancelCancelRMB</v>
      </c>
      <c r="AR2183" s="206" t="str">
        <f t="shared" si="652"/>
        <v>YAMAHA_Mounter</v>
      </c>
      <c r="AS2183" s="22" t="str">
        <f t="shared" si="653"/>
        <v/>
      </c>
      <c r="AT2183" s="24" t="str">
        <f t="shared" si="654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5"/>
        <v>795000</v>
      </c>
      <c r="AA2184" s="13">
        <v>1.2</v>
      </c>
      <c r="AB2184" s="21">
        <f t="shared" si="639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1"/>
        <v>15533177.71460177</v>
      </c>
      <c r="AJ2184" s="19">
        <f t="shared" si="642"/>
        <v>1819298.5437526547</v>
      </c>
      <c r="AK2184" s="20">
        <f t="shared" si="649"/>
        <v>0.11712339723265033</v>
      </c>
      <c r="AL2184" s="17"/>
      <c r="AM2184" s="17"/>
      <c r="AN2184" s="17"/>
      <c r="AO2184" s="17"/>
      <c r="AP2184" s="28" t="str">
        <f t="shared" si="650"/>
        <v>202110</v>
      </c>
      <c r="AQ2184" s="28" t="str">
        <f t="shared" si="651"/>
        <v>202110RMB</v>
      </c>
      <c r="AR2184" s="206" t="str">
        <f t="shared" si="652"/>
        <v>YAMAHA_Mounter</v>
      </c>
      <c r="AS2184" s="22">
        <f t="shared" si="653"/>
        <v>14</v>
      </c>
      <c r="AT2184" s="24" t="str">
        <f t="shared" si="654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5"/>
        <v>880000</v>
      </c>
      <c r="AA2185" s="13">
        <v>1.095</v>
      </c>
      <c r="AB2185" s="21">
        <f t="shared" si="639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1"/>
        <v>28647263.974455759</v>
      </c>
      <c r="AJ2185" s="19">
        <f t="shared" si="642"/>
        <v>3219855.6912513468</v>
      </c>
      <c r="AK2185" s="20">
        <f t="shared" si="649"/>
        <v>0.11239662168514358</v>
      </c>
      <c r="AL2185" s="17"/>
      <c r="AM2185" s="17"/>
      <c r="AN2185" s="17"/>
      <c r="AO2185" s="17"/>
      <c r="AP2185" s="28" t="str">
        <f t="shared" si="650"/>
        <v>201910</v>
      </c>
      <c r="AQ2185" s="28" t="str">
        <f t="shared" si="651"/>
        <v>201910RMB</v>
      </c>
      <c r="AR2185" s="206" t="str">
        <f t="shared" si="652"/>
        <v>YAMAHA_Mounter</v>
      </c>
      <c r="AS2185" s="22">
        <f t="shared" si="653"/>
        <v>1</v>
      </c>
      <c r="AT2185" s="24" t="str">
        <f t="shared" si="654"/>
        <v>0-3 months</v>
      </c>
      <c r="AU2185" s="22" t="s">
        <v>3744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5">IF(X2186="","",X2186*MAX(O2186,N2186))</f>
        <v>600000</v>
      </c>
      <c r="AA2186" s="13">
        <v>1.095</v>
      </c>
      <c r="AB2186" s="21">
        <f t="shared" si="639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1"/>
        <v>28647263.974455759</v>
      </c>
      <c r="AJ2186" s="19">
        <f t="shared" si="642"/>
        <v>3219855.6912513468</v>
      </c>
      <c r="AK2186" s="20">
        <f t="shared" si="649"/>
        <v>0.11239662168514358</v>
      </c>
      <c r="AL2186" s="17"/>
      <c r="AM2186" s="17"/>
      <c r="AN2186" s="17"/>
      <c r="AO2186" s="17"/>
      <c r="AP2186" s="28" t="str">
        <f t="shared" si="650"/>
        <v>201910</v>
      </c>
      <c r="AQ2186" s="28" t="str">
        <f t="shared" si="651"/>
        <v>201910RMB</v>
      </c>
      <c r="AR2186" s="206" t="str">
        <f t="shared" si="652"/>
        <v>YAMAHA_Mounter</v>
      </c>
      <c r="AS2186" s="22">
        <f t="shared" si="653"/>
        <v>1</v>
      </c>
      <c r="AT2186" s="24" t="str">
        <f t="shared" si="654"/>
        <v>0-3 months</v>
      </c>
      <c r="AU2186" s="22" t="s">
        <v>3744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5"/>
        <v>445000</v>
      </c>
      <c r="AA2187" s="13">
        <v>1.125</v>
      </c>
      <c r="AB2187" s="21">
        <f t="shared" si="639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1"/>
        <v>29840797.698275864</v>
      </c>
      <c r="AJ2187" s="19">
        <f t="shared" si="642"/>
        <v>3940167.6555448272</v>
      </c>
      <c r="AK2187" s="20">
        <f t="shared" si="649"/>
        <v>0.13203962224416277</v>
      </c>
      <c r="AL2187" s="17"/>
      <c r="AM2187" s="17"/>
      <c r="AN2187" s="17"/>
      <c r="AO2187" s="17"/>
      <c r="AP2187" s="28" t="str">
        <f t="shared" si="650"/>
        <v>201812</v>
      </c>
      <c r="AQ2187" s="28" t="str">
        <f t="shared" si="651"/>
        <v>201812RMB</v>
      </c>
      <c r="AR2187" s="206" t="str">
        <f t="shared" si="652"/>
        <v>PEMTRON</v>
      </c>
      <c r="AS2187" s="22">
        <f t="shared" si="653"/>
        <v>1</v>
      </c>
      <c r="AT2187" s="24" t="str">
        <f t="shared" si="654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5"/>
        <v>1080000</v>
      </c>
      <c r="AA2188" s="13">
        <v>1.1100000000000001</v>
      </c>
      <c r="AB2188" s="21">
        <f t="shared" si="639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1"/>
        <v>26147030.909862842</v>
      </c>
      <c r="AJ2188" s="19">
        <f t="shared" si="642"/>
        <v>2743862.8630715334</v>
      </c>
      <c r="AK2188" s="20">
        <f t="shared" si="649"/>
        <v>0.10493974908778378</v>
      </c>
      <c r="AL2188" s="17"/>
      <c r="AM2188" s="17"/>
      <c r="AN2188" s="17"/>
      <c r="AO2188" s="17"/>
      <c r="AP2188" s="28" t="str">
        <f t="shared" si="650"/>
        <v>201911</v>
      </c>
      <c r="AQ2188" s="28" t="str">
        <f t="shared" si="651"/>
        <v>201911RMB</v>
      </c>
      <c r="AR2188" s="206" t="str">
        <f t="shared" si="652"/>
        <v>YAMAHA_Mounter</v>
      </c>
      <c r="AS2188" s="22">
        <f t="shared" si="653"/>
        <v>2</v>
      </c>
      <c r="AT2188" s="24" t="str">
        <f t="shared" si="654"/>
        <v>0-3 months</v>
      </c>
      <c r="AU2188" s="22" t="s">
        <v>3744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5"/>
        <v>11860000</v>
      </c>
      <c r="AA2189" s="13">
        <v>5.4899999999999997E-2</v>
      </c>
      <c r="AB2189" s="21">
        <f t="shared" si="639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1"/>
        <v>26078226.463097349</v>
      </c>
      <c r="AJ2189" s="19">
        <f t="shared" si="642"/>
        <v>3137870.4427774516</v>
      </c>
      <c r="AK2189" s="20">
        <f t="shared" si="649"/>
        <v>0.12032530077218917</v>
      </c>
      <c r="AL2189" s="17"/>
      <c r="AM2189" s="17"/>
      <c r="AN2189" s="17"/>
      <c r="AO2189" s="17"/>
      <c r="AP2189" s="28" t="str">
        <f t="shared" si="650"/>
        <v>20239</v>
      </c>
      <c r="AQ2189" s="28" t="str">
        <f t="shared" si="651"/>
        <v>20239JPY</v>
      </c>
      <c r="AR2189" s="206" t="str">
        <f t="shared" si="652"/>
        <v>YAMAHA_Mounter</v>
      </c>
      <c r="AS2189" s="22">
        <f t="shared" si="653"/>
        <v>0</v>
      </c>
      <c r="AT2189" s="24" t="str">
        <f t="shared" si="654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5"/>
        <v>10000000</v>
      </c>
      <c r="AA2190" s="13">
        <v>7.4899999999999994E-2</v>
      </c>
      <c r="AB2190" s="21">
        <f t="shared" si="639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1"/>
        <v>47907808.356810622</v>
      </c>
      <c r="AJ2190" s="19">
        <f t="shared" si="642"/>
        <v>6027384.8806384448</v>
      </c>
      <c r="AK2190" s="20">
        <f t="shared" si="649"/>
        <v>0.12581216063459488</v>
      </c>
      <c r="AL2190" s="17"/>
      <c r="AM2190" s="17"/>
      <c r="AN2190" s="17"/>
      <c r="AO2190" s="17"/>
      <c r="AP2190" s="28" t="str">
        <f t="shared" si="650"/>
        <v>20209</v>
      </c>
      <c r="AQ2190" s="28" t="str">
        <f t="shared" si="651"/>
        <v>20209JPY</v>
      </c>
      <c r="AR2190" s="206" t="str">
        <f t="shared" si="652"/>
        <v>YAMAHA_Mounter</v>
      </c>
      <c r="AS2190" s="22">
        <f t="shared" si="653"/>
        <v>2</v>
      </c>
      <c r="AT2190" s="24" t="str">
        <f t="shared" si="654"/>
        <v>0-3 months</v>
      </c>
      <c r="AU2190" s="22" t="s">
        <v>3746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5"/>
        <v>10000000</v>
      </c>
      <c r="AA2191" s="13">
        <v>7.4899999999999994E-2</v>
      </c>
      <c r="AB2191" s="21">
        <f t="shared" si="639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1"/>
        <v>47907808.356810622</v>
      </c>
      <c r="AJ2191" s="19">
        <f t="shared" si="642"/>
        <v>6027384.8806384448</v>
      </c>
      <c r="AK2191" s="20">
        <f t="shared" si="649"/>
        <v>0.12581216063459488</v>
      </c>
      <c r="AL2191" s="17"/>
      <c r="AM2191" s="17"/>
      <c r="AN2191" s="17"/>
      <c r="AO2191" s="17"/>
      <c r="AP2191" s="28" t="str">
        <f t="shared" si="650"/>
        <v>20209</v>
      </c>
      <c r="AQ2191" s="28" t="str">
        <f t="shared" si="651"/>
        <v>20209JPY</v>
      </c>
      <c r="AR2191" s="206" t="str">
        <f t="shared" si="652"/>
        <v>YAMAHA_Mounter</v>
      </c>
      <c r="AS2191" s="22">
        <f t="shared" si="653"/>
        <v>2</v>
      </c>
      <c r="AT2191" s="24" t="str">
        <f t="shared" si="654"/>
        <v>0-3 months</v>
      </c>
      <c r="AU2191" s="22" t="s">
        <v>3746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5"/>
        <v>14200000</v>
      </c>
      <c r="AA2192" s="13">
        <v>7.4899999999999994E-2</v>
      </c>
      <c r="AB2192" s="21">
        <f t="shared" si="639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1"/>
        <v>47907808.356810622</v>
      </c>
      <c r="AJ2192" s="19">
        <f t="shared" si="642"/>
        <v>6027384.8806384448</v>
      </c>
      <c r="AK2192" s="20">
        <f t="shared" si="649"/>
        <v>0.12581216063459488</v>
      </c>
      <c r="AL2192" s="17"/>
      <c r="AM2192" s="17"/>
      <c r="AN2192" s="17"/>
      <c r="AO2192" s="17"/>
      <c r="AP2192" s="28" t="str">
        <f t="shared" si="650"/>
        <v>20209</v>
      </c>
      <c r="AQ2192" s="28" t="str">
        <f t="shared" si="651"/>
        <v>20209JPY</v>
      </c>
      <c r="AR2192" s="206" t="str">
        <f t="shared" si="652"/>
        <v>YAMAHA_Mounter</v>
      </c>
      <c r="AS2192" s="22">
        <f t="shared" si="653"/>
        <v>2</v>
      </c>
      <c r="AT2192" s="24" t="str">
        <f t="shared" si="654"/>
        <v>0-3 months</v>
      </c>
      <c r="AU2192" s="22" t="s">
        <v>3746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6">IF(W2193="RMB","1.13", "1")</f>
        <v>1</v>
      </c>
      <c r="Z2193" s="18">
        <f t="shared" si="655"/>
        <v>10000000</v>
      </c>
      <c r="AA2193" s="13">
        <v>7.6100000000000001E-2</v>
      </c>
      <c r="AB2193" s="21">
        <f t="shared" si="639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1"/>
        <v>48763143.537654862</v>
      </c>
      <c r="AJ2193" s="19">
        <f t="shared" si="642"/>
        <v>5924029.9702154724</v>
      </c>
      <c r="AK2193" s="20">
        <f t="shared" si="649"/>
        <v>0.1214858095774925</v>
      </c>
      <c r="AL2193" s="17"/>
      <c r="AM2193" s="17"/>
      <c r="AN2193" s="17"/>
      <c r="AO2193" s="17"/>
      <c r="AP2193" s="28" t="str">
        <f t="shared" si="650"/>
        <v>202012</v>
      </c>
      <c r="AQ2193" s="28" t="str">
        <f t="shared" si="651"/>
        <v>202012JPY</v>
      </c>
      <c r="AR2193" s="206" t="str">
        <f t="shared" si="652"/>
        <v>YAMAHA_Mounter</v>
      </c>
      <c r="AS2193" s="22">
        <f t="shared" si="653"/>
        <v>3</v>
      </c>
      <c r="AT2193" s="24" t="str">
        <f t="shared" si="654"/>
        <v>0-3 months</v>
      </c>
      <c r="AU2193" s="22" t="s">
        <v>3746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6"/>
        <v>1</v>
      </c>
      <c r="Z2194" s="18">
        <f t="shared" si="655"/>
        <v>10000000</v>
      </c>
      <c r="AA2194" s="13">
        <v>7.6100000000000001E-2</v>
      </c>
      <c r="AB2194" s="21">
        <f t="shared" si="639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1"/>
        <v>48763143.537654862</v>
      </c>
      <c r="AJ2194" s="19">
        <f t="shared" si="642"/>
        <v>5924029.9702154724</v>
      </c>
      <c r="AK2194" s="20">
        <f t="shared" si="649"/>
        <v>0.1214858095774925</v>
      </c>
      <c r="AL2194" s="17"/>
      <c r="AM2194" s="17"/>
      <c r="AN2194" s="17"/>
      <c r="AO2194" s="17"/>
      <c r="AP2194" s="28" t="str">
        <f t="shared" si="650"/>
        <v>202012</v>
      </c>
      <c r="AQ2194" s="28" t="str">
        <f t="shared" si="651"/>
        <v>202012JPY</v>
      </c>
      <c r="AR2194" s="206" t="str">
        <f t="shared" si="652"/>
        <v>YAMAHA_Mounter</v>
      </c>
      <c r="AS2194" s="22">
        <f t="shared" si="653"/>
        <v>3</v>
      </c>
      <c r="AT2194" s="24" t="str">
        <f t="shared" si="654"/>
        <v>0-3 months</v>
      </c>
      <c r="AU2194" s="22" t="s">
        <v>3746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6"/>
        <v>1</v>
      </c>
      <c r="Z2195" s="18">
        <f t="shared" si="655"/>
        <v>14200000</v>
      </c>
      <c r="AA2195" s="13">
        <v>7.6100000000000001E-2</v>
      </c>
      <c r="AB2195" s="21">
        <f t="shared" si="639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1"/>
        <v>48763143.537654862</v>
      </c>
      <c r="AJ2195" s="19">
        <f t="shared" si="642"/>
        <v>5924029.9702154724</v>
      </c>
      <c r="AK2195" s="20">
        <f t="shared" si="649"/>
        <v>0.1214858095774925</v>
      </c>
      <c r="AL2195" s="17"/>
      <c r="AM2195" s="17"/>
      <c r="AN2195" s="17"/>
      <c r="AO2195" s="17"/>
      <c r="AP2195" s="28" t="str">
        <f t="shared" si="650"/>
        <v>202012</v>
      </c>
      <c r="AQ2195" s="28" t="str">
        <f t="shared" si="651"/>
        <v>202012JPY</v>
      </c>
      <c r="AR2195" s="206" t="str">
        <f t="shared" si="652"/>
        <v>YAMAHA_Mounter</v>
      </c>
      <c r="AS2195" s="22">
        <f t="shared" si="653"/>
        <v>3</v>
      </c>
      <c r="AT2195" s="24" t="str">
        <f t="shared" si="654"/>
        <v>0-3 months</v>
      </c>
      <c r="AU2195" s="22" t="s">
        <v>3746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6"/>
        <v>1</v>
      </c>
      <c r="Z2196" s="18">
        <f t="shared" si="655"/>
        <v>18600000</v>
      </c>
      <c r="AA2196" s="13">
        <v>7.0000000000000007E-2</v>
      </c>
      <c r="AB2196" s="21">
        <f t="shared" si="639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1"/>
        <v>29500529.005044252</v>
      </c>
      <c r="AJ2196" s="19">
        <f t="shared" si="642"/>
        <v>3253064.846231177</v>
      </c>
      <c r="AK2196" s="20">
        <f t="shared" si="649"/>
        <v>0.11027140718984871</v>
      </c>
      <c r="AL2196" s="17"/>
      <c r="AM2196" s="17"/>
      <c r="AN2196" s="17"/>
      <c r="AO2196" s="17"/>
      <c r="AP2196" s="28" t="str">
        <f t="shared" si="650"/>
        <v>202111</v>
      </c>
      <c r="AQ2196" s="28" t="str">
        <f t="shared" si="651"/>
        <v>202111JPY</v>
      </c>
      <c r="AR2196" s="206" t="str">
        <f t="shared" si="652"/>
        <v>YAMAHA_Mounter</v>
      </c>
      <c r="AS2196" s="22">
        <f t="shared" si="653"/>
        <v>7</v>
      </c>
      <c r="AT2196" s="24" t="str">
        <f t="shared" si="654"/>
        <v>&gt; 6 months</v>
      </c>
      <c r="AU2196" s="22" t="s">
        <v>3746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6"/>
        <v>1</v>
      </c>
      <c r="Z2197" s="18">
        <f t="shared" si="655"/>
        <v>18600000</v>
      </c>
      <c r="AA2197" s="13">
        <v>7.0000000000000007E-2</v>
      </c>
      <c r="AB2197" s="21">
        <f t="shared" si="639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1"/>
        <v>29500529.005044252</v>
      </c>
      <c r="AJ2197" s="19">
        <f t="shared" si="642"/>
        <v>3253064.846231177</v>
      </c>
      <c r="AK2197" s="20">
        <f t="shared" si="649"/>
        <v>0.11027140718984871</v>
      </c>
      <c r="AL2197" s="17"/>
      <c r="AM2197" s="17"/>
      <c r="AN2197" s="17"/>
      <c r="AO2197" s="17"/>
      <c r="AP2197" s="28" t="str">
        <f t="shared" si="650"/>
        <v>202111</v>
      </c>
      <c r="AQ2197" s="28" t="str">
        <f t="shared" si="651"/>
        <v>202111JPY</v>
      </c>
      <c r="AR2197" s="206" t="str">
        <f t="shared" si="652"/>
        <v>YAMAHA_Mounter</v>
      </c>
      <c r="AS2197" s="22">
        <f t="shared" si="653"/>
        <v>7</v>
      </c>
      <c r="AT2197" s="24" t="str">
        <f t="shared" si="654"/>
        <v>&gt; 6 months</v>
      </c>
      <c r="AU2197" s="22" t="s">
        <v>3746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6"/>
        <v>1</v>
      </c>
      <c r="Z2198" s="18">
        <f t="shared" si="655"/>
        <v>18600000</v>
      </c>
      <c r="AA2198" s="13">
        <v>7.0000000000000007E-2</v>
      </c>
      <c r="AB2198" s="21">
        <f t="shared" si="639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1"/>
        <v>29500529.005044252</v>
      </c>
      <c r="AJ2198" s="19">
        <f t="shared" si="642"/>
        <v>3253064.846231177</v>
      </c>
      <c r="AK2198" s="20">
        <f t="shared" si="649"/>
        <v>0.11027140718984871</v>
      </c>
      <c r="AL2198" s="17"/>
      <c r="AM2198" s="17"/>
      <c r="AN2198" s="17"/>
      <c r="AO2198" s="17"/>
      <c r="AP2198" s="28" t="str">
        <f t="shared" si="650"/>
        <v>202111</v>
      </c>
      <c r="AQ2198" s="28" t="str">
        <f t="shared" si="651"/>
        <v>202111JPY</v>
      </c>
      <c r="AR2198" s="206" t="str">
        <f t="shared" si="652"/>
        <v>YAMAHA_Mounter</v>
      </c>
      <c r="AS2198" s="22">
        <f t="shared" si="653"/>
        <v>7</v>
      </c>
      <c r="AT2198" s="24" t="str">
        <f t="shared" si="654"/>
        <v>&gt; 6 months</v>
      </c>
      <c r="AU2198" s="22" t="s">
        <v>3746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6"/>
        <v>1</v>
      </c>
      <c r="Z2199" s="18">
        <f t="shared" si="655"/>
        <v>21000000</v>
      </c>
      <c r="AA2199" s="13">
        <v>5.8799999999999998E-2</v>
      </c>
      <c r="AB2199" s="21">
        <f t="shared" si="639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1"/>
        <v>33543315.897345133</v>
      </c>
      <c r="AJ2199" s="19">
        <f t="shared" si="642"/>
        <v>4706169.3252984071</v>
      </c>
      <c r="AK2199" s="20">
        <f t="shared" si="649"/>
        <v>0.14030125523967318</v>
      </c>
      <c r="AL2199" s="17"/>
      <c r="AM2199" s="17"/>
      <c r="AN2199" s="17"/>
      <c r="AO2199" s="17"/>
      <c r="AP2199" s="28" t="str">
        <f t="shared" si="650"/>
        <v>20233</v>
      </c>
      <c r="AQ2199" s="28" t="str">
        <f t="shared" si="651"/>
        <v>20233JPY</v>
      </c>
      <c r="AR2199" s="206" t="str">
        <f t="shared" si="652"/>
        <v>YAMAHA_Mounter</v>
      </c>
      <c r="AS2199" s="22">
        <f t="shared" si="653"/>
        <v>3</v>
      </c>
      <c r="AT2199" s="24" t="str">
        <f t="shared" si="654"/>
        <v>0-3 months</v>
      </c>
      <c r="AU2199" s="22" t="s">
        <v>3746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6"/>
        <v>1</v>
      </c>
      <c r="Z2200" s="18">
        <f t="shared" si="655"/>
        <v>21000000</v>
      </c>
      <c r="AA2200" s="13">
        <v>5.8799999999999998E-2</v>
      </c>
      <c r="AB2200" s="21">
        <f t="shared" si="639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1"/>
        <v>33543315.897345133</v>
      </c>
      <c r="AJ2200" s="19">
        <f t="shared" si="642"/>
        <v>4706169.3252984071</v>
      </c>
      <c r="AK2200" s="20">
        <f t="shared" si="649"/>
        <v>0.14030125523967318</v>
      </c>
      <c r="AL2200" s="17"/>
      <c r="AM2200" s="17"/>
      <c r="AN2200" s="17"/>
      <c r="AO2200" s="17"/>
      <c r="AP2200" s="28" t="str">
        <f t="shared" si="650"/>
        <v>20233</v>
      </c>
      <c r="AQ2200" s="28" t="str">
        <f t="shared" si="651"/>
        <v>20233JPY</v>
      </c>
      <c r="AR2200" s="206" t="str">
        <f t="shared" si="652"/>
        <v>YAMAHA_Mounter</v>
      </c>
      <c r="AS2200" s="22">
        <f t="shared" si="653"/>
        <v>3</v>
      </c>
      <c r="AT2200" s="24" t="str">
        <f t="shared" si="654"/>
        <v>0-3 months</v>
      </c>
      <c r="AU2200" s="22" t="s">
        <v>3746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6"/>
        <v>1</v>
      </c>
      <c r="Z2201" s="18">
        <f t="shared" si="655"/>
        <v>21000000</v>
      </c>
      <c r="AA2201" s="13">
        <v>5.8799999999999998E-2</v>
      </c>
      <c r="AB2201" s="21">
        <f t="shared" si="639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1"/>
        <v>33543315.897345133</v>
      </c>
      <c r="AJ2201" s="19">
        <f t="shared" si="642"/>
        <v>4706169.3252984071</v>
      </c>
      <c r="AK2201" s="20">
        <f t="shared" si="649"/>
        <v>0.14030125523967318</v>
      </c>
      <c r="AL2201" s="17"/>
      <c r="AM2201" s="17"/>
      <c r="AN2201" s="17"/>
      <c r="AO2201" s="17"/>
      <c r="AP2201" s="28" t="str">
        <f t="shared" si="650"/>
        <v>20233</v>
      </c>
      <c r="AQ2201" s="28" t="str">
        <f t="shared" si="651"/>
        <v>20233JPY</v>
      </c>
      <c r="AR2201" s="206" t="str">
        <f t="shared" si="652"/>
        <v>YAMAHA_Mounter</v>
      </c>
      <c r="AS2201" s="22">
        <f t="shared" si="653"/>
        <v>3</v>
      </c>
      <c r="AT2201" s="24" t="str">
        <f t="shared" si="654"/>
        <v>0-3 months</v>
      </c>
      <c r="AU2201" s="22" t="s">
        <v>3746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6"/>
        <v>1</v>
      </c>
      <c r="Z2202" s="18">
        <f t="shared" si="655"/>
        <v>18000000</v>
      </c>
      <c r="AA2202" s="13">
        <v>6.2799999999999995E-2</v>
      </c>
      <c r="AB2202" s="21">
        <f t="shared" si="639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1"/>
        <v>44014086.982070789</v>
      </c>
      <c r="AJ2202" s="19">
        <f t="shared" si="642"/>
        <v>6419974.0221889298</v>
      </c>
      <c r="AK2202" s="20">
        <f t="shared" si="649"/>
        <v>0.14586180158193709</v>
      </c>
      <c r="AL2202" s="17"/>
      <c r="AM2202" s="17"/>
      <c r="AN2202" s="17"/>
      <c r="AO2202" s="17"/>
      <c r="AP2202" s="28" t="str">
        <f t="shared" si="650"/>
        <v>20225</v>
      </c>
      <c r="AQ2202" s="28" t="str">
        <f t="shared" si="651"/>
        <v>20225JPY</v>
      </c>
      <c r="AR2202" s="206" t="str">
        <f t="shared" si="652"/>
        <v>YAMAHA_Mounter</v>
      </c>
      <c r="AS2202" s="22">
        <f t="shared" si="653"/>
        <v>4</v>
      </c>
      <c r="AT2202" s="24" t="str">
        <f t="shared" si="654"/>
        <v>4-6 months</v>
      </c>
      <c r="AU2202" s="22" t="s">
        <v>3746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6"/>
        <v>1</v>
      </c>
      <c r="Z2203" s="18">
        <f t="shared" si="655"/>
        <v>18000000</v>
      </c>
      <c r="AA2203" s="13">
        <v>6.2799999999999995E-2</v>
      </c>
      <c r="AB2203" s="21">
        <f t="shared" si="639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1"/>
        <v>44014086.982070789</v>
      </c>
      <c r="AJ2203" s="19">
        <f t="shared" si="642"/>
        <v>6419974.0221889298</v>
      </c>
      <c r="AK2203" s="20">
        <f t="shared" si="649"/>
        <v>0.14586180158193709</v>
      </c>
      <c r="AL2203" s="17"/>
      <c r="AM2203" s="17"/>
      <c r="AN2203" s="17"/>
      <c r="AO2203" s="17"/>
      <c r="AP2203" s="28" t="str">
        <f t="shared" si="650"/>
        <v>20225</v>
      </c>
      <c r="AQ2203" s="28" t="str">
        <f t="shared" si="651"/>
        <v>20225JPY</v>
      </c>
      <c r="AR2203" s="206" t="str">
        <f t="shared" si="652"/>
        <v>YAMAHA_Mounter</v>
      </c>
      <c r="AS2203" s="22">
        <f t="shared" si="653"/>
        <v>4</v>
      </c>
      <c r="AT2203" s="24" t="str">
        <f t="shared" si="654"/>
        <v>4-6 months</v>
      </c>
      <c r="AU2203" s="22" t="s">
        <v>3746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6"/>
        <v>1</v>
      </c>
      <c r="Z2204" s="18">
        <f t="shared" si="655"/>
        <v>11500000</v>
      </c>
      <c r="AA2204" s="13">
        <v>6.2799999999999995E-2</v>
      </c>
      <c r="AB2204" s="21">
        <f t="shared" si="639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1"/>
        <v>44014086.982070789</v>
      </c>
      <c r="AJ2204" s="19">
        <f t="shared" si="642"/>
        <v>6419974.0221889298</v>
      </c>
      <c r="AK2204" s="20">
        <f t="shared" si="649"/>
        <v>0.14586180158193709</v>
      </c>
      <c r="AL2204" s="17"/>
      <c r="AM2204" s="17"/>
      <c r="AN2204" s="17"/>
      <c r="AO2204" s="17"/>
      <c r="AP2204" s="28" t="str">
        <f t="shared" si="650"/>
        <v>20225</v>
      </c>
      <c r="AQ2204" s="28" t="str">
        <f t="shared" si="651"/>
        <v>20225JPY</v>
      </c>
      <c r="AR2204" s="206" t="str">
        <f t="shared" si="652"/>
        <v>YAMAHA_Mounter</v>
      </c>
      <c r="AS2204" s="22">
        <f t="shared" si="653"/>
        <v>4</v>
      </c>
      <c r="AT2204" s="24" t="str">
        <f t="shared" si="654"/>
        <v>4-6 months</v>
      </c>
      <c r="AU2204" s="22" t="s">
        <v>3746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6"/>
        <v>1</v>
      </c>
      <c r="Z2205" s="18">
        <f t="shared" si="655"/>
        <v>11500000</v>
      </c>
      <c r="AA2205" s="13">
        <v>6.2799999999999995E-2</v>
      </c>
      <c r="AB2205" s="21">
        <f t="shared" si="639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1"/>
        <v>44014086.982070789</v>
      </c>
      <c r="AJ2205" s="19">
        <f t="shared" si="642"/>
        <v>6419974.0221889298</v>
      </c>
      <c r="AK2205" s="20">
        <f t="shared" si="649"/>
        <v>0.14586180158193709</v>
      </c>
      <c r="AL2205" s="17"/>
      <c r="AM2205" s="17"/>
      <c r="AN2205" s="17"/>
      <c r="AO2205" s="17"/>
      <c r="AP2205" s="28" t="str">
        <f t="shared" si="650"/>
        <v>20225</v>
      </c>
      <c r="AQ2205" s="28" t="str">
        <f t="shared" si="651"/>
        <v>20225JPY</v>
      </c>
      <c r="AR2205" s="206" t="str">
        <f t="shared" si="652"/>
        <v>YAMAHA_Mounter</v>
      </c>
      <c r="AS2205" s="22">
        <f t="shared" si="653"/>
        <v>4</v>
      </c>
      <c r="AT2205" s="24" t="str">
        <f t="shared" si="654"/>
        <v>4-6 months</v>
      </c>
      <c r="AU2205" s="22" t="s">
        <v>3746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6"/>
        <v>1</v>
      </c>
      <c r="Z2206" s="18">
        <f t="shared" si="655"/>
        <v>11500000</v>
      </c>
      <c r="AA2206" s="13">
        <v>6.2799999999999995E-2</v>
      </c>
      <c r="AB2206" s="21">
        <f t="shared" si="639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1"/>
        <v>44014086.982070789</v>
      </c>
      <c r="AJ2206" s="19">
        <f t="shared" si="642"/>
        <v>6419974.0221889298</v>
      </c>
      <c r="AK2206" s="20">
        <f t="shared" si="649"/>
        <v>0.14586180158193709</v>
      </c>
      <c r="AL2206" s="17"/>
      <c r="AM2206" s="17"/>
      <c r="AN2206" s="17"/>
      <c r="AO2206" s="17"/>
      <c r="AP2206" s="28" t="str">
        <f t="shared" si="650"/>
        <v>20225</v>
      </c>
      <c r="AQ2206" s="28" t="str">
        <f t="shared" si="651"/>
        <v>20225JPY</v>
      </c>
      <c r="AR2206" s="206" t="str">
        <f t="shared" si="652"/>
        <v>YAMAHA_Mounter</v>
      </c>
      <c r="AS2206" s="22">
        <f t="shared" si="653"/>
        <v>4</v>
      </c>
      <c r="AT2206" s="24" t="str">
        <f t="shared" si="654"/>
        <v>4-6 months</v>
      </c>
      <c r="AU2206" s="22" t="s">
        <v>3746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6"/>
        <v>1</v>
      </c>
      <c r="Z2207" s="18">
        <f t="shared" si="655"/>
        <v>11500000</v>
      </c>
      <c r="AA2207" s="13">
        <v>6.2799999999999995E-2</v>
      </c>
      <c r="AB2207" s="21">
        <f t="shared" si="639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1"/>
        <v>44014086.982070789</v>
      </c>
      <c r="AJ2207" s="19">
        <f t="shared" si="642"/>
        <v>6419974.0221889298</v>
      </c>
      <c r="AK2207" s="20">
        <f t="shared" si="649"/>
        <v>0.14586180158193709</v>
      </c>
      <c r="AL2207" s="17"/>
      <c r="AM2207" s="17"/>
      <c r="AN2207" s="17"/>
      <c r="AO2207" s="17"/>
      <c r="AP2207" s="28" t="str">
        <f t="shared" si="650"/>
        <v>20225</v>
      </c>
      <c r="AQ2207" s="28" t="str">
        <f t="shared" si="651"/>
        <v>20225JPY</v>
      </c>
      <c r="AR2207" s="206" t="str">
        <f t="shared" si="652"/>
        <v>YAMAHA_Mounter</v>
      </c>
      <c r="AS2207" s="22">
        <f t="shared" si="653"/>
        <v>4</v>
      </c>
      <c r="AT2207" s="24" t="str">
        <f t="shared" si="654"/>
        <v>4-6 months</v>
      </c>
      <c r="AU2207" s="22" t="s">
        <v>3746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6"/>
        <v>1.13</v>
      </c>
      <c r="Z2208" s="18">
        <f t="shared" si="655"/>
        <v>990000</v>
      </c>
      <c r="AA2208" s="13">
        <v>1.0900000000000001</v>
      </c>
      <c r="AB2208" s="21">
        <f t="shared" si="639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1"/>
        <v>17329060.066371687</v>
      </c>
      <c r="AJ2208" s="19">
        <f t="shared" si="642"/>
        <v>2472600.2142256643</v>
      </c>
      <c r="AK2208" s="20">
        <f t="shared" si="649"/>
        <v>0.14268518919984163</v>
      </c>
      <c r="AL2208" s="17"/>
      <c r="AM2208" s="17"/>
      <c r="AN2208" s="17"/>
      <c r="AO2208" s="17"/>
      <c r="AP2208" s="28" t="str">
        <f t="shared" si="650"/>
        <v>202212</v>
      </c>
      <c r="AQ2208" s="28" t="str">
        <f t="shared" si="651"/>
        <v>202212RMB</v>
      </c>
      <c r="AR2208" s="206" t="str">
        <f t="shared" si="652"/>
        <v>YAMAHA_Mounter</v>
      </c>
      <c r="AS2208" s="22">
        <f t="shared" si="653"/>
        <v>0</v>
      </c>
      <c r="AT2208" s="24" t="str">
        <f t="shared" si="654"/>
        <v>0-3 months</v>
      </c>
      <c r="AU2208" s="22" t="s">
        <v>3751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6"/>
        <v>1.13</v>
      </c>
      <c r="Z2209" s="18">
        <f t="shared" si="655"/>
        <v>990000</v>
      </c>
      <c r="AA2209" s="13">
        <v>1.0900000000000001</v>
      </c>
      <c r="AB2209" s="21">
        <f t="shared" si="639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1"/>
        <v>17329060.066371687</v>
      </c>
      <c r="AJ2209" s="19">
        <f t="shared" si="642"/>
        <v>2472600.2142256643</v>
      </c>
      <c r="AK2209" s="20">
        <f t="shared" si="649"/>
        <v>0.14268518919984163</v>
      </c>
      <c r="AL2209" s="17"/>
      <c r="AM2209" s="17"/>
      <c r="AN2209" s="17"/>
      <c r="AO2209" s="17"/>
      <c r="AP2209" s="28" t="str">
        <f t="shared" si="650"/>
        <v>202212</v>
      </c>
      <c r="AQ2209" s="28" t="str">
        <f t="shared" si="651"/>
        <v>202212RMB</v>
      </c>
      <c r="AR2209" s="206" t="str">
        <f t="shared" si="652"/>
        <v>YAMAHA_Mounter</v>
      </c>
      <c r="AS2209" s="22">
        <f t="shared" si="653"/>
        <v>0</v>
      </c>
      <c r="AT2209" s="24" t="str">
        <f t="shared" si="654"/>
        <v>0-3 months</v>
      </c>
      <c r="AU2209" s="22" t="s">
        <v>3751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6"/>
        <v>1.13</v>
      </c>
      <c r="Z2210" s="18">
        <f t="shared" si="655"/>
        <v>756000</v>
      </c>
      <c r="AA2210" s="13">
        <v>1.0900000000000001</v>
      </c>
      <c r="AB2210" s="21">
        <f t="shared" si="639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1"/>
        <v>17329060.066371687</v>
      </c>
      <c r="AJ2210" s="19">
        <f t="shared" si="642"/>
        <v>2472600.2142256643</v>
      </c>
      <c r="AK2210" s="20">
        <f t="shared" si="649"/>
        <v>0.14268518919984163</v>
      </c>
      <c r="AL2210" s="17"/>
      <c r="AM2210" s="17"/>
      <c r="AN2210" s="17"/>
      <c r="AO2210" s="17"/>
      <c r="AP2210" s="28" t="str">
        <f t="shared" si="650"/>
        <v>202212</v>
      </c>
      <c r="AQ2210" s="28" t="str">
        <f t="shared" si="651"/>
        <v>202212RMB</v>
      </c>
      <c r="AR2210" s="206" t="str">
        <f t="shared" si="652"/>
        <v>YAMAHA_Mounter</v>
      </c>
      <c r="AS2210" s="22">
        <f t="shared" si="653"/>
        <v>0</v>
      </c>
      <c r="AT2210" s="24" t="str">
        <f t="shared" si="654"/>
        <v>0-3 months</v>
      </c>
      <c r="AU2210" s="22" t="s">
        <v>3751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6"/>
        <v>1.13</v>
      </c>
      <c r="Z2211" s="18">
        <f t="shared" si="655"/>
        <v>756000</v>
      </c>
      <c r="AA2211" s="13">
        <v>1.0900000000000001</v>
      </c>
      <c r="AB2211" s="21">
        <f t="shared" si="639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1"/>
        <v>17329060.066371687</v>
      </c>
      <c r="AJ2211" s="19">
        <f t="shared" si="642"/>
        <v>2472600.2142256643</v>
      </c>
      <c r="AK2211" s="20">
        <f t="shared" si="649"/>
        <v>0.14268518919984163</v>
      </c>
      <c r="AL2211" s="17"/>
      <c r="AM2211" s="17"/>
      <c r="AN2211" s="17"/>
      <c r="AO2211" s="17"/>
      <c r="AP2211" s="28" t="str">
        <f t="shared" si="650"/>
        <v>202212</v>
      </c>
      <c r="AQ2211" s="28" t="str">
        <f t="shared" si="651"/>
        <v>202212RMB</v>
      </c>
      <c r="AR2211" s="206" t="str">
        <f t="shared" si="652"/>
        <v>YAMAHA_Mounter</v>
      </c>
      <c r="AS2211" s="22">
        <f t="shared" si="653"/>
        <v>0</v>
      </c>
      <c r="AT2211" s="24" t="str">
        <f t="shared" si="654"/>
        <v>0-3 months</v>
      </c>
      <c r="AU2211" s="22" t="s">
        <v>3751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6"/>
        <v>1.13</v>
      </c>
      <c r="Z2212" s="18">
        <f t="shared" si="655"/>
        <v>850000</v>
      </c>
      <c r="AA2212" s="13">
        <v>1.1599999999999999</v>
      </c>
      <c r="AB2212" s="21">
        <f t="shared" si="639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1"/>
        <v>21045012.884955753</v>
      </c>
      <c r="AJ2212" s="19">
        <f t="shared" si="642"/>
        <v>2650260.9603327443</v>
      </c>
      <c r="AK2212" s="20">
        <f t="shared" si="649"/>
        <v>0.12593296924172048</v>
      </c>
      <c r="AL2212" s="17"/>
      <c r="AM2212" s="17"/>
      <c r="AN2212" s="17"/>
      <c r="AO2212" s="17"/>
      <c r="AP2212" s="28" t="str">
        <f t="shared" si="650"/>
        <v>20232</v>
      </c>
      <c r="AQ2212" s="28" t="str">
        <f t="shared" si="651"/>
        <v>20232RMB</v>
      </c>
      <c r="AR2212" s="206" t="str">
        <f t="shared" si="652"/>
        <v>YAMAHA_Mounter</v>
      </c>
      <c r="AS2212" s="22">
        <f t="shared" si="653"/>
        <v>0</v>
      </c>
      <c r="AT2212" s="24" t="str">
        <f t="shared" si="654"/>
        <v>0-3 months</v>
      </c>
      <c r="AU2212" s="22" t="s">
        <v>3751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5"/>
        <v>7771400</v>
      </c>
      <c r="AA2213" s="13">
        <v>7.4899999999999994E-2</v>
      </c>
      <c r="AB2213" s="21">
        <f t="shared" si="639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1"/>
        <v>499582152.5142017</v>
      </c>
      <c r="AJ2213" s="19">
        <f t="shared" si="642"/>
        <v>59520528.679470733</v>
      </c>
      <c r="AK2213" s="20">
        <f t="shared" si="649"/>
        <v>0.11914062257814291</v>
      </c>
      <c r="AL2213" s="17"/>
      <c r="AM2213" s="17"/>
      <c r="AN2213" s="17"/>
      <c r="AO2213" s="17"/>
      <c r="AP2213" s="28" t="str">
        <f t="shared" si="650"/>
        <v>CancelCancel</v>
      </c>
      <c r="AQ2213" s="28" t="str">
        <f t="shared" si="651"/>
        <v>CancelCancelJPY</v>
      </c>
      <c r="AR2213" s="206" t="str">
        <f t="shared" si="652"/>
        <v>YAMAHA_Mounter</v>
      </c>
      <c r="AS2213" s="22" t="str">
        <f t="shared" si="653"/>
        <v/>
      </c>
      <c r="AT2213" s="24" t="str">
        <f t="shared" si="654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5"/>
        <v>7771400</v>
      </c>
      <c r="AA2214" s="13">
        <v>7.6100000000000001E-2</v>
      </c>
      <c r="AB2214" s="21">
        <f t="shared" si="639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1"/>
        <v>499582152.5142017</v>
      </c>
      <c r="AJ2214" s="19">
        <f t="shared" si="642"/>
        <v>59520528.679470733</v>
      </c>
      <c r="AK2214" s="20">
        <f t="shared" si="649"/>
        <v>0.11914062257814291</v>
      </c>
      <c r="AL2214" s="17"/>
      <c r="AM2214" s="17"/>
      <c r="AN2214" s="17"/>
      <c r="AO2214" s="17" t="s">
        <v>2749</v>
      </c>
      <c r="AP2214" s="28" t="str">
        <f t="shared" si="650"/>
        <v>CancelCancel</v>
      </c>
      <c r="AQ2214" s="28" t="str">
        <f t="shared" si="651"/>
        <v>CancelCancelJPY</v>
      </c>
      <c r="AR2214" s="206" t="str">
        <f t="shared" si="652"/>
        <v>YAMAHA_Mounter</v>
      </c>
      <c r="AS2214" s="22" t="str">
        <f t="shared" si="653"/>
        <v/>
      </c>
      <c r="AT2214" s="24" t="str">
        <f t="shared" si="654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5"/>
        <v>7771400</v>
      </c>
      <c r="AA2215" s="13">
        <v>7.6100000000000001E-2</v>
      </c>
      <c r="AB2215" s="21">
        <f t="shared" si="639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1"/>
        <v>499582152.5142017</v>
      </c>
      <c r="AJ2215" s="19">
        <f t="shared" si="642"/>
        <v>59520528.679470733</v>
      </c>
      <c r="AK2215" s="20">
        <f t="shared" si="649"/>
        <v>0.11914062257814291</v>
      </c>
      <c r="AL2215" s="17"/>
      <c r="AM2215" s="17"/>
      <c r="AN2215" s="17"/>
      <c r="AO2215" s="17" t="s">
        <v>2750</v>
      </c>
      <c r="AP2215" s="28" t="str">
        <f t="shared" si="650"/>
        <v>CancelCancel</v>
      </c>
      <c r="AQ2215" s="28" t="str">
        <f t="shared" si="651"/>
        <v>CancelCancelJPY</v>
      </c>
      <c r="AR2215" s="206" t="str">
        <f t="shared" si="652"/>
        <v>YAMAHA_Mounter</v>
      </c>
      <c r="AS2215" s="22" t="str">
        <f t="shared" si="653"/>
        <v/>
      </c>
      <c r="AT2215" s="24" t="str">
        <f t="shared" si="654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5"/>
        <v>13760000</v>
      </c>
      <c r="AA2216" s="13">
        <v>7.3499999999999996E-2</v>
      </c>
      <c r="AB2216" s="21">
        <f t="shared" si="639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1"/>
        <v>26147030.909862842</v>
      </c>
      <c r="AJ2216" s="19">
        <f t="shared" si="642"/>
        <v>2743862.8630715334</v>
      </c>
      <c r="AK2216" s="20">
        <f t="shared" si="649"/>
        <v>0.10493974908778378</v>
      </c>
      <c r="AL2216" s="17"/>
      <c r="AM2216" s="17"/>
      <c r="AN2216" s="17"/>
      <c r="AO2216" s="17"/>
      <c r="AP2216" s="28" t="str">
        <f t="shared" si="650"/>
        <v>201911</v>
      </c>
      <c r="AQ2216" s="28" t="str">
        <f t="shared" si="651"/>
        <v>201911JPY</v>
      </c>
      <c r="AR2216" s="206" t="str">
        <f t="shared" si="652"/>
        <v>YAMAHA_Mounter</v>
      </c>
      <c r="AS2216" s="22">
        <f t="shared" si="653"/>
        <v>1</v>
      </c>
      <c r="AT2216" s="24" t="str">
        <f t="shared" si="654"/>
        <v>0-3 months</v>
      </c>
      <c r="AU2216" s="22" t="s">
        <v>3745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5"/>
        <v>8000000</v>
      </c>
      <c r="AA2217" s="13">
        <v>7.3499999999999996E-2</v>
      </c>
      <c r="AB2217" s="21">
        <f t="shared" si="639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1"/>
        <v>26147030.909862842</v>
      </c>
      <c r="AJ2217" s="19">
        <f t="shared" si="642"/>
        <v>2743862.8630715334</v>
      </c>
      <c r="AK2217" s="20">
        <f t="shared" si="649"/>
        <v>0.10493974908778378</v>
      </c>
      <c r="AL2217" s="17"/>
      <c r="AM2217" s="17"/>
      <c r="AN2217" s="17"/>
      <c r="AO2217" s="17"/>
      <c r="AP2217" s="28" t="str">
        <f t="shared" si="650"/>
        <v>201911</v>
      </c>
      <c r="AQ2217" s="28" t="str">
        <f t="shared" si="651"/>
        <v>201911JPY</v>
      </c>
      <c r="AR2217" s="206" t="str">
        <f t="shared" si="652"/>
        <v>YAMAHA_Mounter</v>
      </c>
      <c r="AS2217" s="22">
        <f t="shared" si="653"/>
        <v>1</v>
      </c>
      <c r="AT2217" s="24" t="str">
        <f t="shared" si="654"/>
        <v>0-3 months</v>
      </c>
      <c r="AU2217" s="22" t="s">
        <v>3745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5"/>
        <v>750000</v>
      </c>
      <c r="AA2218" s="13">
        <v>1.095</v>
      </c>
      <c r="AB2218" s="21">
        <f t="shared" si="639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1"/>
        <v>37599388.802345134</v>
      </c>
      <c r="AJ2218" s="19">
        <f t="shared" si="642"/>
        <v>4866784.3630338367</v>
      </c>
      <c r="AK2218" s="20">
        <f t="shared" si="649"/>
        <v>0.12943785838163113</v>
      </c>
      <c r="AL2218" s="17"/>
      <c r="AM2218" s="17"/>
      <c r="AN2218" s="17"/>
      <c r="AO2218" s="17"/>
      <c r="AP2218" s="28" t="str">
        <f t="shared" si="650"/>
        <v>20199</v>
      </c>
      <c r="AQ2218" s="28" t="str">
        <f t="shared" si="651"/>
        <v>20199RMB</v>
      </c>
      <c r="AR2218" s="206" t="str">
        <f t="shared" si="652"/>
        <v>YAMAHA_Mounter</v>
      </c>
      <c r="AS2218" s="22">
        <f t="shared" si="653"/>
        <v>1</v>
      </c>
      <c r="AT2218" s="24" t="str">
        <f t="shared" si="654"/>
        <v>0-3 months</v>
      </c>
      <c r="AU2218" s="22" t="s">
        <v>3744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5"/>
        <v>12000000</v>
      </c>
      <c r="AA2219" s="13">
        <v>7.3599999999999999E-2</v>
      </c>
      <c r="AB2219" s="21">
        <f t="shared" si="639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1"/>
        <v>33477255.428389374</v>
      </c>
      <c r="AJ2219" s="19">
        <f t="shared" si="642"/>
        <v>4578663.362915583</v>
      </c>
      <c r="AK2219" s="20">
        <f t="shared" si="649"/>
        <v>0.13676937682988152</v>
      </c>
      <c r="AL2219" s="17"/>
      <c r="AM2219" s="17"/>
      <c r="AN2219" s="17"/>
      <c r="AO2219" s="17"/>
      <c r="AP2219" s="28" t="str">
        <f t="shared" si="650"/>
        <v>20204</v>
      </c>
      <c r="AQ2219" s="28" t="str">
        <f t="shared" si="651"/>
        <v>20204JPY</v>
      </c>
      <c r="AR2219" s="206" t="str">
        <f t="shared" si="652"/>
        <v>YAMAHA_Mounter</v>
      </c>
      <c r="AS2219" s="22">
        <f t="shared" si="653"/>
        <v>0</v>
      </c>
      <c r="AT2219" s="24" t="str">
        <f t="shared" si="654"/>
        <v>0-3 months</v>
      </c>
      <c r="AU2219" s="22" t="s">
        <v>3745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5"/>
        <v>13200000</v>
      </c>
      <c r="AA2220" s="13">
        <v>7.2099999999999997E-2</v>
      </c>
      <c r="AB2220" s="21">
        <f t="shared" si="639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1"/>
        <v>54700260.692079648</v>
      </c>
      <c r="AJ2220" s="19">
        <f t="shared" si="642"/>
        <v>7482899.5749188727</v>
      </c>
      <c r="AK2220" s="20">
        <f t="shared" si="649"/>
        <v>0.13679824337660537</v>
      </c>
      <c r="AL2220" s="17"/>
      <c r="AM2220" s="17"/>
      <c r="AN2220" s="17"/>
      <c r="AO2220" s="17"/>
      <c r="AP2220" s="28" t="str">
        <f t="shared" si="650"/>
        <v>20216</v>
      </c>
      <c r="AQ2220" s="28" t="str">
        <f t="shared" si="651"/>
        <v>20216JPY</v>
      </c>
      <c r="AR2220" s="206" t="str">
        <f t="shared" si="652"/>
        <v>YAMAHA_Mounter</v>
      </c>
      <c r="AS2220" s="22">
        <f t="shared" si="653"/>
        <v>3</v>
      </c>
      <c r="AT2220" s="24" t="str">
        <f t="shared" si="654"/>
        <v>0-3 months</v>
      </c>
      <c r="AU2220" s="22" t="s">
        <v>3745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5"/>
        <v>8100000</v>
      </c>
      <c r="AA2221" s="13">
        <v>7.2400000000000006E-2</v>
      </c>
      <c r="AB2221" s="21">
        <f t="shared" si="639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1"/>
        <v>47458373.787610628</v>
      </c>
      <c r="AJ2221" s="19">
        <f t="shared" si="642"/>
        <v>7436880.1411522133</v>
      </c>
      <c r="AK2221" s="20">
        <f t="shared" si="649"/>
        <v>0.15670322321692506</v>
      </c>
      <c r="AL2221" s="17"/>
      <c r="AM2221" s="17"/>
      <c r="AN2221" s="17"/>
      <c r="AO2221" s="17"/>
      <c r="AP2221" s="28" t="str">
        <f t="shared" si="650"/>
        <v>20218</v>
      </c>
      <c r="AQ2221" s="28" t="str">
        <f t="shared" si="651"/>
        <v>20218JPY</v>
      </c>
      <c r="AR2221" s="206" t="str">
        <f t="shared" si="652"/>
        <v>YAMAHA_Mounter</v>
      </c>
      <c r="AS2221" s="22">
        <f t="shared" si="653"/>
        <v>4</v>
      </c>
      <c r="AT2221" s="24" t="str">
        <f t="shared" si="654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5"/>
        <v>13488000</v>
      </c>
      <c r="AA2222" s="13">
        <v>6.54E-2</v>
      </c>
      <c r="AB2222" s="21">
        <f t="shared" si="639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1"/>
        <v>46600814.041769907</v>
      </c>
      <c r="AJ2222" s="19">
        <f t="shared" si="642"/>
        <v>5956366.3435927071</v>
      </c>
      <c r="AK2222" s="20">
        <f t="shared" si="649"/>
        <v>0.1278167874546958</v>
      </c>
      <c r="AL2222" s="17"/>
      <c r="AM2222" s="17"/>
      <c r="AN2222" s="17"/>
      <c r="AO2222" s="17"/>
      <c r="AP2222" s="28" t="str">
        <f t="shared" si="650"/>
        <v>20224</v>
      </c>
      <c r="AQ2222" s="28" t="str">
        <f t="shared" si="651"/>
        <v>20224JPY</v>
      </c>
      <c r="AR2222" s="206" t="str">
        <f t="shared" si="652"/>
        <v>YAMAHA_Mounter</v>
      </c>
      <c r="AS2222" s="22">
        <f t="shared" si="653"/>
        <v>10</v>
      </c>
      <c r="AT2222" s="24" t="str">
        <f t="shared" si="654"/>
        <v>&gt; 6 months</v>
      </c>
      <c r="AU2222" s="22" t="s">
        <v>3745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5"/>
        <v>7900000</v>
      </c>
      <c r="AA2223" s="13">
        <v>6.54E-2</v>
      </c>
      <c r="AB2223" s="21">
        <f t="shared" si="639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1"/>
        <v>46600814.041769907</v>
      </c>
      <c r="AJ2223" s="19">
        <f t="shared" si="642"/>
        <v>5956366.3435927071</v>
      </c>
      <c r="AK2223" s="20">
        <f t="shared" si="649"/>
        <v>0.1278167874546958</v>
      </c>
      <c r="AL2223" s="17"/>
      <c r="AM2223" s="17"/>
      <c r="AN2223" s="17"/>
      <c r="AO2223" s="17"/>
      <c r="AP2223" s="28" t="str">
        <f t="shared" si="650"/>
        <v>20224</v>
      </c>
      <c r="AQ2223" s="28" t="str">
        <f t="shared" si="651"/>
        <v>20224JPY</v>
      </c>
      <c r="AR2223" s="206" t="str">
        <f t="shared" si="652"/>
        <v>YAMAHA_Mounter</v>
      </c>
      <c r="AS2223" s="22">
        <f t="shared" si="653"/>
        <v>10</v>
      </c>
      <c r="AT2223" s="24" t="str">
        <f t="shared" si="654"/>
        <v>&gt; 6 months</v>
      </c>
      <c r="AU2223" s="22" t="s">
        <v>3745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5"/>
        <v>7900000</v>
      </c>
      <c r="AA2224" s="13">
        <v>6.54E-2</v>
      </c>
      <c r="AB2224" s="21">
        <f t="shared" si="639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1"/>
        <v>46600814.041769907</v>
      </c>
      <c r="AJ2224" s="19">
        <f t="shared" si="642"/>
        <v>5956366.3435927071</v>
      </c>
      <c r="AK2224" s="20">
        <f t="shared" si="649"/>
        <v>0.1278167874546958</v>
      </c>
      <c r="AL2224" s="17"/>
      <c r="AM2224" s="17"/>
      <c r="AN2224" s="17"/>
      <c r="AO2224" s="17"/>
      <c r="AP2224" s="28" t="str">
        <f t="shared" si="650"/>
        <v>20224</v>
      </c>
      <c r="AQ2224" s="28" t="str">
        <f t="shared" si="651"/>
        <v>20224JPY</v>
      </c>
      <c r="AR2224" s="206" t="str">
        <f t="shared" si="652"/>
        <v>YAMAHA_Mounter</v>
      </c>
      <c r="AS2224" s="22">
        <f t="shared" si="653"/>
        <v>10</v>
      </c>
      <c r="AT2224" s="24" t="str">
        <f t="shared" si="654"/>
        <v>&gt; 6 months</v>
      </c>
      <c r="AU2224" s="22" t="s">
        <v>3745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5"/>
        <v>1250000</v>
      </c>
      <c r="AA2225" s="13">
        <v>1.095</v>
      </c>
      <c r="AB2225" s="21">
        <f t="shared" si="639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1"/>
        <v>35384300.169380538</v>
      </c>
      <c r="AJ2225" s="19">
        <f t="shared" si="642"/>
        <v>5044538.8896988509</v>
      </c>
      <c r="AK2225" s="20">
        <f t="shared" si="649"/>
        <v>0.14256432557804533</v>
      </c>
      <c r="AL2225" s="17"/>
      <c r="AM2225" s="17"/>
      <c r="AN2225" s="17"/>
      <c r="AO2225" s="17"/>
      <c r="AP2225" s="28" t="str">
        <f t="shared" si="650"/>
        <v>20207</v>
      </c>
      <c r="AQ2225" s="28" t="str">
        <f t="shared" si="651"/>
        <v>20207RMB</v>
      </c>
      <c r="AR2225" s="206" t="str">
        <f t="shared" si="652"/>
        <v>YAMAHA_Mounter</v>
      </c>
      <c r="AS2225" s="22">
        <f t="shared" si="653"/>
        <v>1</v>
      </c>
      <c r="AT2225" s="24" t="str">
        <f t="shared" si="654"/>
        <v>0-3 months</v>
      </c>
      <c r="AU2225" s="22" t="s">
        <v>3744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5"/>
        <v>1158250</v>
      </c>
      <c r="AA2226" s="13">
        <v>1.089</v>
      </c>
      <c r="AB2226" s="21">
        <f t="shared" si="639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1"/>
        <v>29183109.05575221</v>
      </c>
      <c r="AJ2226" s="19">
        <f t="shared" si="642"/>
        <v>3741266.5648721238</v>
      </c>
      <c r="AK2226" s="20">
        <f t="shared" si="649"/>
        <v>0.12819972531798121</v>
      </c>
      <c r="AL2226" s="17"/>
      <c r="AM2226" s="17"/>
      <c r="AN2226" s="17"/>
      <c r="AO2226" s="17"/>
      <c r="AP2226" s="28" t="str">
        <f t="shared" si="650"/>
        <v>20206</v>
      </c>
      <c r="AQ2226" s="28" t="str">
        <f t="shared" si="651"/>
        <v>20206RMB</v>
      </c>
      <c r="AR2226" s="206" t="str">
        <f t="shared" si="652"/>
        <v>YAMAHA_Mounter</v>
      </c>
      <c r="AS2226" s="22">
        <f t="shared" si="653"/>
        <v>2</v>
      </c>
      <c r="AT2226" s="24" t="str">
        <f t="shared" si="654"/>
        <v>0-3 months</v>
      </c>
      <c r="AU2226" s="22" t="s">
        <v>3744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5"/>
        <v>1158250</v>
      </c>
      <c r="AA2227" s="13">
        <v>1.089</v>
      </c>
      <c r="AB2227" s="21">
        <f t="shared" si="639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1"/>
        <v>29183109.05575221</v>
      </c>
      <c r="AJ2227" s="19">
        <f t="shared" si="642"/>
        <v>3741266.5648721238</v>
      </c>
      <c r="AK2227" s="20">
        <f t="shared" si="649"/>
        <v>0.12819972531798121</v>
      </c>
      <c r="AL2227" s="17"/>
      <c r="AM2227" s="17"/>
      <c r="AN2227" s="17"/>
      <c r="AO2227" s="17"/>
      <c r="AP2227" s="28" t="str">
        <f t="shared" si="650"/>
        <v>20206</v>
      </c>
      <c r="AQ2227" s="28" t="str">
        <f t="shared" si="651"/>
        <v>20206RMB</v>
      </c>
      <c r="AR2227" s="206" t="str">
        <f t="shared" si="652"/>
        <v>YAMAHA_Mounter</v>
      </c>
      <c r="AS2227" s="22">
        <f t="shared" si="653"/>
        <v>2</v>
      </c>
      <c r="AT2227" s="24" t="str">
        <f t="shared" si="654"/>
        <v>0-3 months</v>
      </c>
      <c r="AU2227" s="22" t="s">
        <v>3744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5"/>
        <v>1158250</v>
      </c>
      <c r="AA2228" s="13">
        <v>1.089</v>
      </c>
      <c r="AB2228" s="21">
        <f t="shared" si="639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1"/>
        <v>29183109.05575221</v>
      </c>
      <c r="AJ2228" s="19">
        <f t="shared" si="642"/>
        <v>3741266.5648721238</v>
      </c>
      <c r="AK2228" s="20">
        <f t="shared" si="649"/>
        <v>0.12819972531798121</v>
      </c>
      <c r="AL2228" s="17"/>
      <c r="AM2228" s="17"/>
      <c r="AN2228" s="17"/>
      <c r="AO2228" s="17"/>
      <c r="AP2228" s="28" t="str">
        <f t="shared" si="650"/>
        <v>20206</v>
      </c>
      <c r="AQ2228" s="28" t="str">
        <f t="shared" si="651"/>
        <v>20206RMB</v>
      </c>
      <c r="AR2228" s="206" t="str">
        <f t="shared" si="652"/>
        <v>YAMAHA_Mounter</v>
      </c>
      <c r="AS2228" s="22">
        <f t="shared" si="653"/>
        <v>2</v>
      </c>
      <c r="AT2228" s="24" t="str">
        <f t="shared" si="654"/>
        <v>0-3 months</v>
      </c>
      <c r="AU2228" s="22" t="s">
        <v>3744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5"/>
        <v>1250000</v>
      </c>
      <c r="AA2229" s="13">
        <v>1.1299999999999999</v>
      </c>
      <c r="AB2229" s="21">
        <f t="shared" si="639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1"/>
        <v>47907808.356810622</v>
      </c>
      <c r="AJ2229" s="19">
        <f t="shared" si="642"/>
        <v>6027384.8806384448</v>
      </c>
      <c r="AK2229" s="20">
        <f t="shared" si="649"/>
        <v>0.12581216063459488</v>
      </c>
      <c r="AL2229" s="17"/>
      <c r="AM2229" s="17"/>
      <c r="AN2229" s="17"/>
      <c r="AO2229" s="17"/>
      <c r="AP2229" s="28" t="str">
        <f t="shared" si="650"/>
        <v>20209</v>
      </c>
      <c r="AQ2229" s="28" t="str">
        <f t="shared" si="651"/>
        <v>20209RMB</v>
      </c>
      <c r="AR2229" s="206" t="str">
        <f t="shared" si="652"/>
        <v>YAMAHA_Mounter</v>
      </c>
      <c r="AS2229" s="22">
        <f t="shared" si="653"/>
        <v>1</v>
      </c>
      <c r="AT2229" s="24" t="str">
        <f t="shared" si="654"/>
        <v>0-3 months</v>
      </c>
      <c r="AU2229" s="22" t="s">
        <v>3744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5"/>
        <v>1250000</v>
      </c>
      <c r="AA2230" s="13">
        <v>1.1299999999999999</v>
      </c>
      <c r="AB2230" s="21">
        <f t="shared" ref="AB2230:AB2251" si="657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1"/>
        <v>47907808.356810622</v>
      </c>
      <c r="AJ2230" s="19">
        <f t="shared" si="642"/>
        <v>6027384.8806384448</v>
      </c>
      <c r="AK2230" s="20">
        <f t="shared" si="649"/>
        <v>0.12581216063459488</v>
      </c>
      <c r="AL2230" s="17"/>
      <c r="AM2230" s="17"/>
      <c r="AN2230" s="17"/>
      <c r="AO2230" s="17"/>
      <c r="AP2230" s="28" t="str">
        <f t="shared" si="650"/>
        <v>20209</v>
      </c>
      <c r="AQ2230" s="28" t="str">
        <f t="shared" si="651"/>
        <v>20209RMB</v>
      </c>
      <c r="AR2230" s="206" t="str">
        <f t="shared" si="652"/>
        <v>YAMAHA_Mounter</v>
      </c>
      <c r="AS2230" s="22">
        <f t="shared" si="653"/>
        <v>1</v>
      </c>
      <c r="AT2230" s="24" t="str">
        <f t="shared" si="654"/>
        <v>0-3 months</v>
      </c>
      <c r="AU2230" s="22" t="s">
        <v>3744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5"/>
        <v>600000</v>
      </c>
      <c r="AA2231" s="13">
        <v>1.1299999999999999</v>
      </c>
      <c r="AB2231" s="21">
        <f t="shared" si="657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1"/>
        <v>47907808.356810622</v>
      </c>
      <c r="AJ2231" s="19">
        <f t="shared" si="642"/>
        <v>6027384.8806384448</v>
      </c>
      <c r="AK2231" s="20">
        <f t="shared" si="649"/>
        <v>0.12581216063459488</v>
      </c>
      <c r="AL2231" s="17"/>
      <c r="AM2231" s="17"/>
      <c r="AN2231" s="17"/>
      <c r="AO2231" s="17"/>
      <c r="AP2231" s="28" t="str">
        <f t="shared" si="650"/>
        <v>20209</v>
      </c>
      <c r="AQ2231" s="28" t="str">
        <f t="shared" si="651"/>
        <v>20209RMB</v>
      </c>
      <c r="AR2231" s="206" t="str">
        <f t="shared" si="652"/>
        <v>YAMAHA_Mounter</v>
      </c>
      <c r="AS2231" s="22">
        <f t="shared" si="653"/>
        <v>1</v>
      </c>
      <c r="AT2231" s="24" t="str">
        <f t="shared" si="654"/>
        <v>0-3 months</v>
      </c>
      <c r="AU2231" s="22" t="s">
        <v>3744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58">IF(W2232="RMB","1.13", "1")</f>
        <v>1.13</v>
      </c>
      <c r="Z2232" s="18">
        <f t="shared" si="655"/>
        <v>1210000</v>
      </c>
      <c r="AA2232" s="13">
        <v>1.2150000000000001</v>
      </c>
      <c r="AB2232" s="21">
        <f t="shared" si="657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1"/>
        <v>54700260.692079648</v>
      </c>
      <c r="AJ2232" s="19">
        <f t="shared" si="642"/>
        <v>7482899.5749188727</v>
      </c>
      <c r="AK2232" s="20">
        <f t="shared" si="649"/>
        <v>0.13679824337660537</v>
      </c>
      <c r="AL2232" s="17"/>
      <c r="AM2232" s="17"/>
      <c r="AN2232" s="17"/>
      <c r="AO2232" s="17"/>
      <c r="AP2232" s="28" t="str">
        <f t="shared" si="650"/>
        <v>20216</v>
      </c>
      <c r="AQ2232" s="28" t="str">
        <f t="shared" si="651"/>
        <v>20216RMB</v>
      </c>
      <c r="AR2232" s="206" t="str">
        <f t="shared" si="652"/>
        <v>YAMAHA_Mounter</v>
      </c>
      <c r="AS2232" s="22">
        <f t="shared" si="653"/>
        <v>3</v>
      </c>
      <c r="AT2232" s="24" t="str">
        <f t="shared" si="654"/>
        <v>0-3 months</v>
      </c>
      <c r="AU2232" s="22" t="s">
        <v>3751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58"/>
        <v>1.13</v>
      </c>
      <c r="Z2233" s="18">
        <f t="shared" si="655"/>
        <v>1210000</v>
      </c>
      <c r="AA2233" s="13">
        <v>1.2150000000000001</v>
      </c>
      <c r="AB2233" s="21">
        <f t="shared" si="657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1"/>
        <v>54700260.692079648</v>
      </c>
      <c r="AJ2233" s="19">
        <f t="shared" si="642"/>
        <v>7482899.5749188727</v>
      </c>
      <c r="AK2233" s="20">
        <f t="shared" si="649"/>
        <v>0.13679824337660537</v>
      </c>
      <c r="AL2233" s="17"/>
      <c r="AM2233" s="17"/>
      <c r="AN2233" s="17"/>
      <c r="AO2233" s="17"/>
      <c r="AP2233" s="28" t="str">
        <f t="shared" si="650"/>
        <v>20216</v>
      </c>
      <c r="AQ2233" s="28" t="str">
        <f t="shared" si="651"/>
        <v>20216RMB</v>
      </c>
      <c r="AR2233" s="206" t="str">
        <f t="shared" si="652"/>
        <v>YAMAHA_Mounter</v>
      </c>
      <c r="AS2233" s="22">
        <f t="shared" si="653"/>
        <v>3</v>
      </c>
      <c r="AT2233" s="24" t="str">
        <f t="shared" si="654"/>
        <v>0-3 months</v>
      </c>
      <c r="AU2233" s="22" t="s">
        <v>3751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58"/>
        <v>1.13</v>
      </c>
      <c r="Z2234" s="18">
        <f t="shared" si="655"/>
        <v>447500</v>
      </c>
      <c r="AA2234" s="13">
        <v>1.1399999999999999</v>
      </c>
      <c r="AB2234" s="21">
        <f t="shared" si="657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1"/>
        <v>30573205.452778768</v>
      </c>
      <c r="AJ2234" s="19">
        <f t="shared" si="642"/>
        <v>3790930.1683151261</v>
      </c>
      <c r="AK2234" s="20">
        <f t="shared" si="649"/>
        <v>0.12399518179964254</v>
      </c>
      <c r="AL2234" s="17"/>
      <c r="AM2234" s="17"/>
      <c r="AN2234" s="17"/>
      <c r="AO2234" s="17"/>
      <c r="AP2234" s="28" t="str">
        <f t="shared" si="650"/>
        <v>20234</v>
      </c>
      <c r="AQ2234" s="28" t="str">
        <f t="shared" si="651"/>
        <v>20234RMB</v>
      </c>
      <c r="AR2234" s="206" t="str">
        <f t="shared" si="652"/>
        <v>YAMAHA_Mounter</v>
      </c>
      <c r="AS2234" s="22">
        <f t="shared" si="653"/>
        <v>4</v>
      </c>
      <c r="AT2234" s="24" t="str">
        <f t="shared" si="654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58"/>
        <v>1.13</v>
      </c>
      <c r="Z2235" s="18">
        <f t="shared" si="655"/>
        <v>447500</v>
      </c>
      <c r="AA2235" s="13">
        <v>1.1399999999999999</v>
      </c>
      <c r="AB2235" s="21">
        <f t="shared" si="657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1"/>
        <v>30573205.452778768</v>
      </c>
      <c r="AJ2235" s="19">
        <f t="shared" si="642"/>
        <v>3790930.1683151261</v>
      </c>
      <c r="AK2235" s="20">
        <f t="shared" si="649"/>
        <v>0.12399518179964254</v>
      </c>
      <c r="AL2235" s="17"/>
      <c r="AM2235" s="17"/>
      <c r="AN2235" s="17"/>
      <c r="AO2235" s="17"/>
      <c r="AP2235" s="28" t="str">
        <f t="shared" si="650"/>
        <v>20234</v>
      </c>
      <c r="AQ2235" s="28" t="str">
        <f t="shared" si="651"/>
        <v>20234RMB</v>
      </c>
      <c r="AR2235" s="206" t="str">
        <f t="shared" si="652"/>
        <v>YAMAHA_Mounter</v>
      </c>
      <c r="AS2235" s="22">
        <f t="shared" si="653"/>
        <v>4</v>
      </c>
      <c r="AT2235" s="24" t="str">
        <f t="shared" si="654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58"/>
        <v>1.13</v>
      </c>
      <c r="Z2236" s="18">
        <f t="shared" si="655"/>
        <v>447500</v>
      </c>
      <c r="AA2236" s="13">
        <v>1.1399999999999999</v>
      </c>
      <c r="AB2236" s="21">
        <f t="shared" si="657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1"/>
        <v>30573205.452778768</v>
      </c>
      <c r="AJ2236" s="19">
        <f t="shared" si="642"/>
        <v>3790930.1683151261</v>
      </c>
      <c r="AK2236" s="20">
        <f t="shared" si="649"/>
        <v>0.12399518179964254</v>
      </c>
      <c r="AL2236" s="17"/>
      <c r="AM2236" s="17"/>
      <c r="AN2236" s="17"/>
      <c r="AO2236" s="17"/>
      <c r="AP2236" s="28" t="str">
        <f t="shared" si="650"/>
        <v>20234</v>
      </c>
      <c r="AQ2236" s="28" t="str">
        <f t="shared" si="651"/>
        <v>20234RMB</v>
      </c>
      <c r="AR2236" s="206" t="str">
        <f t="shared" si="652"/>
        <v>YAMAHA_Mounter</v>
      </c>
      <c r="AS2236" s="22">
        <f t="shared" si="653"/>
        <v>4</v>
      </c>
      <c r="AT2236" s="24" t="str">
        <f t="shared" si="654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58"/>
        <v>1.13</v>
      </c>
      <c r="Z2237" s="18">
        <f t="shared" si="655"/>
        <v>447500</v>
      </c>
      <c r="AA2237" s="13">
        <v>1.1399999999999999</v>
      </c>
      <c r="AB2237" s="21">
        <f t="shared" si="657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1"/>
        <v>30573205.452778768</v>
      </c>
      <c r="AJ2237" s="19">
        <f t="shared" si="642"/>
        <v>3790930.1683151261</v>
      </c>
      <c r="AK2237" s="20">
        <f t="shared" si="649"/>
        <v>0.12399518179964254</v>
      </c>
      <c r="AL2237" s="17"/>
      <c r="AM2237" s="17"/>
      <c r="AN2237" s="17"/>
      <c r="AO2237" s="17"/>
      <c r="AP2237" s="28" t="str">
        <f t="shared" si="650"/>
        <v>20234</v>
      </c>
      <c r="AQ2237" s="28" t="str">
        <f t="shared" si="651"/>
        <v>20234RMB</v>
      </c>
      <c r="AR2237" s="206" t="str">
        <f t="shared" si="652"/>
        <v>YAMAHA_Mounter</v>
      </c>
      <c r="AS2237" s="22">
        <f t="shared" si="653"/>
        <v>4</v>
      </c>
      <c r="AT2237" s="24" t="str">
        <f t="shared" si="654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58"/>
        <v>1.13</v>
      </c>
      <c r="Z2238" s="18">
        <f t="shared" si="655"/>
        <v>447500</v>
      </c>
      <c r="AA2238" s="13">
        <v>1.1399999999999999</v>
      </c>
      <c r="AB2238" s="21">
        <f t="shared" si="657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1"/>
        <v>30573205.452778768</v>
      </c>
      <c r="AJ2238" s="19">
        <f t="shared" si="642"/>
        <v>3790930.1683151261</v>
      </c>
      <c r="AK2238" s="20">
        <f t="shared" si="649"/>
        <v>0.12399518179964254</v>
      </c>
      <c r="AL2238" s="17"/>
      <c r="AM2238" s="17"/>
      <c r="AN2238" s="17"/>
      <c r="AO2238" s="17"/>
      <c r="AP2238" s="28" t="str">
        <f t="shared" si="650"/>
        <v>20234</v>
      </c>
      <c r="AQ2238" s="28" t="str">
        <f t="shared" si="651"/>
        <v>20234RMB</v>
      </c>
      <c r="AR2238" s="206" t="str">
        <f t="shared" si="652"/>
        <v>YAMAHA_Mounter</v>
      </c>
      <c r="AS2238" s="22">
        <f t="shared" si="653"/>
        <v>4</v>
      </c>
      <c r="AT2238" s="24" t="str">
        <f t="shared" si="654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58"/>
        <v>1.13</v>
      </c>
      <c r="Z2239" s="18">
        <f t="shared" si="655"/>
        <v>447500</v>
      </c>
      <c r="AA2239" s="13">
        <v>1.1399999999999999</v>
      </c>
      <c r="AB2239" s="21">
        <f t="shared" si="657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1"/>
        <v>30573205.452778768</v>
      </c>
      <c r="AJ2239" s="19">
        <f t="shared" si="642"/>
        <v>3790930.1683151261</v>
      </c>
      <c r="AK2239" s="20">
        <f t="shared" si="649"/>
        <v>0.12399518179964254</v>
      </c>
      <c r="AL2239" s="17"/>
      <c r="AM2239" s="17"/>
      <c r="AN2239" s="17"/>
      <c r="AO2239" s="17"/>
      <c r="AP2239" s="28" t="str">
        <f t="shared" si="650"/>
        <v>20234</v>
      </c>
      <c r="AQ2239" s="28" t="str">
        <f t="shared" si="651"/>
        <v>20234RMB</v>
      </c>
      <c r="AR2239" s="206" t="str">
        <f t="shared" si="652"/>
        <v>YAMAHA_Mounter</v>
      </c>
      <c r="AS2239" s="22">
        <f t="shared" si="653"/>
        <v>4</v>
      </c>
      <c r="AT2239" s="24" t="str">
        <f t="shared" si="654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58"/>
        <v>1.13</v>
      </c>
      <c r="Z2240" s="18">
        <f t="shared" si="655"/>
        <v>431000</v>
      </c>
      <c r="AA2240" s="13">
        <v>1.089</v>
      </c>
      <c r="AB2240" s="21">
        <f t="shared" si="657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1"/>
        <v>29183109.05575221</v>
      </c>
      <c r="AJ2240" s="19">
        <f t="shared" si="642"/>
        <v>3741266.5648721238</v>
      </c>
      <c r="AK2240" s="20">
        <f t="shared" si="649"/>
        <v>0.12819972531798121</v>
      </c>
      <c r="AL2240" s="17"/>
      <c r="AM2240" s="17"/>
      <c r="AN2240" s="17"/>
      <c r="AO2240" s="17"/>
      <c r="AP2240" s="28" t="str">
        <f t="shared" si="650"/>
        <v>20206</v>
      </c>
      <c r="AQ2240" s="28" t="str">
        <f t="shared" si="651"/>
        <v>20206RMB</v>
      </c>
      <c r="AR2240" s="206" t="str">
        <f t="shared" si="652"/>
        <v>YAMAHA_Non_Mounter</v>
      </c>
      <c r="AS2240" s="22">
        <f t="shared" si="653"/>
        <v>2</v>
      </c>
      <c r="AT2240" s="24" t="str">
        <f t="shared" si="654"/>
        <v>0-3 months</v>
      </c>
      <c r="AU2240" s="22" t="s">
        <v>3744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58"/>
        <v>1.13</v>
      </c>
      <c r="Z2241" s="18">
        <f t="shared" si="655"/>
        <v>407100</v>
      </c>
      <c r="AA2241" s="13">
        <v>1.089</v>
      </c>
      <c r="AB2241" s="21">
        <f t="shared" si="657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1"/>
        <v>29183109.05575221</v>
      </c>
      <c r="AJ2241" s="19">
        <f t="shared" si="642"/>
        <v>3741266.5648721238</v>
      </c>
      <c r="AK2241" s="20">
        <f t="shared" si="649"/>
        <v>0.12819972531798121</v>
      </c>
      <c r="AL2241" s="17"/>
      <c r="AM2241" s="17"/>
      <c r="AN2241" s="17"/>
      <c r="AO2241" s="17"/>
      <c r="AP2241" s="28" t="str">
        <f t="shared" si="650"/>
        <v>20206</v>
      </c>
      <c r="AQ2241" s="28" t="str">
        <f t="shared" si="651"/>
        <v>20206RMB</v>
      </c>
      <c r="AR2241" s="206" t="str">
        <f t="shared" si="652"/>
        <v>PEMTRON</v>
      </c>
      <c r="AS2241" s="22">
        <f t="shared" si="653"/>
        <v>2</v>
      </c>
      <c r="AT2241" s="24" t="str">
        <f t="shared" si="654"/>
        <v>0-3 months</v>
      </c>
      <c r="AU2241" s="22" t="s">
        <v>3744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58"/>
        <v>1.13</v>
      </c>
      <c r="Z2242" s="18">
        <f t="shared" si="655"/>
        <v>505600</v>
      </c>
      <c r="AA2242" s="13">
        <v>1.095</v>
      </c>
      <c r="AB2242" s="21">
        <f t="shared" si="657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59">IF(P2242="C66 SERVICE","",SUMIFS(AB:AB,F:F,F2242,G:G,G2242,E:E,E2242))</f>
        <v>28065694.408805311</v>
      </c>
      <c r="AJ2242" s="19">
        <f t="shared" ref="AJ2242:AJ2305" si="660">IF(P2242="C66 SERVICE","",SUMIFS(AC:AC,F:F,F2242,G:G,G2242,E:E,E2242))</f>
        <v>4157433.2906989697</v>
      </c>
      <c r="AK2242" s="20">
        <f t="shared" si="649"/>
        <v>0.14813220831602228</v>
      </c>
      <c r="AL2242" s="17"/>
      <c r="AM2242" s="17"/>
      <c r="AN2242" s="17"/>
      <c r="AO2242" s="17"/>
      <c r="AP2242" s="28" t="str">
        <f t="shared" si="650"/>
        <v>20205</v>
      </c>
      <c r="AQ2242" s="28" t="str">
        <f t="shared" si="651"/>
        <v>20205RMB</v>
      </c>
      <c r="AR2242" s="206" t="str">
        <f t="shared" si="652"/>
        <v>HELLER</v>
      </c>
      <c r="AS2242" s="22">
        <f t="shared" si="653"/>
        <v>1</v>
      </c>
      <c r="AT2242" s="24" t="str">
        <f t="shared" si="654"/>
        <v>0-3 months</v>
      </c>
      <c r="AU2242" s="22" t="s">
        <v>3744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58"/>
        <v>1.13</v>
      </c>
      <c r="Z2243" s="18">
        <f t="shared" si="655"/>
        <v>462900</v>
      </c>
      <c r="AA2243" s="13">
        <v>1.135</v>
      </c>
      <c r="AB2243" s="21">
        <f t="shared" si="657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59"/>
        <v>28011162.254106201</v>
      </c>
      <c r="AJ2243" s="19">
        <f t="shared" si="660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6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  <c r="AU2243" s="22" t="s">
        <v>3744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58"/>
        <v>1.13</v>
      </c>
      <c r="Z2244" s="18">
        <f t="shared" si="655"/>
        <v>503780</v>
      </c>
      <c r="AA2244" s="13">
        <v>1.1299999999999999</v>
      </c>
      <c r="AB2244" s="21">
        <f t="shared" si="657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59"/>
        <v>47907808.356810622</v>
      </c>
      <c r="AJ2244" s="19">
        <f t="shared" si="660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6" t="str">
        <f t="shared" si="652"/>
        <v>HELLER</v>
      </c>
      <c r="AS2244" s="22">
        <f t="shared" si="653"/>
        <v>1</v>
      </c>
      <c r="AT2244" s="24" t="str">
        <f t="shared" si="654"/>
        <v>0-3 months</v>
      </c>
      <c r="AU2244" s="22" t="s">
        <v>3744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58"/>
        <v>1.13</v>
      </c>
      <c r="Z2245" s="18">
        <f t="shared" si="655"/>
        <v>472375</v>
      </c>
      <c r="AA2245" s="13">
        <v>1.2</v>
      </c>
      <c r="AB2245" s="21">
        <f t="shared" si="657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59"/>
        <v>41443303.53761062</v>
      </c>
      <c r="AJ2245" s="19">
        <f t="shared" si="660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6" t="str">
        <f t="shared" si="652"/>
        <v>HELLER</v>
      </c>
      <c r="AS2245" s="22">
        <f t="shared" si="653"/>
        <v>2</v>
      </c>
      <c r="AT2245" s="24" t="str">
        <f t="shared" si="654"/>
        <v>0-3 months</v>
      </c>
      <c r="AU2245" s="22" t="s">
        <v>3744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5"/>
        <v>785000</v>
      </c>
      <c r="AA2246" s="22">
        <v>1.08</v>
      </c>
      <c r="AB2246" s="197">
        <f t="shared" si="657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si="659"/>
        <v>27308925.887079656</v>
      </c>
      <c r="AJ2246" s="200">
        <f t="shared" si="660"/>
        <v>3319273.860338124</v>
      </c>
      <c r="AK2246" s="201">
        <f t="shared" ref="AK2246:AK2309" si="668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69">IF(F2246="","",F2246&amp;G2246)</f>
        <v>20246</v>
      </c>
      <c r="AQ2246" s="28" t="str">
        <f t="shared" ref="AQ2246:AQ2309" si="670">IF(W2246="","",F2246&amp;G2246&amp;W2246)</f>
        <v>20246RMB</v>
      </c>
      <c r="AR2246" s="206" t="str">
        <f t="shared" ref="AR2246:AR2309" si="671">IFERROR(IF(AND(M2246="YAMAHA", R2246="C28"), "YAMAHA_Non_Mounter", IF(AND(M2246="YAMAHA", R2246="C49"), "YAMAHA_Mounter", M2246)),"")</f>
        <v>YAMAHA_Mounter</v>
      </c>
      <c r="AS2246" s="22">
        <f t="shared" ref="AS2246:AS2309" si="672">IFERROR(IF(OR(G2246="TBA", G2246=""), "", DATEDIF(DATE(B2246, C2246, 1), DATE(F2246, G2246, 1), "M")),"")</f>
        <v>1</v>
      </c>
      <c r="AT2246" s="24" t="str">
        <f t="shared" ref="AT2246:AT2309" si="673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5"/>
        <v>890000</v>
      </c>
      <c r="AA2247" s="22">
        <v>1.08</v>
      </c>
      <c r="AB2247" s="197">
        <f t="shared" si="657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59"/>
        <v>27308925.887079656</v>
      </c>
      <c r="AJ2247" s="200">
        <f t="shared" si="660"/>
        <v>3319273.860338124</v>
      </c>
      <c r="AK2247" s="201">
        <f t="shared" si="668"/>
        <v>0.12154538314919709</v>
      </c>
      <c r="AL2247" s="24"/>
      <c r="AM2247" s="24"/>
      <c r="AN2247" s="24"/>
      <c r="AO2247" s="24"/>
      <c r="AP2247" s="105" t="str">
        <f t="shared" si="669"/>
        <v>20246</v>
      </c>
      <c r="AQ2247" s="28" t="str">
        <f t="shared" si="670"/>
        <v>20246RMB</v>
      </c>
      <c r="AR2247" s="206" t="str">
        <f t="shared" si="671"/>
        <v>YAMAHA_Mounter</v>
      </c>
      <c r="AS2247" s="22">
        <f t="shared" si="672"/>
        <v>1</v>
      </c>
      <c r="AT2247" s="24" t="str">
        <f t="shared" si="673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5"/>
        <v>11500000</v>
      </c>
      <c r="AA2248" s="22">
        <v>5.0999999999999997E-2</v>
      </c>
      <c r="AB2248" s="21">
        <f t="shared" si="657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59"/>
        <v>27308925.887079656</v>
      </c>
      <c r="AJ2248" s="27">
        <f t="shared" si="660"/>
        <v>3319273.860338124</v>
      </c>
      <c r="AK2248" s="28">
        <f t="shared" si="668"/>
        <v>0.12154538314919709</v>
      </c>
      <c r="AL2248" s="24"/>
      <c r="AM2248" s="24"/>
      <c r="AN2248" s="24"/>
      <c r="AO2248" s="24"/>
      <c r="AP2248" s="28" t="str">
        <f t="shared" si="669"/>
        <v>20246</v>
      </c>
      <c r="AQ2248" s="28" t="str">
        <f t="shared" si="670"/>
        <v>20246JPY</v>
      </c>
      <c r="AR2248" s="206" t="str">
        <f t="shared" si="671"/>
        <v>YAMAHA_Mounter</v>
      </c>
      <c r="AS2248" s="22">
        <f t="shared" si="672"/>
        <v>2</v>
      </c>
      <c r="AT2248" s="24" t="str">
        <f t="shared" si="673"/>
        <v>0-3 months</v>
      </c>
      <c r="AU2248" s="22" t="s">
        <v>3745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5"/>
        <v>7000000</v>
      </c>
      <c r="AA2249" s="22">
        <v>5.0999999999999997E-2</v>
      </c>
      <c r="AB2249" s="21">
        <f t="shared" si="657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59"/>
        <v>27308925.887079656</v>
      </c>
      <c r="AJ2249" s="27">
        <f t="shared" si="660"/>
        <v>3319273.860338124</v>
      </c>
      <c r="AK2249" s="28">
        <f t="shared" si="668"/>
        <v>0.12154538314919709</v>
      </c>
      <c r="AL2249" s="24"/>
      <c r="AM2249" s="24"/>
      <c r="AN2249" s="24"/>
      <c r="AO2249" s="24"/>
      <c r="AP2249" s="28" t="str">
        <f t="shared" si="669"/>
        <v>20246</v>
      </c>
      <c r="AQ2249" s="28" t="str">
        <f t="shared" si="670"/>
        <v>20246JPY</v>
      </c>
      <c r="AR2249" s="206" t="str">
        <f t="shared" si="671"/>
        <v>YAMAHA_Mounter</v>
      </c>
      <c r="AS2249" s="22">
        <f t="shared" si="672"/>
        <v>2</v>
      </c>
      <c r="AT2249" s="24" t="str">
        <f t="shared" si="673"/>
        <v>0-3 months</v>
      </c>
      <c r="AU2249" s="22" t="s">
        <v>3745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4">IF(X2250="","",X2250*MAX(O2250,N2250))</f>
        <v>690000</v>
      </c>
      <c r="AA2250" s="22">
        <v>1.08</v>
      </c>
      <c r="AB2250" s="197">
        <f t="shared" si="657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59"/>
        <v>27308925.887079656</v>
      </c>
      <c r="AJ2250" s="200">
        <f t="shared" si="660"/>
        <v>3319273.860338124</v>
      </c>
      <c r="AK2250" s="201">
        <f t="shared" si="668"/>
        <v>0.12154538314919709</v>
      </c>
      <c r="AL2250" s="24"/>
      <c r="AM2250" s="24"/>
      <c r="AN2250" s="24"/>
      <c r="AO2250" s="24"/>
      <c r="AP2250" s="105" t="str">
        <f t="shared" si="669"/>
        <v>20246</v>
      </c>
      <c r="AQ2250" s="28" t="str">
        <f t="shared" si="670"/>
        <v>20246RMB</v>
      </c>
      <c r="AR2250" s="206" t="str">
        <f t="shared" si="671"/>
        <v>YAMAHA_Mounter</v>
      </c>
      <c r="AS2250" s="22">
        <f t="shared" si="672"/>
        <v>0</v>
      </c>
      <c r="AT2250" s="24" t="str">
        <f t="shared" si="673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4"/>
        <v>450000</v>
      </c>
      <c r="AA2251" s="22">
        <v>1.08</v>
      </c>
      <c r="AB2251" s="197">
        <f t="shared" si="657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59"/>
        <v>27308925.887079656</v>
      </c>
      <c r="AJ2251" s="200">
        <f t="shared" si="660"/>
        <v>3319273.860338124</v>
      </c>
      <c r="AK2251" s="201">
        <f t="shared" si="668"/>
        <v>0.12154538314919709</v>
      </c>
      <c r="AL2251" s="24"/>
      <c r="AM2251" s="24"/>
      <c r="AN2251" s="24"/>
      <c r="AO2251" s="24"/>
      <c r="AP2251" s="105" t="str">
        <f t="shared" si="669"/>
        <v>20246</v>
      </c>
      <c r="AQ2251" s="28" t="str">
        <f t="shared" si="670"/>
        <v>20246RMB</v>
      </c>
      <c r="AR2251" s="206" t="str">
        <f t="shared" si="671"/>
        <v>YAMAHA_Mounter</v>
      </c>
      <c r="AS2251" s="22">
        <f t="shared" si="672"/>
        <v>0</v>
      </c>
      <c r="AT2251" s="24" t="str">
        <f t="shared" si="673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4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59"/>
        <v>27308925.887079656</v>
      </c>
      <c r="AJ2252" s="200">
        <f t="shared" si="660"/>
        <v>3319273.860338124</v>
      </c>
      <c r="AK2252" s="201">
        <f t="shared" si="668"/>
        <v>0.12154538314919709</v>
      </c>
      <c r="AL2252" s="24"/>
      <c r="AM2252" s="24"/>
      <c r="AN2252" s="24"/>
      <c r="AO2252" s="24"/>
      <c r="AP2252" s="105" t="str">
        <f t="shared" si="669"/>
        <v>20246</v>
      </c>
      <c r="AQ2252" s="28" t="str">
        <f t="shared" si="670"/>
        <v/>
      </c>
      <c r="AR2252" s="206" t="str">
        <f t="shared" si="671"/>
        <v>C66 SERVICE</v>
      </c>
      <c r="AS2252" s="22" t="str">
        <f t="shared" si="672"/>
        <v/>
      </c>
      <c r="AT2252" s="24" t="str">
        <f t="shared" si="673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4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59"/>
        <v>27308925.887079656</v>
      </c>
      <c r="AJ2253" s="200">
        <f t="shared" si="660"/>
        <v>3319273.860338124</v>
      </c>
      <c r="AK2253" s="201">
        <f t="shared" si="668"/>
        <v>0.12154538314919709</v>
      </c>
      <c r="AL2253" s="24"/>
      <c r="AM2253" s="24"/>
      <c r="AN2253" s="24"/>
      <c r="AO2253" s="24"/>
      <c r="AP2253" s="105" t="str">
        <f t="shared" si="669"/>
        <v>20246</v>
      </c>
      <c r="AQ2253" s="28" t="str">
        <f t="shared" si="670"/>
        <v/>
      </c>
      <c r="AR2253" s="206" t="str">
        <f t="shared" si="671"/>
        <v>C66 SERVICE</v>
      </c>
      <c r="AS2253" s="22" t="str">
        <f t="shared" si="672"/>
        <v/>
      </c>
      <c r="AT2253" s="24" t="str">
        <f t="shared" si="673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6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7">IF(W2254="RMB","1.13", "1")</f>
        <v>1</v>
      </c>
      <c r="Z2254" s="18">
        <f t="shared" si="674"/>
        <v>7960000</v>
      </c>
      <c r="AA2254" s="13">
        <v>5.3100000000000001E-2</v>
      </c>
      <c r="AB2254" s="21">
        <f t="shared" ref="AB2254:AB2259" si="678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59"/>
        <v>21241742.157380536</v>
      </c>
      <c r="AJ2254" s="19">
        <f t="shared" si="660"/>
        <v>2987081.1613773629</v>
      </c>
      <c r="AK2254" s="20">
        <f t="shared" si="668"/>
        <v>0.14062317201884914</v>
      </c>
      <c r="AL2254" s="17"/>
      <c r="AM2254" s="17"/>
      <c r="AN2254" s="17"/>
      <c r="AO2254" s="17"/>
      <c r="AP2254" s="28" t="str">
        <f t="shared" si="669"/>
        <v>20243</v>
      </c>
      <c r="AQ2254" s="28" t="str">
        <f t="shared" si="670"/>
        <v>20243JPY</v>
      </c>
      <c r="AR2254" s="206" t="str">
        <f t="shared" si="671"/>
        <v>YAMAHA_Mounter</v>
      </c>
      <c r="AS2254" s="22">
        <f t="shared" si="672"/>
        <v>9</v>
      </c>
      <c r="AT2254" s="24" t="str">
        <f t="shared" si="673"/>
        <v>&gt; 6 months</v>
      </c>
      <c r="AU2254" s="22" t="s">
        <v>3745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6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7"/>
        <v>1</v>
      </c>
      <c r="Z2255" s="18">
        <f t="shared" si="674"/>
        <v>7960000</v>
      </c>
      <c r="AA2255" s="13">
        <v>5.3100000000000001E-2</v>
      </c>
      <c r="AB2255" s="21">
        <f t="shared" si="678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59"/>
        <v>21241742.157380536</v>
      </c>
      <c r="AJ2255" s="19">
        <f t="shared" si="660"/>
        <v>2987081.1613773629</v>
      </c>
      <c r="AK2255" s="20">
        <f t="shared" si="668"/>
        <v>0.14062317201884914</v>
      </c>
      <c r="AL2255" s="17"/>
      <c r="AM2255" s="17"/>
      <c r="AN2255" s="17"/>
      <c r="AO2255" s="17"/>
      <c r="AP2255" s="28" t="str">
        <f t="shared" si="669"/>
        <v>20243</v>
      </c>
      <c r="AQ2255" s="28" t="str">
        <f t="shared" si="670"/>
        <v>20243JPY</v>
      </c>
      <c r="AR2255" s="206" t="str">
        <f t="shared" si="671"/>
        <v>YAMAHA_Mounter</v>
      </c>
      <c r="AS2255" s="22">
        <f t="shared" si="672"/>
        <v>9</v>
      </c>
      <c r="AT2255" s="24" t="str">
        <f t="shared" si="673"/>
        <v>&gt; 6 months</v>
      </c>
      <c r="AU2255" s="22" t="s">
        <v>3745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6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7"/>
        <v>1</v>
      </c>
      <c r="Z2256" s="18">
        <f t="shared" si="674"/>
        <v>7960000</v>
      </c>
      <c r="AA2256" s="13">
        <v>5.3100000000000001E-2</v>
      </c>
      <c r="AB2256" s="21">
        <f t="shared" si="678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59"/>
        <v>21241742.157380536</v>
      </c>
      <c r="AJ2256" s="19">
        <f t="shared" si="660"/>
        <v>2987081.1613773629</v>
      </c>
      <c r="AK2256" s="20">
        <f t="shared" si="668"/>
        <v>0.14062317201884914</v>
      </c>
      <c r="AL2256" s="17"/>
      <c r="AM2256" s="17"/>
      <c r="AN2256" s="17"/>
      <c r="AO2256" s="17"/>
      <c r="AP2256" s="28" t="str">
        <f t="shared" si="669"/>
        <v>20243</v>
      </c>
      <c r="AQ2256" s="28" t="str">
        <f t="shared" si="670"/>
        <v>20243JPY</v>
      </c>
      <c r="AR2256" s="206" t="str">
        <f t="shared" si="671"/>
        <v>YAMAHA_Mounter</v>
      </c>
      <c r="AS2256" s="22">
        <f t="shared" si="672"/>
        <v>9</v>
      </c>
      <c r="AT2256" s="24" t="str">
        <f t="shared" si="673"/>
        <v>&gt; 6 months</v>
      </c>
      <c r="AU2256" s="22" t="s">
        <v>3745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6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7"/>
        <v>1</v>
      </c>
      <c r="Z2257" s="18">
        <f t="shared" si="674"/>
        <v>7960000</v>
      </c>
      <c r="AA2257" s="13">
        <v>5.3100000000000001E-2</v>
      </c>
      <c r="AB2257" s="21">
        <f t="shared" si="678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59"/>
        <v>21241742.157380536</v>
      </c>
      <c r="AJ2257" s="19">
        <f t="shared" si="660"/>
        <v>2987081.1613773629</v>
      </c>
      <c r="AK2257" s="20">
        <f t="shared" si="668"/>
        <v>0.14062317201884914</v>
      </c>
      <c r="AL2257" s="17"/>
      <c r="AM2257" s="17"/>
      <c r="AN2257" s="17"/>
      <c r="AO2257" s="17"/>
      <c r="AP2257" s="28" t="str">
        <f t="shared" si="669"/>
        <v>20243</v>
      </c>
      <c r="AQ2257" s="28" t="str">
        <f t="shared" si="670"/>
        <v>20243JPY</v>
      </c>
      <c r="AR2257" s="206" t="str">
        <f t="shared" si="671"/>
        <v>YAMAHA_Mounter</v>
      </c>
      <c r="AS2257" s="22">
        <f t="shared" si="672"/>
        <v>9</v>
      </c>
      <c r="AT2257" s="24" t="str">
        <f t="shared" si="673"/>
        <v>&gt; 6 months</v>
      </c>
      <c r="AU2257" s="22" t="s">
        <v>3745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6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7"/>
        <v>1</v>
      </c>
      <c r="Z2258" s="18">
        <f t="shared" si="674"/>
        <v>7960000</v>
      </c>
      <c r="AA2258" s="13">
        <v>5.3100000000000001E-2</v>
      </c>
      <c r="AB2258" s="21">
        <f t="shared" si="678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59"/>
        <v>21241742.157380536</v>
      </c>
      <c r="AJ2258" s="19">
        <f t="shared" si="660"/>
        <v>2987081.1613773629</v>
      </c>
      <c r="AK2258" s="20">
        <f t="shared" si="668"/>
        <v>0.14062317201884914</v>
      </c>
      <c r="AL2258" s="17"/>
      <c r="AM2258" s="17"/>
      <c r="AN2258" s="17"/>
      <c r="AO2258" s="17"/>
      <c r="AP2258" s="28" t="str">
        <f t="shared" si="669"/>
        <v>20243</v>
      </c>
      <c r="AQ2258" s="28" t="str">
        <f t="shared" si="670"/>
        <v>20243JPY</v>
      </c>
      <c r="AR2258" s="206" t="str">
        <f t="shared" si="671"/>
        <v>YAMAHA_Mounter</v>
      </c>
      <c r="AS2258" s="22">
        <f t="shared" si="672"/>
        <v>9</v>
      </c>
      <c r="AT2258" s="24" t="str">
        <f t="shared" si="673"/>
        <v>&gt; 6 months</v>
      </c>
      <c r="AU2258" s="22" t="s">
        <v>3745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6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7"/>
        <v>1</v>
      </c>
      <c r="Z2259" s="18">
        <f t="shared" si="674"/>
        <v>7960000</v>
      </c>
      <c r="AA2259" s="13">
        <v>5.3100000000000001E-2</v>
      </c>
      <c r="AB2259" s="21">
        <f t="shared" si="678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59"/>
        <v>21241742.157380536</v>
      </c>
      <c r="AJ2259" s="19">
        <f t="shared" si="660"/>
        <v>2987081.1613773629</v>
      </c>
      <c r="AK2259" s="20">
        <f t="shared" si="668"/>
        <v>0.14062317201884914</v>
      </c>
      <c r="AL2259" s="17"/>
      <c r="AM2259" s="17"/>
      <c r="AN2259" s="17"/>
      <c r="AO2259" s="17"/>
      <c r="AP2259" s="28" t="str">
        <f t="shared" si="669"/>
        <v>20243</v>
      </c>
      <c r="AQ2259" s="28" t="str">
        <f t="shared" si="670"/>
        <v>20243JPY</v>
      </c>
      <c r="AR2259" s="206" t="str">
        <f t="shared" si="671"/>
        <v>YAMAHA_Mounter</v>
      </c>
      <c r="AS2259" s="22">
        <f t="shared" si="672"/>
        <v>9</v>
      </c>
      <c r="AT2259" s="24" t="str">
        <f t="shared" si="673"/>
        <v>&gt; 6 months</v>
      </c>
      <c r="AU2259" s="22" t="s">
        <v>3745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4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59"/>
        <v>27308925.887079656</v>
      </c>
      <c r="AJ2260" s="200">
        <f t="shared" si="660"/>
        <v>3319273.860338124</v>
      </c>
      <c r="AK2260" s="201">
        <f t="shared" si="668"/>
        <v>0.12154538314919709</v>
      </c>
      <c r="AL2260" s="24"/>
      <c r="AM2260" s="24"/>
      <c r="AN2260" s="24"/>
      <c r="AO2260" s="24"/>
      <c r="AP2260" s="105" t="str">
        <f t="shared" si="669"/>
        <v>20246</v>
      </c>
      <c r="AQ2260" s="28" t="str">
        <f t="shared" si="670"/>
        <v/>
      </c>
      <c r="AR2260" s="206" t="str">
        <f t="shared" si="671"/>
        <v>C66 SERVICE</v>
      </c>
      <c r="AS2260" s="22" t="str">
        <f t="shared" si="672"/>
        <v/>
      </c>
      <c r="AT2260" s="24" t="str">
        <f t="shared" si="673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4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59"/>
        <v>27308925.887079656</v>
      </c>
      <c r="AJ2261" s="200">
        <f t="shared" si="660"/>
        <v>3319273.860338124</v>
      </c>
      <c r="AK2261" s="201">
        <f t="shared" si="668"/>
        <v>0.12154538314919709</v>
      </c>
      <c r="AL2261" s="24"/>
      <c r="AM2261" s="24"/>
      <c r="AN2261" s="24"/>
      <c r="AO2261" s="24"/>
      <c r="AP2261" s="105" t="str">
        <f t="shared" si="669"/>
        <v>20246</v>
      </c>
      <c r="AQ2261" s="28" t="str">
        <f t="shared" si="670"/>
        <v/>
      </c>
      <c r="AR2261" s="206" t="str">
        <f t="shared" si="671"/>
        <v>C66 SERVICE</v>
      </c>
      <c r="AS2261" s="22" t="str">
        <f t="shared" si="672"/>
        <v/>
      </c>
      <c r="AT2261" s="24" t="str">
        <f t="shared" si="673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1" t="s">
        <v>3392</v>
      </c>
      <c r="K2262" s="29" t="s">
        <v>501</v>
      </c>
      <c r="L2262" s="24" t="s">
        <v>3698</v>
      </c>
      <c r="M2262" s="22" t="s">
        <v>60</v>
      </c>
      <c r="N2262" s="22">
        <v>1</v>
      </c>
      <c r="O2262" s="22"/>
      <c r="P2262" s="33" t="str">
        <f t="shared" ref="P2262:P2325" si="679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4"/>
        <v>21300000</v>
      </c>
      <c r="AA2262" s="22">
        <v>4.9500000000000002E-2</v>
      </c>
      <c r="AB2262" s="21">
        <f t="shared" ref="AB2262:AB2325" si="680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59"/>
        <v>25458266.694690265</v>
      </c>
      <c r="AJ2262" s="27">
        <f t="shared" si="660"/>
        <v>4116526.778578762</v>
      </c>
      <c r="AK2262" s="28">
        <f t="shared" si="668"/>
        <v>0.16169705612508689</v>
      </c>
      <c r="AL2262" s="24"/>
      <c r="AM2262" s="24"/>
      <c r="AN2262" s="24"/>
      <c r="AO2262" s="24"/>
      <c r="AP2262" s="28" t="str">
        <f t="shared" si="669"/>
        <v>20247</v>
      </c>
      <c r="AQ2262" s="28" t="str">
        <f t="shared" si="670"/>
        <v>20247JPY</v>
      </c>
      <c r="AR2262" s="206" t="str">
        <f t="shared" si="671"/>
        <v>YAMAHA_Mounter</v>
      </c>
      <c r="AS2262" s="22">
        <f t="shared" si="672"/>
        <v>3</v>
      </c>
      <c r="AT2262" s="24" t="str">
        <f t="shared" si="673"/>
        <v>0-3 months</v>
      </c>
      <c r="AU2262" s="22" t="s">
        <v>3745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22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79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1">IF(W2263="RMB","1.13", "1")</f>
        <v>1.13</v>
      </c>
      <c r="Z2263" s="18">
        <f t="shared" si="674"/>
        <v>740000</v>
      </c>
      <c r="AA2263" s="22">
        <v>1.075</v>
      </c>
      <c r="AB2263" s="21">
        <f t="shared" si="680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59"/>
        <v>25458266.694690265</v>
      </c>
      <c r="AJ2263" s="19">
        <f t="shared" si="660"/>
        <v>4116526.778578762</v>
      </c>
      <c r="AK2263" s="20">
        <f t="shared" si="668"/>
        <v>0.16169705612508689</v>
      </c>
      <c r="AL2263" s="17"/>
      <c r="AM2263" s="17"/>
      <c r="AN2263" s="17"/>
      <c r="AO2263" s="17"/>
      <c r="AP2263" s="28" t="str">
        <f t="shared" si="669"/>
        <v>20247</v>
      </c>
      <c r="AQ2263" s="28" t="str">
        <f t="shared" si="670"/>
        <v>20247RMB</v>
      </c>
      <c r="AR2263" s="206" t="str">
        <f t="shared" si="671"/>
        <v>YAMAHA_Mounter</v>
      </c>
      <c r="AS2263" s="22">
        <f t="shared" si="672"/>
        <v>11</v>
      </c>
      <c r="AT2263" s="24" t="str">
        <f t="shared" si="673"/>
        <v>&gt; 6 months</v>
      </c>
      <c r="AU2263" s="22" t="s">
        <v>3751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79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1"/>
        <v>1</v>
      </c>
      <c r="Z2264" s="18">
        <f t="shared" si="674"/>
        <v>7587500</v>
      </c>
      <c r="AA2264" s="13">
        <v>7.4499999999999997E-2</v>
      </c>
      <c r="AB2264" s="21">
        <f t="shared" si="680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59"/>
        <v>57778307.282035396</v>
      </c>
      <c r="AJ2264" s="19">
        <f t="shared" si="660"/>
        <v>7259860.7225420559</v>
      </c>
      <c r="AK2264" s="20">
        <f t="shared" si="668"/>
        <v>0.12565028406083667</v>
      </c>
      <c r="AL2264" s="17"/>
      <c r="AM2264" s="17"/>
      <c r="AN2264" s="17"/>
      <c r="AO2264" s="17"/>
      <c r="AP2264" s="28" t="str">
        <f t="shared" si="669"/>
        <v>20213</v>
      </c>
      <c r="AQ2264" s="28" t="str">
        <f t="shared" si="670"/>
        <v>20213JPY</v>
      </c>
      <c r="AR2264" s="206" t="str">
        <f t="shared" si="671"/>
        <v>YAMAHA_Mounter</v>
      </c>
      <c r="AS2264" s="22">
        <f t="shared" si="672"/>
        <v>3</v>
      </c>
      <c r="AT2264" s="24" t="str">
        <f t="shared" si="673"/>
        <v>0-3 months</v>
      </c>
      <c r="AU2264" s="22" t="s">
        <v>3746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79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1"/>
        <v>1</v>
      </c>
      <c r="Z2265" s="18">
        <f t="shared" si="674"/>
        <v>7587500</v>
      </c>
      <c r="AA2265" s="13">
        <v>7.4499999999999997E-2</v>
      </c>
      <c r="AB2265" s="21">
        <f t="shared" si="680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59"/>
        <v>57778307.282035396</v>
      </c>
      <c r="AJ2265" s="19">
        <f t="shared" si="660"/>
        <v>7259860.7225420559</v>
      </c>
      <c r="AK2265" s="20">
        <f t="shared" si="668"/>
        <v>0.12565028406083667</v>
      </c>
      <c r="AL2265" s="17"/>
      <c r="AM2265" s="17"/>
      <c r="AN2265" s="17"/>
      <c r="AO2265" s="17"/>
      <c r="AP2265" s="28" t="str">
        <f t="shared" si="669"/>
        <v>20213</v>
      </c>
      <c r="AQ2265" s="28" t="str">
        <f t="shared" si="670"/>
        <v>20213JPY</v>
      </c>
      <c r="AR2265" s="206" t="str">
        <f t="shared" si="671"/>
        <v>YAMAHA_Mounter</v>
      </c>
      <c r="AS2265" s="22">
        <f t="shared" si="672"/>
        <v>3</v>
      </c>
      <c r="AT2265" s="24" t="str">
        <f t="shared" si="673"/>
        <v>0-3 months</v>
      </c>
      <c r="AU2265" s="22" t="s">
        <v>3746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79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1"/>
        <v>1</v>
      </c>
      <c r="Z2266" s="18">
        <f t="shared" si="674"/>
        <v>7587500</v>
      </c>
      <c r="AA2266" s="13">
        <v>7.4499999999999997E-2</v>
      </c>
      <c r="AB2266" s="21">
        <f t="shared" si="680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59"/>
        <v>57778307.282035396</v>
      </c>
      <c r="AJ2266" s="19">
        <f t="shared" si="660"/>
        <v>7259860.7225420559</v>
      </c>
      <c r="AK2266" s="20">
        <f t="shared" si="668"/>
        <v>0.12565028406083667</v>
      </c>
      <c r="AL2266" s="17"/>
      <c r="AM2266" s="17"/>
      <c r="AN2266" s="17"/>
      <c r="AO2266" s="17"/>
      <c r="AP2266" s="28" t="str">
        <f t="shared" si="669"/>
        <v>20213</v>
      </c>
      <c r="AQ2266" s="28" t="str">
        <f t="shared" si="670"/>
        <v>20213JPY</v>
      </c>
      <c r="AR2266" s="206" t="str">
        <f t="shared" si="671"/>
        <v>YAMAHA_Mounter</v>
      </c>
      <c r="AS2266" s="22">
        <f t="shared" si="672"/>
        <v>3</v>
      </c>
      <c r="AT2266" s="24" t="str">
        <f t="shared" si="673"/>
        <v>0-3 months</v>
      </c>
      <c r="AU2266" s="22" t="s">
        <v>3746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79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1"/>
        <v>1</v>
      </c>
      <c r="Z2267" s="18">
        <f t="shared" si="674"/>
        <v>7587500</v>
      </c>
      <c r="AA2267" s="13">
        <v>7.4499999999999997E-2</v>
      </c>
      <c r="AB2267" s="21">
        <f t="shared" si="680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59"/>
        <v>57778307.282035396</v>
      </c>
      <c r="AJ2267" s="19">
        <f t="shared" si="660"/>
        <v>7259860.7225420559</v>
      </c>
      <c r="AK2267" s="20">
        <f t="shared" si="668"/>
        <v>0.12565028406083667</v>
      </c>
      <c r="AL2267" s="17"/>
      <c r="AM2267" s="17"/>
      <c r="AN2267" s="17"/>
      <c r="AO2267" s="17"/>
      <c r="AP2267" s="28" t="str">
        <f t="shared" si="669"/>
        <v>20213</v>
      </c>
      <c r="AQ2267" s="28" t="str">
        <f t="shared" si="670"/>
        <v>20213JPY</v>
      </c>
      <c r="AR2267" s="206" t="str">
        <f t="shared" si="671"/>
        <v>YAMAHA_Mounter</v>
      </c>
      <c r="AS2267" s="22">
        <f t="shared" si="672"/>
        <v>3</v>
      </c>
      <c r="AT2267" s="24" t="str">
        <f t="shared" si="673"/>
        <v>0-3 months</v>
      </c>
      <c r="AU2267" s="22" t="s">
        <v>3746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79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1"/>
        <v>1</v>
      </c>
      <c r="Z2268" s="18">
        <f t="shared" si="674"/>
        <v>8100000</v>
      </c>
      <c r="AA2268" s="13">
        <v>6.2799999999999995E-2</v>
      </c>
      <c r="AB2268" s="21">
        <f t="shared" si="680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59"/>
        <v>44014086.982070789</v>
      </c>
      <c r="AJ2268" s="19">
        <f t="shared" si="660"/>
        <v>6419974.0221889298</v>
      </c>
      <c r="AK2268" s="20">
        <f t="shared" si="668"/>
        <v>0.14586180158193709</v>
      </c>
      <c r="AL2268" s="17"/>
      <c r="AM2268" s="17"/>
      <c r="AN2268" s="17"/>
      <c r="AO2268" s="17"/>
      <c r="AP2268" s="28" t="str">
        <f t="shared" si="669"/>
        <v>20225</v>
      </c>
      <c r="AQ2268" s="28" t="str">
        <f t="shared" si="670"/>
        <v>20225JPY</v>
      </c>
      <c r="AR2268" s="206" t="str">
        <f t="shared" si="671"/>
        <v>YAMAHA_Mounter</v>
      </c>
      <c r="AS2268" s="22">
        <f t="shared" si="672"/>
        <v>6</v>
      </c>
      <c r="AT2268" s="24" t="str">
        <f t="shared" si="673"/>
        <v>4-6 months</v>
      </c>
      <c r="AU2268" s="22" t="s">
        <v>3746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79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1"/>
        <v>1</v>
      </c>
      <c r="Z2269" s="18">
        <f t="shared" si="674"/>
        <v>8100000</v>
      </c>
      <c r="AA2269" s="13">
        <v>6.2799999999999995E-2</v>
      </c>
      <c r="AB2269" s="21">
        <f t="shared" si="680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59"/>
        <v>44014086.982070789</v>
      </c>
      <c r="AJ2269" s="19">
        <f t="shared" si="660"/>
        <v>6419974.0221889298</v>
      </c>
      <c r="AK2269" s="20">
        <f t="shared" si="668"/>
        <v>0.14586180158193709</v>
      </c>
      <c r="AL2269" s="17"/>
      <c r="AM2269" s="17"/>
      <c r="AN2269" s="17"/>
      <c r="AO2269" s="17"/>
      <c r="AP2269" s="28" t="str">
        <f t="shared" si="669"/>
        <v>20225</v>
      </c>
      <c r="AQ2269" s="28" t="str">
        <f t="shared" si="670"/>
        <v>20225JPY</v>
      </c>
      <c r="AR2269" s="206" t="str">
        <f t="shared" si="671"/>
        <v>YAMAHA_Mounter</v>
      </c>
      <c r="AS2269" s="22">
        <f t="shared" si="672"/>
        <v>6</v>
      </c>
      <c r="AT2269" s="24" t="str">
        <f t="shared" si="673"/>
        <v>4-6 months</v>
      </c>
      <c r="AU2269" s="22" t="s">
        <v>3746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79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4"/>
        <v>9100000</v>
      </c>
      <c r="AA2270" s="13">
        <v>7.5200000000000003E-2</v>
      </c>
      <c r="AB2270" s="21">
        <f t="shared" si="680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59"/>
        <v>499582152.5142017</v>
      </c>
      <c r="AJ2270" s="19">
        <f t="shared" si="660"/>
        <v>59520528.679470733</v>
      </c>
      <c r="AK2270" s="20">
        <f t="shared" si="668"/>
        <v>0.11914062257814291</v>
      </c>
      <c r="AL2270" s="17"/>
      <c r="AM2270" s="17"/>
      <c r="AN2270" s="17"/>
      <c r="AO2270" s="17"/>
      <c r="AP2270" s="28" t="str">
        <f t="shared" si="669"/>
        <v>CancelCancel</v>
      </c>
      <c r="AQ2270" s="28" t="str">
        <f t="shared" si="670"/>
        <v>CancelCancelJPY</v>
      </c>
      <c r="AR2270" s="206" t="str">
        <f t="shared" si="671"/>
        <v>YAMAHA_Mounter</v>
      </c>
      <c r="AS2270" s="22" t="str">
        <f t="shared" si="672"/>
        <v/>
      </c>
      <c r="AT2270" s="24" t="str">
        <f t="shared" si="673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79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4"/>
        <v>9100000</v>
      </c>
      <c r="AA2271" s="13">
        <v>7.5200000000000003E-2</v>
      </c>
      <c r="AB2271" s="21">
        <f t="shared" si="680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59"/>
        <v>499582152.5142017</v>
      </c>
      <c r="AJ2271" s="19">
        <f t="shared" si="660"/>
        <v>59520528.679470733</v>
      </c>
      <c r="AK2271" s="20">
        <f t="shared" si="668"/>
        <v>0.11914062257814291</v>
      </c>
      <c r="AL2271" s="17"/>
      <c r="AM2271" s="17"/>
      <c r="AN2271" s="17"/>
      <c r="AO2271" s="17"/>
      <c r="AP2271" s="28" t="str">
        <f t="shared" si="669"/>
        <v>CancelCancel</v>
      </c>
      <c r="AQ2271" s="28" t="str">
        <f t="shared" si="670"/>
        <v>CancelCancelJPY</v>
      </c>
      <c r="AR2271" s="206" t="str">
        <f t="shared" si="671"/>
        <v>YAMAHA_Mounter</v>
      </c>
      <c r="AS2271" s="22" t="str">
        <f t="shared" si="672"/>
        <v/>
      </c>
      <c r="AT2271" s="24" t="str">
        <f t="shared" si="673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79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4"/>
        <v>9100000</v>
      </c>
      <c r="AA2272" s="13">
        <v>7.5200000000000003E-2</v>
      </c>
      <c r="AB2272" s="21">
        <f t="shared" si="680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59"/>
        <v>499582152.5142017</v>
      </c>
      <c r="AJ2272" s="19">
        <f t="shared" si="660"/>
        <v>59520528.679470733</v>
      </c>
      <c r="AK2272" s="20">
        <f t="shared" si="668"/>
        <v>0.11914062257814291</v>
      </c>
      <c r="AL2272" s="17"/>
      <c r="AM2272" s="17"/>
      <c r="AN2272" s="17"/>
      <c r="AO2272" s="17"/>
      <c r="AP2272" s="28" t="str">
        <f t="shared" si="669"/>
        <v>CancelCancel</v>
      </c>
      <c r="AQ2272" s="28" t="str">
        <f t="shared" si="670"/>
        <v>CancelCancelJPY</v>
      </c>
      <c r="AR2272" s="206" t="str">
        <f t="shared" si="671"/>
        <v>YAMAHA_Mounter</v>
      </c>
      <c r="AS2272" s="22" t="str">
        <f t="shared" si="672"/>
        <v/>
      </c>
      <c r="AT2272" s="24" t="str">
        <f t="shared" si="673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79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4"/>
        <v>635000</v>
      </c>
      <c r="AA2273" s="22">
        <v>1.075</v>
      </c>
      <c r="AB2273" s="21">
        <f t="shared" si="680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59"/>
        <v>25458266.694690265</v>
      </c>
      <c r="AJ2273" s="27">
        <f t="shared" si="660"/>
        <v>4116526.778578762</v>
      </c>
      <c r="AK2273" s="28">
        <f t="shared" si="668"/>
        <v>0.16169705612508689</v>
      </c>
      <c r="AL2273" s="24"/>
      <c r="AM2273" s="24"/>
      <c r="AN2273" s="24"/>
      <c r="AO2273" s="24"/>
      <c r="AP2273" s="28" t="str">
        <f t="shared" si="669"/>
        <v>20247</v>
      </c>
      <c r="AQ2273" s="28" t="str">
        <f t="shared" si="670"/>
        <v>20247RMB</v>
      </c>
      <c r="AR2273" s="206" t="str">
        <f t="shared" si="671"/>
        <v>YAMAHA_Mounter</v>
      </c>
      <c r="AS2273" s="22">
        <f t="shared" si="672"/>
        <v>5</v>
      </c>
      <c r="AT2273" s="24" t="str">
        <f t="shared" si="673"/>
        <v>4-6 months</v>
      </c>
      <c r="AU2273" s="22" t="s">
        <v>3751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79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4"/>
        <v>12400000</v>
      </c>
      <c r="AA2274" s="13">
        <v>7.17E-2</v>
      </c>
      <c r="AB2274" s="21">
        <f t="shared" si="680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59"/>
        <v>41443303.53761062</v>
      </c>
      <c r="AJ2274" s="19">
        <f t="shared" si="660"/>
        <v>6194988.76643031</v>
      </c>
      <c r="AK2274" s="20">
        <f t="shared" si="668"/>
        <v>0.1494810557466355</v>
      </c>
      <c r="AL2274" s="17"/>
      <c r="AM2274" s="17"/>
      <c r="AN2274" s="17"/>
      <c r="AO2274" s="17"/>
      <c r="AP2274" s="28" t="str">
        <f t="shared" si="669"/>
        <v>20217</v>
      </c>
      <c r="AQ2274" s="28" t="str">
        <f t="shared" si="670"/>
        <v>20217JPY</v>
      </c>
      <c r="AR2274" s="206" t="str">
        <f t="shared" si="671"/>
        <v>YAMAHA_Mounter</v>
      </c>
      <c r="AS2274" s="22">
        <f t="shared" si="672"/>
        <v>4</v>
      </c>
      <c r="AT2274" s="24" t="str">
        <f t="shared" si="673"/>
        <v>4-6 months</v>
      </c>
      <c r="AU2274" s="22" t="s">
        <v>3745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79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4"/>
        <v>1031822</v>
      </c>
      <c r="AA2275" s="13">
        <v>1.095</v>
      </c>
      <c r="AB2275" s="21">
        <f t="shared" si="680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59"/>
        <v>28065694.408805311</v>
      </c>
      <c r="AJ2275" s="19">
        <f t="shared" si="660"/>
        <v>4157433.2906989697</v>
      </c>
      <c r="AK2275" s="20">
        <f t="shared" si="668"/>
        <v>0.14813220831602228</v>
      </c>
      <c r="AL2275" s="17"/>
      <c r="AM2275" s="17"/>
      <c r="AN2275" s="17"/>
      <c r="AO2275" s="17"/>
      <c r="AP2275" s="28" t="str">
        <f t="shared" si="669"/>
        <v>20205</v>
      </c>
      <c r="AQ2275" s="28" t="str">
        <f t="shared" si="670"/>
        <v>20205RMB</v>
      </c>
      <c r="AR2275" s="206" t="str">
        <f t="shared" si="671"/>
        <v>YAMAHA_Mounter</v>
      </c>
      <c r="AS2275" s="22">
        <f t="shared" si="672"/>
        <v>2</v>
      </c>
      <c r="AT2275" s="24" t="str">
        <f t="shared" si="673"/>
        <v>0-3 months</v>
      </c>
      <c r="AU2275" s="22" t="s">
        <v>3744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79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2">IF(W2276="","",IF(W2276="RMB","1.13", "1"))</f>
        <v>1.13</v>
      </c>
      <c r="Z2276" s="18">
        <f t="shared" si="674"/>
        <v>1075000</v>
      </c>
      <c r="AA2276" s="22">
        <v>1.075</v>
      </c>
      <c r="AB2276" s="21">
        <f t="shared" si="680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59"/>
        <v>25458266.694690265</v>
      </c>
      <c r="AJ2276" s="27">
        <f t="shared" si="660"/>
        <v>4116526.778578762</v>
      </c>
      <c r="AK2276" s="28">
        <f t="shared" si="668"/>
        <v>0.16169705612508689</v>
      </c>
      <c r="AL2276" s="24"/>
      <c r="AM2276" s="24"/>
      <c r="AN2276" s="24"/>
      <c r="AO2276" s="24"/>
      <c r="AP2276" s="28" t="str">
        <f t="shared" si="669"/>
        <v>20247</v>
      </c>
      <c r="AQ2276" s="28" t="str">
        <f t="shared" si="670"/>
        <v>20247RMB</v>
      </c>
      <c r="AR2276" s="206" t="str">
        <f t="shared" si="671"/>
        <v>YAMAHA_Mounter</v>
      </c>
      <c r="AS2276" s="22">
        <f t="shared" si="672"/>
        <v>3</v>
      </c>
      <c r="AT2276" s="24" t="str">
        <f t="shared" si="673"/>
        <v>0-3 months</v>
      </c>
      <c r="AU2276" s="22" t="s">
        <v>3751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79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2"/>
        <v>1.13</v>
      </c>
      <c r="Z2277" s="18">
        <f t="shared" si="674"/>
        <v>1075000</v>
      </c>
      <c r="AA2277" s="22">
        <v>1.075</v>
      </c>
      <c r="AB2277" s="21">
        <f t="shared" si="680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59"/>
        <v>25458266.694690265</v>
      </c>
      <c r="AJ2277" s="27">
        <f t="shared" si="660"/>
        <v>4116526.778578762</v>
      </c>
      <c r="AK2277" s="28">
        <f t="shared" si="668"/>
        <v>0.16169705612508689</v>
      </c>
      <c r="AL2277" s="24"/>
      <c r="AM2277" s="24"/>
      <c r="AN2277" s="24"/>
      <c r="AO2277" s="24"/>
      <c r="AP2277" s="28" t="str">
        <f t="shared" si="669"/>
        <v>20247</v>
      </c>
      <c r="AQ2277" s="28" t="str">
        <f t="shared" si="670"/>
        <v>20247RMB</v>
      </c>
      <c r="AR2277" s="206" t="str">
        <f t="shared" si="671"/>
        <v>YAMAHA_Mounter</v>
      </c>
      <c r="AS2277" s="22">
        <f t="shared" si="672"/>
        <v>3</v>
      </c>
      <c r="AT2277" s="24" t="str">
        <f t="shared" si="673"/>
        <v>0-3 months</v>
      </c>
      <c r="AU2277" s="22" t="s">
        <v>3751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79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2"/>
        <v>1.13</v>
      </c>
      <c r="Z2278" s="18">
        <f t="shared" si="674"/>
        <v>1075000</v>
      </c>
      <c r="AA2278" s="22">
        <v>1.075</v>
      </c>
      <c r="AB2278" s="21">
        <f t="shared" si="680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59"/>
        <v>25458266.694690265</v>
      </c>
      <c r="AJ2278" s="27">
        <f t="shared" si="660"/>
        <v>4116526.778578762</v>
      </c>
      <c r="AK2278" s="28">
        <f t="shared" si="668"/>
        <v>0.16169705612508689</v>
      </c>
      <c r="AL2278" s="24"/>
      <c r="AM2278" s="24"/>
      <c r="AN2278" s="24"/>
      <c r="AO2278" s="24"/>
      <c r="AP2278" s="28" t="str">
        <f t="shared" si="669"/>
        <v>20247</v>
      </c>
      <c r="AQ2278" s="28" t="str">
        <f t="shared" si="670"/>
        <v>20247RMB</v>
      </c>
      <c r="AR2278" s="206" t="str">
        <f t="shared" si="671"/>
        <v>YAMAHA_Mounter</v>
      </c>
      <c r="AS2278" s="22">
        <f t="shared" si="672"/>
        <v>3</v>
      </c>
      <c r="AT2278" s="24" t="str">
        <f t="shared" si="673"/>
        <v>0-3 months</v>
      </c>
      <c r="AU2278" s="22" t="s">
        <v>3751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79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2"/>
        <v>1.13</v>
      </c>
      <c r="Z2279" s="18">
        <f t="shared" si="674"/>
        <v>1075000</v>
      </c>
      <c r="AA2279" s="22">
        <v>1.075</v>
      </c>
      <c r="AB2279" s="21">
        <f t="shared" si="680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59"/>
        <v>25458266.694690265</v>
      </c>
      <c r="AJ2279" s="27">
        <f t="shared" si="660"/>
        <v>4116526.778578762</v>
      </c>
      <c r="AK2279" s="28">
        <f t="shared" si="668"/>
        <v>0.16169705612508689</v>
      </c>
      <c r="AL2279" s="24"/>
      <c r="AM2279" s="24"/>
      <c r="AN2279" s="24"/>
      <c r="AO2279" s="24"/>
      <c r="AP2279" s="28" t="str">
        <f t="shared" si="669"/>
        <v>20247</v>
      </c>
      <c r="AQ2279" s="28" t="str">
        <f t="shared" si="670"/>
        <v>20247RMB</v>
      </c>
      <c r="AR2279" s="206" t="str">
        <f t="shared" si="671"/>
        <v>YAMAHA_Mounter</v>
      </c>
      <c r="AS2279" s="22">
        <f t="shared" si="672"/>
        <v>3</v>
      </c>
      <c r="AT2279" s="24" t="str">
        <f t="shared" si="673"/>
        <v>0-3 months</v>
      </c>
      <c r="AU2279" s="22" t="s">
        <v>3751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79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5">
        <v>9403500</v>
      </c>
      <c r="Y2280" s="31" t="str">
        <f t="shared" si="682"/>
        <v>1</v>
      </c>
      <c r="Z2280" s="18">
        <f t="shared" si="674"/>
        <v>9403500</v>
      </c>
      <c r="AA2280" s="22">
        <v>4.9500000000000002E-2</v>
      </c>
      <c r="AB2280" s="21">
        <f t="shared" si="680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59"/>
        <v>25458266.694690265</v>
      </c>
      <c r="AJ2280" s="27">
        <f t="shared" si="660"/>
        <v>4116526.778578762</v>
      </c>
      <c r="AK2280" s="28">
        <f t="shared" si="668"/>
        <v>0.16169705612508689</v>
      </c>
      <c r="AL2280" s="24"/>
      <c r="AM2280" s="24"/>
      <c r="AN2280" s="24"/>
      <c r="AO2280" s="24"/>
      <c r="AP2280" s="28" t="str">
        <f t="shared" si="669"/>
        <v>20247</v>
      </c>
      <c r="AQ2280" s="28" t="str">
        <f t="shared" si="670"/>
        <v>20247JPY</v>
      </c>
      <c r="AR2280" s="206" t="str">
        <f t="shared" si="671"/>
        <v>YAMAHA_Mounter</v>
      </c>
      <c r="AS2280" s="22">
        <f t="shared" si="672"/>
        <v>3</v>
      </c>
      <c r="AT2280" s="24" t="str">
        <f t="shared" si="673"/>
        <v>0-3 months</v>
      </c>
      <c r="AU2280" s="22" t="s">
        <v>3745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79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5">
        <v>9403500</v>
      </c>
      <c r="Y2281" s="31" t="str">
        <f t="shared" si="682"/>
        <v>1</v>
      </c>
      <c r="Z2281" s="18">
        <f t="shared" si="674"/>
        <v>9403500</v>
      </c>
      <c r="AA2281" s="22">
        <v>4.9500000000000002E-2</v>
      </c>
      <c r="AB2281" s="21">
        <f t="shared" si="680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59"/>
        <v>25458266.694690265</v>
      </c>
      <c r="AJ2281" s="27">
        <f t="shared" si="660"/>
        <v>4116526.778578762</v>
      </c>
      <c r="AK2281" s="28">
        <f t="shared" si="668"/>
        <v>0.16169705612508689</v>
      </c>
      <c r="AL2281" s="24"/>
      <c r="AM2281" s="24"/>
      <c r="AN2281" s="24"/>
      <c r="AO2281" s="24"/>
      <c r="AP2281" s="28" t="str">
        <f t="shared" si="669"/>
        <v>20247</v>
      </c>
      <c r="AQ2281" s="28" t="str">
        <f t="shared" si="670"/>
        <v>20247JPY</v>
      </c>
      <c r="AR2281" s="206" t="str">
        <f t="shared" si="671"/>
        <v>YAMAHA_Mounter</v>
      </c>
      <c r="AS2281" s="22">
        <f t="shared" si="672"/>
        <v>3</v>
      </c>
      <c r="AT2281" s="24" t="str">
        <f t="shared" si="673"/>
        <v>0-3 months</v>
      </c>
      <c r="AU2281" s="22" t="s">
        <v>3745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79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2"/>
        <v>1.13</v>
      </c>
      <c r="Z2282" s="18">
        <f t="shared" si="674"/>
        <v>742000</v>
      </c>
      <c r="AA2282" s="22">
        <v>1.075</v>
      </c>
      <c r="AB2282" s="21">
        <f t="shared" si="680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59"/>
        <v>25458266.694690265</v>
      </c>
      <c r="AJ2282" s="27">
        <f t="shared" si="660"/>
        <v>4116526.778578762</v>
      </c>
      <c r="AK2282" s="28">
        <f t="shared" si="668"/>
        <v>0.16169705612508689</v>
      </c>
      <c r="AL2282" s="24"/>
      <c r="AM2282" s="24"/>
      <c r="AN2282" s="24"/>
      <c r="AO2282" s="24"/>
      <c r="AP2282" s="28" t="str">
        <f t="shared" si="669"/>
        <v>20247</v>
      </c>
      <c r="AQ2282" s="28" t="str">
        <f t="shared" si="670"/>
        <v>20247RMB</v>
      </c>
      <c r="AR2282" s="206" t="str">
        <f t="shared" si="671"/>
        <v>YAMAHA_Mounter</v>
      </c>
      <c r="AS2282" s="22">
        <f t="shared" si="672"/>
        <v>3</v>
      </c>
      <c r="AT2282" s="24" t="str">
        <f t="shared" si="673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79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2"/>
        <v>1</v>
      </c>
      <c r="Z2283" s="18">
        <f t="shared" si="674"/>
        <v>8430000</v>
      </c>
      <c r="AA2283" s="13">
        <v>4.9500000000000002E-2</v>
      </c>
      <c r="AB2283" s="21">
        <f t="shared" si="680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59"/>
        <v>25458266.694690265</v>
      </c>
      <c r="AJ2283" s="27">
        <f t="shared" si="660"/>
        <v>4116526.778578762</v>
      </c>
      <c r="AK2283" s="28">
        <f t="shared" si="668"/>
        <v>0.16169705612508689</v>
      </c>
      <c r="AL2283" s="24"/>
      <c r="AM2283" s="24"/>
      <c r="AN2283" s="24"/>
      <c r="AO2283" s="24"/>
      <c r="AP2283" s="28" t="str">
        <f t="shared" si="669"/>
        <v>20247</v>
      </c>
      <c r="AQ2283" s="28" t="str">
        <f t="shared" si="670"/>
        <v>20247JPY</v>
      </c>
      <c r="AR2283" s="206" t="str">
        <f t="shared" si="671"/>
        <v>YAMAHA_Mounter</v>
      </c>
      <c r="AS2283" s="22">
        <f t="shared" si="672"/>
        <v>3</v>
      </c>
      <c r="AT2283" s="24" t="str">
        <f t="shared" si="673"/>
        <v>0-3 months</v>
      </c>
      <c r="AU2283" s="22" t="s">
        <v>3745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79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2"/>
        <v>1</v>
      </c>
      <c r="Z2284" s="18">
        <f t="shared" si="674"/>
        <v>8430000</v>
      </c>
      <c r="AA2284" s="13">
        <v>4.9500000000000002E-2</v>
      </c>
      <c r="AB2284" s="21">
        <f t="shared" si="680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59"/>
        <v>25458266.694690265</v>
      </c>
      <c r="AJ2284" s="27">
        <f t="shared" si="660"/>
        <v>4116526.778578762</v>
      </c>
      <c r="AK2284" s="28">
        <f t="shared" si="668"/>
        <v>0.16169705612508689</v>
      </c>
      <c r="AL2284" s="24"/>
      <c r="AM2284" s="24"/>
      <c r="AN2284" s="24"/>
      <c r="AO2284" s="24"/>
      <c r="AP2284" s="28" t="str">
        <f t="shared" si="669"/>
        <v>20247</v>
      </c>
      <c r="AQ2284" s="28" t="str">
        <f t="shared" si="670"/>
        <v>20247JPY</v>
      </c>
      <c r="AR2284" s="206" t="str">
        <f t="shared" si="671"/>
        <v>YAMAHA_Mounter</v>
      </c>
      <c r="AS2284" s="22">
        <f t="shared" si="672"/>
        <v>3</v>
      </c>
      <c r="AT2284" s="24" t="str">
        <f t="shared" si="673"/>
        <v>0-3 months</v>
      </c>
      <c r="AU2284" s="22" t="s">
        <v>3745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79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2"/>
        <v>1.13</v>
      </c>
      <c r="Z2285" s="196">
        <f t="shared" si="674"/>
        <v>330000</v>
      </c>
      <c r="AA2285" s="22">
        <v>1.075</v>
      </c>
      <c r="AB2285" s="197">
        <f t="shared" si="680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59"/>
        <v>25458266.694690265</v>
      </c>
      <c r="AJ2285" s="200">
        <f t="shared" si="660"/>
        <v>4116526.778578762</v>
      </c>
      <c r="AK2285" s="201">
        <f t="shared" si="668"/>
        <v>0.16169705612508689</v>
      </c>
      <c r="AL2285" s="24"/>
      <c r="AM2285" s="24"/>
      <c r="AN2285" s="24"/>
      <c r="AO2285" s="24"/>
      <c r="AP2285" s="105" t="str">
        <f t="shared" si="669"/>
        <v>20247</v>
      </c>
      <c r="AQ2285" s="28" t="str">
        <f t="shared" si="670"/>
        <v>20247RMB</v>
      </c>
      <c r="AR2285" s="206" t="str">
        <f t="shared" si="671"/>
        <v>YAMAHA_Non_Mounter</v>
      </c>
      <c r="AS2285" s="22">
        <f t="shared" si="672"/>
        <v>2</v>
      </c>
      <c r="AT2285" s="24" t="str">
        <f t="shared" si="673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3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79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2"/>
        <v>1.13</v>
      </c>
      <c r="Z2286" s="18">
        <f t="shared" si="674"/>
        <v>800000</v>
      </c>
      <c r="AA2286" s="22">
        <v>1.075</v>
      </c>
      <c r="AB2286" s="21">
        <f t="shared" si="680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59"/>
        <v>25458266.694690265</v>
      </c>
      <c r="AJ2286" s="27">
        <f t="shared" si="660"/>
        <v>4116526.778578762</v>
      </c>
      <c r="AK2286" s="28">
        <f t="shared" si="668"/>
        <v>0.16169705612508689</v>
      </c>
      <c r="AL2286" s="24"/>
      <c r="AM2286" s="24"/>
      <c r="AN2286" s="24"/>
      <c r="AO2286" s="24"/>
      <c r="AP2286" s="28" t="str">
        <f t="shared" si="669"/>
        <v>20247</v>
      </c>
      <c r="AQ2286" s="28" t="str">
        <f t="shared" si="670"/>
        <v>20247RMB</v>
      </c>
      <c r="AR2286" s="206" t="str">
        <f t="shared" si="671"/>
        <v>YAMAHA_Mounter</v>
      </c>
      <c r="AS2286" s="22">
        <f t="shared" si="672"/>
        <v>3</v>
      </c>
      <c r="AT2286" s="24" t="str">
        <f t="shared" si="673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3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79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2"/>
        <v>1.13</v>
      </c>
      <c r="Z2287" s="18">
        <f t="shared" si="674"/>
        <v>800000</v>
      </c>
      <c r="AA2287" s="22">
        <v>1.075</v>
      </c>
      <c r="AB2287" s="21">
        <f t="shared" si="680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59"/>
        <v>25458266.694690265</v>
      </c>
      <c r="AJ2287" s="27">
        <f t="shared" si="660"/>
        <v>4116526.778578762</v>
      </c>
      <c r="AK2287" s="28">
        <f t="shared" si="668"/>
        <v>0.16169705612508689</v>
      </c>
      <c r="AL2287" s="24"/>
      <c r="AM2287" s="24"/>
      <c r="AN2287" s="24"/>
      <c r="AO2287" s="24"/>
      <c r="AP2287" s="28" t="str">
        <f t="shared" si="669"/>
        <v>20247</v>
      </c>
      <c r="AQ2287" s="28" t="str">
        <f t="shared" si="670"/>
        <v>20247RMB</v>
      </c>
      <c r="AR2287" s="206" t="str">
        <f t="shared" si="671"/>
        <v>YAMAHA_Mounter</v>
      </c>
      <c r="AS2287" s="22">
        <f t="shared" si="672"/>
        <v>3</v>
      </c>
      <c r="AT2287" s="24" t="str">
        <f t="shared" si="673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3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79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2"/>
        <v>1.13</v>
      </c>
      <c r="Z2288" s="18">
        <f t="shared" si="674"/>
        <v>800000</v>
      </c>
      <c r="AA2288" s="22">
        <v>1.075</v>
      </c>
      <c r="AB2288" s="21">
        <f t="shared" si="680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59"/>
        <v>25458266.694690265</v>
      </c>
      <c r="AJ2288" s="27">
        <f t="shared" si="660"/>
        <v>4116526.778578762</v>
      </c>
      <c r="AK2288" s="28">
        <f t="shared" si="668"/>
        <v>0.16169705612508689</v>
      </c>
      <c r="AL2288" s="24"/>
      <c r="AM2288" s="24"/>
      <c r="AN2288" s="24"/>
      <c r="AO2288" s="24"/>
      <c r="AP2288" s="28" t="str">
        <f t="shared" si="669"/>
        <v>20247</v>
      </c>
      <c r="AQ2288" s="28" t="str">
        <f t="shared" si="670"/>
        <v>20247RMB</v>
      </c>
      <c r="AR2288" s="206" t="str">
        <f t="shared" si="671"/>
        <v>YAMAHA_Mounter</v>
      </c>
      <c r="AS2288" s="22">
        <f t="shared" si="672"/>
        <v>3</v>
      </c>
      <c r="AT2288" s="24" t="str">
        <f t="shared" si="673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3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79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2"/>
        <v>1.13</v>
      </c>
      <c r="Z2289" s="18">
        <f t="shared" si="674"/>
        <v>700000</v>
      </c>
      <c r="AA2289" s="22">
        <v>1.075</v>
      </c>
      <c r="AB2289" s="21">
        <f t="shared" si="680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59"/>
        <v>25458266.694690265</v>
      </c>
      <c r="AJ2289" s="27">
        <f t="shared" si="660"/>
        <v>4116526.778578762</v>
      </c>
      <c r="AK2289" s="28">
        <f t="shared" si="668"/>
        <v>0.16169705612508689</v>
      </c>
      <c r="AL2289" s="24"/>
      <c r="AM2289" s="24"/>
      <c r="AN2289" s="24"/>
      <c r="AO2289" s="24"/>
      <c r="AP2289" s="28" t="str">
        <f t="shared" si="669"/>
        <v>20247</v>
      </c>
      <c r="AQ2289" s="28" t="str">
        <f t="shared" si="670"/>
        <v>20247RMB</v>
      </c>
      <c r="AR2289" s="206" t="str">
        <f t="shared" si="671"/>
        <v>YAMAHA_Mounter</v>
      </c>
      <c r="AS2289" s="22">
        <f t="shared" si="672"/>
        <v>3</v>
      </c>
      <c r="AT2289" s="24" t="str">
        <f t="shared" si="673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3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79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2"/>
        <v>1.13</v>
      </c>
      <c r="Z2290" s="18">
        <f t="shared" si="674"/>
        <v>700000</v>
      </c>
      <c r="AA2290" s="22">
        <v>1.075</v>
      </c>
      <c r="AB2290" s="21">
        <f t="shared" si="680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59"/>
        <v>25458266.694690265</v>
      </c>
      <c r="AJ2290" s="27">
        <f t="shared" si="660"/>
        <v>4116526.778578762</v>
      </c>
      <c r="AK2290" s="28">
        <f t="shared" si="668"/>
        <v>0.16169705612508689</v>
      </c>
      <c r="AL2290" s="24"/>
      <c r="AM2290" s="24"/>
      <c r="AN2290" s="24"/>
      <c r="AO2290" s="24"/>
      <c r="AP2290" s="28" t="str">
        <f t="shared" si="669"/>
        <v>20247</v>
      </c>
      <c r="AQ2290" s="28" t="str">
        <f t="shared" si="670"/>
        <v>20247RMB</v>
      </c>
      <c r="AR2290" s="206" t="str">
        <f t="shared" si="671"/>
        <v>YAMAHA_Mounter</v>
      </c>
      <c r="AS2290" s="22">
        <f t="shared" si="672"/>
        <v>3</v>
      </c>
      <c r="AT2290" s="24" t="str">
        <f t="shared" si="673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3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79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2"/>
        <v>1.13</v>
      </c>
      <c r="Z2291" s="18">
        <f t="shared" si="674"/>
        <v>700000</v>
      </c>
      <c r="AA2291" s="22">
        <v>1.075</v>
      </c>
      <c r="AB2291" s="21">
        <f t="shared" si="680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59"/>
        <v>25458266.694690265</v>
      </c>
      <c r="AJ2291" s="27">
        <f t="shared" si="660"/>
        <v>4116526.778578762</v>
      </c>
      <c r="AK2291" s="28">
        <f t="shared" si="668"/>
        <v>0.16169705612508689</v>
      </c>
      <c r="AL2291" s="24"/>
      <c r="AM2291" s="24"/>
      <c r="AN2291" s="24"/>
      <c r="AO2291" s="24"/>
      <c r="AP2291" s="28" t="str">
        <f t="shared" si="669"/>
        <v>20247</v>
      </c>
      <c r="AQ2291" s="28" t="str">
        <f t="shared" si="670"/>
        <v>20247RMB</v>
      </c>
      <c r="AR2291" s="206" t="str">
        <f t="shared" si="671"/>
        <v>YAMAHA_Mounter</v>
      </c>
      <c r="AS2291" s="22">
        <f t="shared" si="672"/>
        <v>3</v>
      </c>
      <c r="AT2291" s="24" t="str">
        <f t="shared" si="673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3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79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2"/>
        <v>1</v>
      </c>
      <c r="Z2292" s="18">
        <f t="shared" si="674"/>
        <v>8976000</v>
      </c>
      <c r="AA2292" s="22">
        <v>4.9500000000000002E-2</v>
      </c>
      <c r="AB2292" s="21">
        <f t="shared" si="680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59"/>
        <v>25458266.694690265</v>
      </c>
      <c r="AJ2292" s="27">
        <f t="shared" si="660"/>
        <v>4116526.778578762</v>
      </c>
      <c r="AK2292" s="28">
        <f t="shared" si="668"/>
        <v>0.16169705612508689</v>
      </c>
      <c r="AL2292" s="24"/>
      <c r="AM2292" s="24"/>
      <c r="AN2292" s="24"/>
      <c r="AO2292" s="24"/>
      <c r="AP2292" s="28" t="str">
        <f t="shared" si="669"/>
        <v>20247</v>
      </c>
      <c r="AQ2292" s="28" t="str">
        <f t="shared" si="670"/>
        <v>20247JPY</v>
      </c>
      <c r="AR2292" s="206" t="str">
        <f t="shared" si="671"/>
        <v>YAMAHA_Non_Mounter</v>
      </c>
      <c r="AS2292" s="22">
        <f t="shared" si="672"/>
        <v>3</v>
      </c>
      <c r="AT2292" s="24" t="str">
        <f t="shared" si="673"/>
        <v>0-3 months</v>
      </c>
      <c r="AU2292" s="22" t="s">
        <v>3745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79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2"/>
        <v>1</v>
      </c>
      <c r="Z2293" s="196">
        <f t="shared" si="674"/>
        <v>7800000</v>
      </c>
      <c r="AA2293" s="22">
        <v>4.9500000000000002E-2</v>
      </c>
      <c r="AB2293" s="197">
        <f t="shared" si="680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59"/>
        <v>25458266.694690265</v>
      </c>
      <c r="AJ2293" s="200">
        <f t="shared" si="660"/>
        <v>4116526.778578762</v>
      </c>
      <c r="AK2293" s="201">
        <f t="shared" si="668"/>
        <v>0.16169705612508689</v>
      </c>
      <c r="AL2293" s="24"/>
      <c r="AM2293" s="24"/>
      <c r="AN2293" s="24"/>
      <c r="AO2293" s="24"/>
      <c r="AP2293" s="105" t="str">
        <f t="shared" si="669"/>
        <v>20247</v>
      </c>
      <c r="AQ2293" s="28" t="str">
        <f t="shared" si="670"/>
        <v>20247JPY</v>
      </c>
      <c r="AR2293" s="206" t="str">
        <f t="shared" si="671"/>
        <v>YAMAHA_Non_Mounter</v>
      </c>
      <c r="AS2293" s="22">
        <f t="shared" si="672"/>
        <v>1</v>
      </c>
      <c r="AT2293" s="24" t="str">
        <f t="shared" si="673"/>
        <v>0-3 months</v>
      </c>
      <c r="AU2293" s="22" t="s">
        <v>3746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79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2"/>
        <v>1</v>
      </c>
      <c r="Z2294" s="196">
        <f t="shared" si="674"/>
        <v>7800000</v>
      </c>
      <c r="AA2294" s="22">
        <v>4.9500000000000002E-2</v>
      </c>
      <c r="AB2294" s="197">
        <f t="shared" si="680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59"/>
        <v>25458266.694690265</v>
      </c>
      <c r="AJ2294" s="200">
        <f t="shared" si="660"/>
        <v>4116526.778578762</v>
      </c>
      <c r="AK2294" s="201">
        <f t="shared" si="668"/>
        <v>0.16169705612508689</v>
      </c>
      <c r="AL2294" s="24"/>
      <c r="AM2294" s="24"/>
      <c r="AN2294" s="24"/>
      <c r="AO2294" s="24"/>
      <c r="AP2294" s="105" t="str">
        <f t="shared" si="669"/>
        <v>20247</v>
      </c>
      <c r="AQ2294" s="28" t="str">
        <f t="shared" si="670"/>
        <v>20247JPY</v>
      </c>
      <c r="AR2294" s="206" t="str">
        <f t="shared" si="671"/>
        <v>YAMAHA_Non_Mounter</v>
      </c>
      <c r="AS2294" s="22">
        <f t="shared" si="672"/>
        <v>1</v>
      </c>
      <c r="AT2294" s="24" t="str">
        <f t="shared" si="673"/>
        <v>0-3 months</v>
      </c>
      <c r="AU2294" s="22" t="s">
        <v>3746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79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2"/>
        <v>1.13</v>
      </c>
      <c r="Z2295" s="196">
        <f t="shared" si="674"/>
        <v>643000</v>
      </c>
      <c r="AA2295" s="22">
        <v>1.075</v>
      </c>
      <c r="AB2295" s="197">
        <f t="shared" si="680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59"/>
        <v>25458266.694690265</v>
      </c>
      <c r="AJ2295" s="200">
        <f t="shared" si="660"/>
        <v>4116526.778578762</v>
      </c>
      <c r="AK2295" s="201">
        <f t="shared" si="668"/>
        <v>0.16169705612508689</v>
      </c>
      <c r="AL2295" s="24"/>
      <c r="AM2295" s="24"/>
      <c r="AN2295" s="24"/>
      <c r="AO2295" s="24"/>
      <c r="AP2295" s="105" t="str">
        <f t="shared" si="669"/>
        <v>20247</v>
      </c>
      <c r="AQ2295" s="28" t="str">
        <f t="shared" si="670"/>
        <v>20247RMB</v>
      </c>
      <c r="AR2295" s="206" t="str">
        <f t="shared" si="671"/>
        <v>YAMAHA_Mounter</v>
      </c>
      <c r="AS2295" s="22">
        <f t="shared" si="672"/>
        <v>2</v>
      </c>
      <c r="AT2295" s="24" t="str">
        <f t="shared" si="673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79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2"/>
        <v>1.13</v>
      </c>
      <c r="Z2296" s="196">
        <f t="shared" si="674"/>
        <v>643000</v>
      </c>
      <c r="AA2296" s="22">
        <v>1.075</v>
      </c>
      <c r="AB2296" s="197">
        <f t="shared" si="680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59"/>
        <v>25458266.694690265</v>
      </c>
      <c r="AJ2296" s="200">
        <f t="shared" si="660"/>
        <v>4116526.778578762</v>
      </c>
      <c r="AK2296" s="201">
        <f t="shared" si="668"/>
        <v>0.16169705612508689</v>
      </c>
      <c r="AL2296" s="24"/>
      <c r="AM2296" s="24"/>
      <c r="AN2296" s="24"/>
      <c r="AO2296" s="24"/>
      <c r="AP2296" s="105" t="str">
        <f t="shared" si="669"/>
        <v>20247</v>
      </c>
      <c r="AQ2296" s="28" t="str">
        <f t="shared" si="670"/>
        <v>20247RMB</v>
      </c>
      <c r="AR2296" s="206" t="str">
        <f t="shared" si="671"/>
        <v>YAMAHA_Mounter</v>
      </c>
      <c r="AS2296" s="22">
        <f t="shared" si="672"/>
        <v>2</v>
      </c>
      <c r="AT2296" s="24" t="str">
        <f t="shared" si="673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79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2"/>
        <v>1.13</v>
      </c>
      <c r="Z2297" s="196">
        <f t="shared" si="674"/>
        <v>630000</v>
      </c>
      <c r="AA2297" s="22">
        <v>1.075</v>
      </c>
      <c r="AB2297" s="197">
        <f t="shared" si="680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59"/>
        <v>25458266.694690265</v>
      </c>
      <c r="AJ2297" s="200">
        <f t="shared" si="660"/>
        <v>4116526.778578762</v>
      </c>
      <c r="AK2297" s="201">
        <f t="shared" si="668"/>
        <v>0.16169705612508689</v>
      </c>
      <c r="AL2297" s="24"/>
      <c r="AM2297" s="24"/>
      <c r="AN2297" s="24"/>
      <c r="AO2297" s="24"/>
      <c r="AP2297" s="105" t="str">
        <f t="shared" si="669"/>
        <v>20247</v>
      </c>
      <c r="AQ2297" s="28" t="str">
        <f t="shared" si="670"/>
        <v>20247RMB</v>
      </c>
      <c r="AR2297" s="206" t="str">
        <f t="shared" si="671"/>
        <v>YAMAHA_Mounter</v>
      </c>
      <c r="AS2297" s="22">
        <f t="shared" si="672"/>
        <v>2</v>
      </c>
      <c r="AT2297" s="24" t="str">
        <f t="shared" si="673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79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2"/>
        <v>1.13</v>
      </c>
      <c r="Z2298" s="196">
        <f t="shared" si="674"/>
        <v>335000</v>
      </c>
      <c r="AA2298" s="22">
        <v>1.075</v>
      </c>
      <c r="AB2298" s="197">
        <f t="shared" si="680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59"/>
        <v>25458266.694690265</v>
      </c>
      <c r="AJ2298" s="200">
        <f t="shared" si="660"/>
        <v>4116526.778578762</v>
      </c>
      <c r="AK2298" s="201">
        <f t="shared" si="668"/>
        <v>0.16169705612508689</v>
      </c>
      <c r="AL2298" s="24"/>
      <c r="AM2298" s="24"/>
      <c r="AN2298" s="24"/>
      <c r="AO2298" s="24"/>
      <c r="AP2298" s="105" t="str">
        <f t="shared" si="669"/>
        <v>20247</v>
      </c>
      <c r="AQ2298" s="28" t="str">
        <f t="shared" si="670"/>
        <v>20247RMB</v>
      </c>
      <c r="AR2298" s="206" t="str">
        <f t="shared" si="671"/>
        <v>HELLER</v>
      </c>
      <c r="AS2298" s="22">
        <f t="shared" si="672"/>
        <v>2</v>
      </c>
      <c r="AT2298" s="24" t="str">
        <f t="shared" si="673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79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2"/>
        <v>1</v>
      </c>
      <c r="Z2299" s="18">
        <f t="shared" si="674"/>
        <v>7800000</v>
      </c>
      <c r="AA2299" s="13">
        <v>5.5599999999999997E-2</v>
      </c>
      <c r="AB2299" s="21">
        <f t="shared" si="680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59"/>
        <v>22758096.38940867</v>
      </c>
      <c r="AJ2299" s="27">
        <f t="shared" si="660"/>
        <v>2469357.2298956565</v>
      </c>
      <c r="AK2299" s="28">
        <f t="shared" si="668"/>
        <v>0.10850455976822666</v>
      </c>
      <c r="AL2299" s="24"/>
      <c r="AM2299" s="24"/>
      <c r="AN2299" s="24"/>
      <c r="AO2299" s="24"/>
      <c r="AP2299" s="28" t="str">
        <f t="shared" si="669"/>
        <v>202410</v>
      </c>
      <c r="AQ2299" s="28" t="str">
        <f t="shared" si="670"/>
        <v>202410JPY</v>
      </c>
      <c r="AR2299" s="206" t="str">
        <f t="shared" si="671"/>
        <v>YAMAHA_Non_Mounter</v>
      </c>
      <c r="AS2299" s="22">
        <f t="shared" si="672"/>
        <v>7</v>
      </c>
      <c r="AT2299" s="24" t="str">
        <f t="shared" si="673"/>
        <v>&gt; 6 months</v>
      </c>
      <c r="AU2299" s="22" t="s">
        <v>3745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79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2"/>
        <v>1</v>
      </c>
      <c r="Z2300" s="18">
        <f t="shared" si="674"/>
        <v>7800000</v>
      </c>
      <c r="AA2300" s="13">
        <v>5.5599999999999997E-2</v>
      </c>
      <c r="AB2300" s="21">
        <f t="shared" si="680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59"/>
        <v>22758096.38940867</v>
      </c>
      <c r="AJ2300" s="27">
        <f t="shared" si="660"/>
        <v>2469357.2298956565</v>
      </c>
      <c r="AK2300" s="28">
        <f t="shared" si="668"/>
        <v>0.10850455976822666</v>
      </c>
      <c r="AL2300" s="24"/>
      <c r="AM2300" s="24"/>
      <c r="AN2300" s="24"/>
      <c r="AO2300" s="24"/>
      <c r="AP2300" s="28" t="str">
        <f t="shared" si="669"/>
        <v>202410</v>
      </c>
      <c r="AQ2300" s="28" t="str">
        <f t="shared" si="670"/>
        <v>202410JPY</v>
      </c>
      <c r="AR2300" s="206" t="str">
        <f t="shared" si="671"/>
        <v>YAMAHA_Non_Mounter</v>
      </c>
      <c r="AS2300" s="22">
        <f t="shared" si="672"/>
        <v>7</v>
      </c>
      <c r="AT2300" s="24" t="str">
        <f t="shared" si="673"/>
        <v>&gt; 6 months</v>
      </c>
      <c r="AU2300" s="22" t="s">
        <v>3745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79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2"/>
        <v>1</v>
      </c>
      <c r="Z2301" s="196">
        <f t="shared" si="674"/>
        <v>7250000</v>
      </c>
      <c r="AA2301" s="22">
        <v>4.9500000000000002E-2</v>
      </c>
      <c r="AB2301" s="197">
        <f t="shared" si="680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59"/>
        <v>25458266.694690265</v>
      </c>
      <c r="AJ2301" s="200">
        <f t="shared" si="660"/>
        <v>4116526.778578762</v>
      </c>
      <c r="AK2301" s="201">
        <f t="shared" si="668"/>
        <v>0.16169705612508689</v>
      </c>
      <c r="AL2301" s="24"/>
      <c r="AM2301" s="24"/>
      <c r="AN2301" s="24"/>
      <c r="AO2301" s="24"/>
      <c r="AP2301" s="105" t="str">
        <f t="shared" si="669"/>
        <v>20247</v>
      </c>
      <c r="AQ2301" s="28" t="str">
        <f t="shared" si="670"/>
        <v>20247JPY</v>
      </c>
      <c r="AR2301" s="206" t="str">
        <f t="shared" si="671"/>
        <v>YAMAHA_Mounter</v>
      </c>
      <c r="AS2301" s="22">
        <f t="shared" si="672"/>
        <v>2</v>
      </c>
      <c r="AT2301" s="24" t="str">
        <f t="shared" si="673"/>
        <v>0-3 months</v>
      </c>
      <c r="AU2301" s="22" t="s">
        <v>3746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79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2"/>
        <v>1</v>
      </c>
      <c r="Z2302" s="196">
        <f t="shared" si="674"/>
        <v>7250000</v>
      </c>
      <c r="AA2302" s="22">
        <v>4.9500000000000002E-2</v>
      </c>
      <c r="AB2302" s="197">
        <f t="shared" si="680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59"/>
        <v>25458266.694690265</v>
      </c>
      <c r="AJ2302" s="200">
        <f t="shared" si="660"/>
        <v>4116526.778578762</v>
      </c>
      <c r="AK2302" s="201">
        <f t="shared" si="668"/>
        <v>0.16169705612508689</v>
      </c>
      <c r="AL2302" s="24"/>
      <c r="AM2302" s="24"/>
      <c r="AN2302" s="24"/>
      <c r="AO2302" s="24"/>
      <c r="AP2302" s="105" t="str">
        <f t="shared" si="669"/>
        <v>20247</v>
      </c>
      <c r="AQ2302" s="28" t="str">
        <f t="shared" si="670"/>
        <v>20247JPY</v>
      </c>
      <c r="AR2302" s="206" t="str">
        <f t="shared" si="671"/>
        <v>YAMAHA_Mounter</v>
      </c>
      <c r="AS2302" s="22">
        <f t="shared" si="672"/>
        <v>2</v>
      </c>
      <c r="AT2302" s="24" t="str">
        <f t="shared" si="673"/>
        <v>0-3 months</v>
      </c>
      <c r="AU2302" s="22" t="s">
        <v>3746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79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2"/>
        <v>1</v>
      </c>
      <c r="Z2303" s="196">
        <f t="shared" si="674"/>
        <v>7250000</v>
      </c>
      <c r="AA2303" s="22">
        <v>4.9500000000000002E-2</v>
      </c>
      <c r="AB2303" s="197">
        <f t="shared" si="680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59"/>
        <v>25458266.694690265</v>
      </c>
      <c r="AJ2303" s="200">
        <f t="shared" si="660"/>
        <v>4116526.778578762</v>
      </c>
      <c r="AK2303" s="201">
        <f t="shared" si="668"/>
        <v>0.16169705612508689</v>
      </c>
      <c r="AL2303" s="24"/>
      <c r="AM2303" s="24"/>
      <c r="AN2303" s="24"/>
      <c r="AO2303" s="24"/>
      <c r="AP2303" s="105" t="str">
        <f t="shared" si="669"/>
        <v>20247</v>
      </c>
      <c r="AQ2303" s="28" t="str">
        <f t="shared" si="670"/>
        <v>20247JPY</v>
      </c>
      <c r="AR2303" s="206" t="str">
        <f t="shared" si="671"/>
        <v>YAMAHA_Mounter</v>
      </c>
      <c r="AS2303" s="22">
        <f t="shared" si="672"/>
        <v>2</v>
      </c>
      <c r="AT2303" s="24" t="str">
        <f t="shared" si="673"/>
        <v>0-3 months</v>
      </c>
      <c r="AU2303" s="22" t="s">
        <v>3746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79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4">IF(W2304="RMB","1.13", "1")</f>
        <v>1</v>
      </c>
      <c r="Z2304" s="18">
        <f t="shared" si="674"/>
        <v>11687500</v>
      </c>
      <c r="AA2304" s="13">
        <v>7.6100000000000001E-2</v>
      </c>
      <c r="AB2304" s="21">
        <f t="shared" si="680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59"/>
        <v>44078731.611185849</v>
      </c>
      <c r="AJ2304" s="19">
        <f t="shared" si="660"/>
        <v>5508173.2163771465</v>
      </c>
      <c r="AK2304" s="20">
        <f t="shared" si="668"/>
        <v>0.12496215328889679</v>
      </c>
      <c r="AL2304" s="17"/>
      <c r="AM2304" s="17"/>
      <c r="AN2304" s="17"/>
      <c r="AO2304" s="17"/>
      <c r="AP2304" s="28" t="str">
        <f t="shared" si="669"/>
        <v>202011</v>
      </c>
      <c r="AQ2304" s="28" t="str">
        <f t="shared" si="670"/>
        <v>202011JPY</v>
      </c>
      <c r="AR2304" s="206" t="str">
        <f t="shared" si="671"/>
        <v>YAMAHA_Mounter</v>
      </c>
      <c r="AS2304" s="22">
        <f t="shared" si="672"/>
        <v>2</v>
      </c>
      <c r="AT2304" s="24" t="str">
        <f t="shared" si="673"/>
        <v>0-3 months</v>
      </c>
      <c r="AU2304" s="22" t="s">
        <v>3745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79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4"/>
        <v>1</v>
      </c>
      <c r="Z2305" s="18">
        <f t="shared" si="674"/>
        <v>11687500</v>
      </c>
      <c r="AA2305" s="13">
        <v>7.6100000000000001E-2</v>
      </c>
      <c r="AB2305" s="21">
        <f t="shared" si="680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59"/>
        <v>44078731.611185849</v>
      </c>
      <c r="AJ2305" s="19">
        <f t="shared" si="660"/>
        <v>5508173.2163771465</v>
      </c>
      <c r="AK2305" s="20">
        <f t="shared" si="668"/>
        <v>0.12496215328889679</v>
      </c>
      <c r="AL2305" s="17"/>
      <c r="AM2305" s="17"/>
      <c r="AN2305" s="17"/>
      <c r="AO2305" s="17"/>
      <c r="AP2305" s="28" t="str">
        <f t="shared" si="669"/>
        <v>202011</v>
      </c>
      <c r="AQ2305" s="28" t="str">
        <f t="shared" si="670"/>
        <v>202011JPY</v>
      </c>
      <c r="AR2305" s="206" t="str">
        <f t="shared" si="671"/>
        <v>YAMAHA_Mounter</v>
      </c>
      <c r="AS2305" s="22">
        <f t="shared" si="672"/>
        <v>2</v>
      </c>
      <c r="AT2305" s="24" t="str">
        <f t="shared" si="673"/>
        <v>0-3 months</v>
      </c>
      <c r="AU2305" s="22" t="s">
        <v>3745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79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4"/>
        <v>1</v>
      </c>
      <c r="Z2306" s="18">
        <f t="shared" si="674"/>
        <v>11687500</v>
      </c>
      <c r="AA2306" s="13">
        <v>7.6100000000000001E-2</v>
      </c>
      <c r="AB2306" s="21">
        <f t="shared" si="680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85">IF(P2306="C66 SERVICE","",SUMIFS(AB:AB,F:F,F2306,G:G,G2306,E:E,E2306))</f>
        <v>44078731.611185849</v>
      </c>
      <c r="AJ2306" s="19">
        <f t="shared" ref="AJ2306:AJ2369" si="686">IF(P2306="C66 SERVICE","",SUMIFS(AC:AC,F:F,F2306,G:G,G2306,E:E,E2306))</f>
        <v>5508173.2163771465</v>
      </c>
      <c r="AK2306" s="20">
        <f t="shared" si="668"/>
        <v>0.12496215328889679</v>
      </c>
      <c r="AL2306" s="17"/>
      <c r="AM2306" s="17"/>
      <c r="AN2306" s="17"/>
      <c r="AO2306" s="17"/>
      <c r="AP2306" s="28" t="str">
        <f t="shared" si="669"/>
        <v>202011</v>
      </c>
      <c r="AQ2306" s="28" t="str">
        <f t="shared" si="670"/>
        <v>202011JPY</v>
      </c>
      <c r="AR2306" s="206" t="str">
        <f t="shared" si="671"/>
        <v>YAMAHA_Mounter</v>
      </c>
      <c r="AS2306" s="22">
        <f t="shared" si="672"/>
        <v>2</v>
      </c>
      <c r="AT2306" s="24" t="str">
        <f t="shared" si="673"/>
        <v>0-3 months</v>
      </c>
      <c r="AU2306" s="22" t="s">
        <v>3745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79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4"/>
        <v>1</v>
      </c>
      <c r="Z2307" s="18">
        <f t="shared" si="674"/>
        <v>11687500</v>
      </c>
      <c r="AA2307" s="13">
        <v>7.6100000000000001E-2</v>
      </c>
      <c r="AB2307" s="21">
        <f t="shared" si="680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85"/>
        <v>44078731.611185849</v>
      </c>
      <c r="AJ2307" s="19">
        <f t="shared" si="686"/>
        <v>5508173.2163771465</v>
      </c>
      <c r="AK2307" s="20">
        <f t="shared" si="668"/>
        <v>0.12496215328889679</v>
      </c>
      <c r="AL2307" s="17"/>
      <c r="AM2307" s="17"/>
      <c r="AN2307" s="17"/>
      <c r="AO2307" s="17"/>
      <c r="AP2307" s="28" t="str">
        <f t="shared" si="669"/>
        <v>202011</v>
      </c>
      <c r="AQ2307" s="28" t="str">
        <f t="shared" si="670"/>
        <v>202011JPY</v>
      </c>
      <c r="AR2307" s="206" t="str">
        <f t="shared" si="671"/>
        <v>YAMAHA_Mounter</v>
      </c>
      <c r="AS2307" s="22">
        <f t="shared" si="672"/>
        <v>2</v>
      </c>
      <c r="AT2307" s="24" t="str">
        <f t="shared" si="673"/>
        <v>0-3 months</v>
      </c>
      <c r="AU2307" s="22" t="s">
        <v>3745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79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4"/>
        <v>1</v>
      </c>
      <c r="Z2308" s="18">
        <f t="shared" si="674"/>
        <v>11687500</v>
      </c>
      <c r="AA2308" s="13">
        <v>7.6100000000000001E-2</v>
      </c>
      <c r="AB2308" s="21">
        <f t="shared" si="680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85"/>
        <v>48763143.537654862</v>
      </c>
      <c r="AJ2308" s="19">
        <f t="shared" si="686"/>
        <v>5924029.9702154724</v>
      </c>
      <c r="AK2308" s="20">
        <f t="shared" si="668"/>
        <v>0.1214858095774925</v>
      </c>
      <c r="AL2308" s="17"/>
      <c r="AM2308" s="17"/>
      <c r="AN2308" s="17"/>
      <c r="AO2308" s="17"/>
      <c r="AP2308" s="28" t="str">
        <f t="shared" si="669"/>
        <v>202012</v>
      </c>
      <c r="AQ2308" s="28" t="str">
        <f t="shared" si="670"/>
        <v>202012JPY</v>
      </c>
      <c r="AR2308" s="206" t="str">
        <f t="shared" si="671"/>
        <v>YAMAHA_Mounter</v>
      </c>
      <c r="AS2308" s="22">
        <f t="shared" si="672"/>
        <v>3</v>
      </c>
      <c r="AT2308" s="24" t="str">
        <f t="shared" si="673"/>
        <v>0-3 months</v>
      </c>
      <c r="AU2308" s="22" t="s">
        <v>3745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79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4"/>
        <v>1</v>
      </c>
      <c r="Z2309" s="18">
        <f t="shared" si="674"/>
        <v>11687500</v>
      </c>
      <c r="AA2309" s="13">
        <v>7.6100000000000001E-2</v>
      </c>
      <c r="AB2309" s="21">
        <f t="shared" si="680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85"/>
        <v>48763143.537654862</v>
      </c>
      <c r="AJ2309" s="19">
        <f t="shared" si="686"/>
        <v>5924029.9702154724</v>
      </c>
      <c r="AK2309" s="20">
        <f t="shared" si="668"/>
        <v>0.1214858095774925</v>
      </c>
      <c r="AL2309" s="17"/>
      <c r="AM2309" s="17"/>
      <c r="AN2309" s="17"/>
      <c r="AO2309" s="17"/>
      <c r="AP2309" s="28" t="str">
        <f t="shared" si="669"/>
        <v>202012</v>
      </c>
      <c r="AQ2309" s="28" t="str">
        <f t="shared" si="670"/>
        <v>202012JPY</v>
      </c>
      <c r="AR2309" s="206" t="str">
        <f t="shared" si="671"/>
        <v>YAMAHA_Mounter</v>
      </c>
      <c r="AS2309" s="22">
        <f t="shared" si="672"/>
        <v>3</v>
      </c>
      <c r="AT2309" s="24" t="str">
        <f t="shared" si="673"/>
        <v>0-3 months</v>
      </c>
      <c r="AU2309" s="22" t="s">
        <v>3745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79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4"/>
        <v>1</v>
      </c>
      <c r="Z2310" s="18">
        <f t="shared" si="674"/>
        <v>11687500</v>
      </c>
      <c r="AA2310" s="13">
        <v>7.6100000000000001E-2</v>
      </c>
      <c r="AB2310" s="21">
        <f t="shared" si="680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85"/>
        <v>48763143.537654862</v>
      </c>
      <c r="AJ2310" s="19">
        <f t="shared" si="686"/>
        <v>5924029.9702154724</v>
      </c>
      <c r="AK2310" s="20">
        <f t="shared" ref="AK2310:AK2373" si="692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3">IF(F2310="","",F2310&amp;G2310)</f>
        <v>202012</v>
      </c>
      <c r="AQ2310" s="28" t="str">
        <f t="shared" ref="AQ2310:AQ2373" si="694">IF(W2310="","",F2310&amp;G2310&amp;W2310)</f>
        <v>202012JPY</v>
      </c>
      <c r="AR2310" s="206" t="str">
        <f t="shared" ref="AR2310:AR2373" si="695">IFERROR(IF(AND(M2310="YAMAHA", R2310="C28"), "YAMAHA_Non_Mounter", IF(AND(M2310="YAMAHA", R2310="C49"), "YAMAHA_Mounter", M2310)),"")</f>
        <v>YAMAHA_Mounter</v>
      </c>
      <c r="AS2310" s="22">
        <f t="shared" ref="AS2310:AS2373" si="696">IFERROR(IF(OR(G2310="TBA", G2310=""), "", DATEDIF(DATE(B2310, C2310, 1), DATE(F2310, G2310, 1), "M")),"")</f>
        <v>3</v>
      </c>
      <c r="AT2310" s="24" t="str">
        <f t="shared" ref="AT2310:AT2373" si="697">IF(ISNUMBER(AS2310), IF(AS2310&gt;=0, IF(AS2310&lt;=3, "0-3 months", IF(AS2310&lt;=6, "4-6 months", "&gt; 6 months"))), "")</f>
        <v>0-3 months</v>
      </c>
      <c r="AU2310" s="22" t="s">
        <v>3745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79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4"/>
        <v>1</v>
      </c>
      <c r="Z2311" s="18">
        <f t="shared" si="674"/>
        <v>11687500</v>
      </c>
      <c r="AA2311" s="13">
        <v>7.6100000000000001E-2</v>
      </c>
      <c r="AB2311" s="21">
        <f t="shared" si="680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85"/>
        <v>48763143.537654862</v>
      </c>
      <c r="AJ2311" s="19">
        <f t="shared" si="686"/>
        <v>5924029.9702154724</v>
      </c>
      <c r="AK2311" s="20">
        <f t="shared" si="692"/>
        <v>0.1214858095774925</v>
      </c>
      <c r="AL2311" s="17"/>
      <c r="AM2311" s="17"/>
      <c r="AN2311" s="17"/>
      <c r="AO2311" s="17"/>
      <c r="AP2311" s="28" t="str">
        <f t="shared" si="693"/>
        <v>202012</v>
      </c>
      <c r="AQ2311" s="28" t="str">
        <f t="shared" si="694"/>
        <v>202012JPY</v>
      </c>
      <c r="AR2311" s="206" t="str">
        <f t="shared" si="695"/>
        <v>YAMAHA_Mounter</v>
      </c>
      <c r="AS2311" s="22">
        <f t="shared" si="696"/>
        <v>3</v>
      </c>
      <c r="AT2311" s="24" t="str">
        <f t="shared" si="697"/>
        <v>0-3 months</v>
      </c>
      <c r="AU2311" s="22" t="s">
        <v>3745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79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4"/>
        <v>1</v>
      </c>
      <c r="Z2312" s="18">
        <f t="shared" si="674"/>
        <v>12650000</v>
      </c>
      <c r="AA2312" s="13">
        <v>6.9199999999999998E-2</v>
      </c>
      <c r="AB2312" s="21">
        <f t="shared" si="680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85"/>
        <v>26407088.359292038</v>
      </c>
      <c r="AJ2312" s="19">
        <f t="shared" si="686"/>
        <v>3424510.6998470789</v>
      </c>
      <c r="AK2312" s="20">
        <f t="shared" si="692"/>
        <v>0.12968149510667554</v>
      </c>
      <c r="AL2312" s="17"/>
      <c r="AM2312" s="17"/>
      <c r="AN2312" s="17"/>
      <c r="AO2312" s="17"/>
      <c r="AP2312" s="28" t="str">
        <f t="shared" si="693"/>
        <v>20221</v>
      </c>
      <c r="AQ2312" s="28" t="str">
        <f t="shared" si="694"/>
        <v>20221JPY</v>
      </c>
      <c r="AR2312" s="206" t="str">
        <f t="shared" si="695"/>
        <v>YAMAHA_Mounter</v>
      </c>
      <c r="AS2312" s="22">
        <f t="shared" si="696"/>
        <v>12</v>
      </c>
      <c r="AT2312" s="24" t="str">
        <f t="shared" si="697"/>
        <v>&gt; 6 months</v>
      </c>
      <c r="AU2312" s="22" t="s">
        <v>3745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79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4"/>
        <v>1</v>
      </c>
      <c r="Z2313" s="18">
        <f t="shared" si="674"/>
        <v>12650000</v>
      </c>
      <c r="AA2313" s="13">
        <v>6.9199999999999998E-2</v>
      </c>
      <c r="AB2313" s="21">
        <f t="shared" si="680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85"/>
        <v>26407088.359292038</v>
      </c>
      <c r="AJ2313" s="19">
        <f t="shared" si="686"/>
        <v>3424510.6998470789</v>
      </c>
      <c r="AK2313" s="20">
        <f t="shared" si="692"/>
        <v>0.12968149510667554</v>
      </c>
      <c r="AL2313" s="17"/>
      <c r="AM2313" s="17"/>
      <c r="AN2313" s="17"/>
      <c r="AO2313" s="17"/>
      <c r="AP2313" s="28" t="str">
        <f t="shared" si="693"/>
        <v>20221</v>
      </c>
      <c r="AQ2313" s="28" t="str">
        <f t="shared" si="694"/>
        <v>20221JPY</v>
      </c>
      <c r="AR2313" s="206" t="str">
        <f t="shared" si="695"/>
        <v>YAMAHA_Mounter</v>
      </c>
      <c r="AS2313" s="22">
        <f t="shared" si="696"/>
        <v>12</v>
      </c>
      <c r="AT2313" s="24" t="str">
        <f t="shared" si="697"/>
        <v>&gt; 6 months</v>
      </c>
      <c r="AU2313" s="22" t="s">
        <v>3745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79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4"/>
        <v>1</v>
      </c>
      <c r="Z2314" s="18">
        <f t="shared" ref="Z2314:Z2377" si="698">IF(X2314="","",X2314*MAX(O2314,N2314))</f>
        <v>12650000</v>
      </c>
      <c r="AA2314" s="13">
        <v>6.54E-2</v>
      </c>
      <c r="AB2314" s="21">
        <f t="shared" si="680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85"/>
        <v>46600814.041769907</v>
      </c>
      <c r="AJ2314" s="19">
        <f t="shared" si="686"/>
        <v>5956366.3435927071</v>
      </c>
      <c r="AK2314" s="20">
        <f t="shared" si="692"/>
        <v>0.1278167874546958</v>
      </c>
      <c r="AL2314" s="17"/>
      <c r="AM2314" s="17"/>
      <c r="AN2314" s="17"/>
      <c r="AO2314" s="17"/>
      <c r="AP2314" s="28" t="str">
        <f t="shared" si="693"/>
        <v>20224</v>
      </c>
      <c r="AQ2314" s="28" t="str">
        <f t="shared" si="694"/>
        <v>20224JPY</v>
      </c>
      <c r="AR2314" s="206" t="str">
        <f t="shared" si="695"/>
        <v>YAMAHA_Mounter</v>
      </c>
      <c r="AS2314" s="22">
        <f t="shared" si="696"/>
        <v>15</v>
      </c>
      <c r="AT2314" s="24" t="str">
        <f t="shared" si="697"/>
        <v>&gt; 6 months</v>
      </c>
      <c r="AU2314" s="22" t="s">
        <v>3745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79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4"/>
        <v>1</v>
      </c>
      <c r="Z2315" s="18">
        <f t="shared" si="698"/>
        <v>7419600</v>
      </c>
      <c r="AA2315" s="13">
        <v>6.54E-2</v>
      </c>
      <c r="AB2315" s="21">
        <f t="shared" si="680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85"/>
        <v>46600814.041769907</v>
      </c>
      <c r="AJ2315" s="19">
        <f t="shared" si="686"/>
        <v>5956366.3435927071</v>
      </c>
      <c r="AK2315" s="20">
        <f t="shared" si="692"/>
        <v>0.1278167874546958</v>
      </c>
      <c r="AL2315" s="17"/>
      <c r="AM2315" s="17"/>
      <c r="AN2315" s="17"/>
      <c r="AO2315" s="17"/>
      <c r="AP2315" s="28" t="str">
        <f t="shared" si="693"/>
        <v>20224</v>
      </c>
      <c r="AQ2315" s="28" t="str">
        <f t="shared" si="694"/>
        <v>20224JPY</v>
      </c>
      <c r="AR2315" s="206" t="str">
        <f t="shared" si="695"/>
        <v>YAMAHA_Mounter</v>
      </c>
      <c r="AS2315" s="22">
        <f t="shared" si="696"/>
        <v>15</v>
      </c>
      <c r="AT2315" s="24" t="str">
        <f t="shared" si="697"/>
        <v>&gt; 6 months</v>
      </c>
      <c r="AU2315" s="22" t="s">
        <v>3745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79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4"/>
        <v>1.13</v>
      </c>
      <c r="Z2316" s="18">
        <f t="shared" si="698"/>
        <v>450000</v>
      </c>
      <c r="AA2316" s="13">
        <v>1.1599999999999999</v>
      </c>
      <c r="AB2316" s="21">
        <f t="shared" si="680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85"/>
        <v>21045012.884955753</v>
      </c>
      <c r="AJ2316" s="19">
        <f t="shared" si="686"/>
        <v>2650260.9603327443</v>
      </c>
      <c r="AK2316" s="20">
        <f t="shared" si="692"/>
        <v>0.12593296924172048</v>
      </c>
      <c r="AL2316" s="17"/>
      <c r="AM2316" s="17"/>
      <c r="AN2316" s="17"/>
      <c r="AO2316" s="17"/>
      <c r="AP2316" s="28" t="str">
        <f t="shared" si="693"/>
        <v>20232</v>
      </c>
      <c r="AQ2316" s="28" t="str">
        <f t="shared" si="694"/>
        <v>20232RMB</v>
      </c>
      <c r="AR2316" s="206" t="str">
        <f t="shared" si="695"/>
        <v>YAMAHA_Mounter</v>
      </c>
      <c r="AS2316" s="22">
        <f t="shared" si="696"/>
        <v>2</v>
      </c>
      <c r="AT2316" s="24" t="str">
        <f t="shared" si="697"/>
        <v>0-3 months</v>
      </c>
      <c r="AU2316" s="22" t="s">
        <v>3751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79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4"/>
        <v>1.13</v>
      </c>
      <c r="Z2317" s="18">
        <f t="shared" si="698"/>
        <v>450000</v>
      </c>
      <c r="AA2317" s="13">
        <v>1.1599999999999999</v>
      </c>
      <c r="AB2317" s="21">
        <f t="shared" si="680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85"/>
        <v>21045012.884955753</v>
      </c>
      <c r="AJ2317" s="19">
        <f t="shared" si="686"/>
        <v>2650260.9603327443</v>
      </c>
      <c r="AK2317" s="20">
        <f t="shared" si="692"/>
        <v>0.12593296924172048</v>
      </c>
      <c r="AL2317" s="17"/>
      <c r="AM2317" s="17"/>
      <c r="AN2317" s="17"/>
      <c r="AO2317" s="17"/>
      <c r="AP2317" s="28" t="str">
        <f t="shared" si="693"/>
        <v>20232</v>
      </c>
      <c r="AQ2317" s="28" t="str">
        <f t="shared" si="694"/>
        <v>20232RMB</v>
      </c>
      <c r="AR2317" s="206" t="str">
        <f t="shared" si="695"/>
        <v>YAMAHA_Mounter</v>
      </c>
      <c r="AS2317" s="22">
        <f t="shared" si="696"/>
        <v>2</v>
      </c>
      <c r="AT2317" s="24" t="str">
        <f t="shared" si="697"/>
        <v>0-3 months</v>
      </c>
      <c r="AU2317" s="22" t="s">
        <v>3751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79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4"/>
        <v>1.13</v>
      </c>
      <c r="Z2318" s="18">
        <f t="shared" si="698"/>
        <v>450000</v>
      </c>
      <c r="AA2318" s="13">
        <v>1.1599999999999999</v>
      </c>
      <c r="AB2318" s="21">
        <f t="shared" si="680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85"/>
        <v>21045012.884955753</v>
      </c>
      <c r="AJ2318" s="19">
        <f t="shared" si="686"/>
        <v>2650260.9603327443</v>
      </c>
      <c r="AK2318" s="20">
        <f t="shared" si="692"/>
        <v>0.12593296924172048</v>
      </c>
      <c r="AL2318" s="17"/>
      <c r="AM2318" s="17"/>
      <c r="AN2318" s="17"/>
      <c r="AO2318" s="17"/>
      <c r="AP2318" s="28" t="str">
        <f t="shared" si="693"/>
        <v>20232</v>
      </c>
      <c r="AQ2318" s="28" t="str">
        <f t="shared" si="694"/>
        <v>20232RMB</v>
      </c>
      <c r="AR2318" s="206" t="str">
        <f t="shared" si="695"/>
        <v>YAMAHA_Mounter</v>
      </c>
      <c r="AS2318" s="22">
        <f t="shared" si="696"/>
        <v>2</v>
      </c>
      <c r="AT2318" s="24" t="str">
        <f t="shared" si="697"/>
        <v>0-3 months</v>
      </c>
      <c r="AU2318" s="22" t="s">
        <v>3751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79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4"/>
        <v>1.13</v>
      </c>
      <c r="Z2319" s="18">
        <f t="shared" si="698"/>
        <v>450000</v>
      </c>
      <c r="AA2319" s="13">
        <v>1.1599999999999999</v>
      </c>
      <c r="AB2319" s="21">
        <f t="shared" si="680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85"/>
        <v>21045012.884955753</v>
      </c>
      <c r="AJ2319" s="19">
        <f t="shared" si="686"/>
        <v>2650260.9603327443</v>
      </c>
      <c r="AK2319" s="20">
        <f t="shared" si="692"/>
        <v>0.12593296924172048</v>
      </c>
      <c r="AL2319" s="17"/>
      <c r="AM2319" s="17"/>
      <c r="AN2319" s="17"/>
      <c r="AO2319" s="17"/>
      <c r="AP2319" s="28" t="str">
        <f t="shared" si="693"/>
        <v>20232</v>
      </c>
      <c r="AQ2319" s="28" t="str">
        <f t="shared" si="694"/>
        <v>20232RMB</v>
      </c>
      <c r="AR2319" s="206" t="str">
        <f t="shared" si="695"/>
        <v>YAMAHA_Mounter</v>
      </c>
      <c r="AS2319" s="22">
        <f t="shared" si="696"/>
        <v>2</v>
      </c>
      <c r="AT2319" s="24" t="str">
        <f t="shared" si="697"/>
        <v>0-3 months</v>
      </c>
      <c r="AU2319" s="22" t="s">
        <v>3751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79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4"/>
        <v>1.13</v>
      </c>
      <c r="Z2320" s="18">
        <f t="shared" si="698"/>
        <v>450000</v>
      </c>
      <c r="AA2320" s="13">
        <v>1.1599999999999999</v>
      </c>
      <c r="AB2320" s="21">
        <f t="shared" si="680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85"/>
        <v>21045012.884955753</v>
      </c>
      <c r="AJ2320" s="19">
        <f t="shared" si="686"/>
        <v>2650260.9603327443</v>
      </c>
      <c r="AK2320" s="20">
        <f t="shared" si="692"/>
        <v>0.12593296924172048</v>
      </c>
      <c r="AL2320" s="17"/>
      <c r="AM2320" s="17"/>
      <c r="AN2320" s="17"/>
      <c r="AO2320" s="17"/>
      <c r="AP2320" s="28" t="str">
        <f t="shared" si="693"/>
        <v>20232</v>
      </c>
      <c r="AQ2320" s="28" t="str">
        <f t="shared" si="694"/>
        <v>20232RMB</v>
      </c>
      <c r="AR2320" s="206" t="str">
        <f t="shared" si="695"/>
        <v>YAMAHA_Mounter</v>
      </c>
      <c r="AS2320" s="22">
        <f t="shared" si="696"/>
        <v>2</v>
      </c>
      <c r="AT2320" s="24" t="str">
        <f t="shared" si="697"/>
        <v>0-3 months</v>
      </c>
      <c r="AU2320" s="22" t="s">
        <v>3751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79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4"/>
        <v>1.13</v>
      </c>
      <c r="Z2321" s="18">
        <f t="shared" si="698"/>
        <v>726000</v>
      </c>
      <c r="AA2321" s="13">
        <v>1.1599999999999999</v>
      </c>
      <c r="AB2321" s="21">
        <f t="shared" si="680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85"/>
        <v>21045012.884955753</v>
      </c>
      <c r="AJ2321" s="19">
        <f t="shared" si="686"/>
        <v>2650260.9603327443</v>
      </c>
      <c r="AK2321" s="20">
        <f t="shared" si="692"/>
        <v>0.12593296924172048</v>
      </c>
      <c r="AL2321" s="17"/>
      <c r="AM2321" s="17"/>
      <c r="AN2321" s="17"/>
      <c r="AO2321" s="17"/>
      <c r="AP2321" s="28" t="str">
        <f t="shared" si="693"/>
        <v>20232</v>
      </c>
      <c r="AQ2321" s="28" t="str">
        <f t="shared" si="694"/>
        <v>20232RMB</v>
      </c>
      <c r="AR2321" s="206" t="str">
        <f t="shared" si="695"/>
        <v>YAMAHA_Mounter</v>
      </c>
      <c r="AS2321" s="22">
        <f t="shared" si="696"/>
        <v>2</v>
      </c>
      <c r="AT2321" s="24" t="str">
        <f t="shared" si="697"/>
        <v>0-3 months</v>
      </c>
      <c r="AU2321" s="22" t="s">
        <v>3751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79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4"/>
        <v>1.13</v>
      </c>
      <c r="Z2322" s="18">
        <f t="shared" si="698"/>
        <v>500000</v>
      </c>
      <c r="AA2322" s="13">
        <v>1.1599999999999999</v>
      </c>
      <c r="AB2322" s="21">
        <f t="shared" si="680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85"/>
        <v>21045012.884955753</v>
      </c>
      <c r="AJ2322" s="19">
        <f t="shared" si="686"/>
        <v>2650260.9603327443</v>
      </c>
      <c r="AK2322" s="20">
        <f t="shared" si="692"/>
        <v>0.12593296924172048</v>
      </c>
      <c r="AL2322" s="17"/>
      <c r="AM2322" s="17"/>
      <c r="AN2322" s="17"/>
      <c r="AO2322" s="17"/>
      <c r="AP2322" s="28" t="str">
        <f t="shared" si="693"/>
        <v>20232</v>
      </c>
      <c r="AQ2322" s="28" t="str">
        <f t="shared" si="694"/>
        <v>20232RMB</v>
      </c>
      <c r="AR2322" s="206" t="str">
        <f t="shared" si="695"/>
        <v>YAMAHA_Mounter</v>
      </c>
      <c r="AS2322" s="22">
        <f t="shared" si="696"/>
        <v>0</v>
      </c>
      <c r="AT2322" s="24" t="str">
        <f t="shared" si="697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79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4"/>
        <v>1.13</v>
      </c>
      <c r="Z2323" s="18">
        <f t="shared" si="698"/>
        <v>500000</v>
      </c>
      <c r="AA2323" s="13">
        <v>1.1599999999999999</v>
      </c>
      <c r="AB2323" s="21">
        <f t="shared" si="680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85"/>
        <v>21045012.884955753</v>
      </c>
      <c r="AJ2323" s="19">
        <f t="shared" si="686"/>
        <v>2650260.9603327443</v>
      </c>
      <c r="AK2323" s="20">
        <f t="shared" si="692"/>
        <v>0.12593296924172048</v>
      </c>
      <c r="AL2323" s="17"/>
      <c r="AM2323" s="17"/>
      <c r="AN2323" s="17"/>
      <c r="AO2323" s="17"/>
      <c r="AP2323" s="28" t="str">
        <f t="shared" si="693"/>
        <v>20232</v>
      </c>
      <c r="AQ2323" s="28" t="str">
        <f t="shared" si="694"/>
        <v>20232RMB</v>
      </c>
      <c r="AR2323" s="206" t="str">
        <f t="shared" si="695"/>
        <v>YAMAHA_Mounter</v>
      </c>
      <c r="AS2323" s="22">
        <f t="shared" si="696"/>
        <v>0</v>
      </c>
      <c r="AT2323" s="24" t="str">
        <f t="shared" si="697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79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4"/>
        <v>1.13</v>
      </c>
      <c r="Z2324" s="18">
        <f t="shared" si="698"/>
        <v>746812.5</v>
      </c>
      <c r="AA2324" s="13">
        <v>1.1599999999999999</v>
      </c>
      <c r="AB2324" s="21">
        <f t="shared" si="680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85"/>
        <v>21045012.884955753</v>
      </c>
      <c r="AJ2324" s="19">
        <f t="shared" si="686"/>
        <v>2650260.9603327443</v>
      </c>
      <c r="AK2324" s="20">
        <f t="shared" si="692"/>
        <v>0.12593296924172048</v>
      </c>
      <c r="AL2324" s="17"/>
      <c r="AM2324" s="17"/>
      <c r="AN2324" s="17"/>
      <c r="AO2324" s="17"/>
      <c r="AP2324" s="28" t="str">
        <f t="shared" si="693"/>
        <v>20232</v>
      </c>
      <c r="AQ2324" s="28" t="str">
        <f t="shared" si="694"/>
        <v>20232RMB</v>
      </c>
      <c r="AR2324" s="206" t="str">
        <f t="shared" si="695"/>
        <v>YAMAHA_Mounter</v>
      </c>
      <c r="AS2324" s="22">
        <f t="shared" si="696"/>
        <v>0</v>
      </c>
      <c r="AT2324" s="24" t="str">
        <f t="shared" si="697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79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4"/>
        <v>1.13</v>
      </c>
      <c r="Z2325" s="18">
        <f t="shared" si="698"/>
        <v>746812.5</v>
      </c>
      <c r="AA2325" s="13">
        <v>1.1599999999999999</v>
      </c>
      <c r="AB2325" s="21">
        <f t="shared" si="680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85"/>
        <v>21045012.884955753</v>
      </c>
      <c r="AJ2325" s="19">
        <f t="shared" si="686"/>
        <v>2650260.9603327443</v>
      </c>
      <c r="AK2325" s="20">
        <f t="shared" si="692"/>
        <v>0.12593296924172048</v>
      </c>
      <c r="AL2325" s="17"/>
      <c r="AM2325" s="17"/>
      <c r="AN2325" s="17"/>
      <c r="AO2325" s="17"/>
      <c r="AP2325" s="28" t="str">
        <f t="shared" si="693"/>
        <v>20232</v>
      </c>
      <c r="AQ2325" s="28" t="str">
        <f t="shared" si="694"/>
        <v>20232RMB</v>
      </c>
      <c r="AR2325" s="206" t="str">
        <f t="shared" si="695"/>
        <v>YAMAHA_Mounter</v>
      </c>
      <c r="AS2325" s="22">
        <f t="shared" si="696"/>
        <v>0</v>
      </c>
      <c r="AT2325" s="24" t="str">
        <f t="shared" si="697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99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4"/>
        <v>1.13</v>
      </c>
      <c r="Z2326" s="18">
        <f t="shared" si="698"/>
        <v>746812.5</v>
      </c>
      <c r="AA2326" s="13">
        <v>1.1599999999999999</v>
      </c>
      <c r="AB2326" s="21">
        <f t="shared" ref="AB2326:AB2389" si="700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85"/>
        <v>21045012.884955753</v>
      </c>
      <c r="AJ2326" s="19">
        <f t="shared" si="686"/>
        <v>2650260.9603327443</v>
      </c>
      <c r="AK2326" s="20">
        <f t="shared" si="692"/>
        <v>0.12593296924172048</v>
      </c>
      <c r="AL2326" s="17"/>
      <c r="AM2326" s="17"/>
      <c r="AN2326" s="17"/>
      <c r="AO2326" s="17"/>
      <c r="AP2326" s="28" t="str">
        <f t="shared" si="693"/>
        <v>20232</v>
      </c>
      <c r="AQ2326" s="28" t="str">
        <f t="shared" si="694"/>
        <v>20232RMB</v>
      </c>
      <c r="AR2326" s="206" t="str">
        <f t="shared" si="695"/>
        <v>YAMAHA_Mounter</v>
      </c>
      <c r="AS2326" s="22">
        <f t="shared" si="696"/>
        <v>0</v>
      </c>
      <c r="AT2326" s="24" t="str">
        <f t="shared" si="697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99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4"/>
        <v>1.13</v>
      </c>
      <c r="Z2327" s="18">
        <f t="shared" si="698"/>
        <v>746812.5</v>
      </c>
      <c r="AA2327" s="13">
        <v>1.1599999999999999</v>
      </c>
      <c r="AB2327" s="21">
        <f t="shared" si="700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85"/>
        <v>21045012.884955753</v>
      </c>
      <c r="AJ2327" s="19">
        <f t="shared" si="686"/>
        <v>2650260.9603327443</v>
      </c>
      <c r="AK2327" s="20">
        <f t="shared" si="692"/>
        <v>0.12593296924172048</v>
      </c>
      <c r="AL2327" s="17"/>
      <c r="AM2327" s="17"/>
      <c r="AN2327" s="17"/>
      <c r="AO2327" s="17"/>
      <c r="AP2327" s="28" t="str">
        <f t="shared" si="693"/>
        <v>20232</v>
      </c>
      <c r="AQ2327" s="28" t="str">
        <f t="shared" si="694"/>
        <v>20232RMB</v>
      </c>
      <c r="AR2327" s="206" t="str">
        <f t="shared" si="695"/>
        <v>YAMAHA_Mounter</v>
      </c>
      <c r="AS2327" s="22">
        <f t="shared" si="696"/>
        <v>0</v>
      </c>
      <c r="AT2327" s="24" t="str">
        <f t="shared" si="697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99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4"/>
        <v>1.13</v>
      </c>
      <c r="Z2328" s="18">
        <f t="shared" si="698"/>
        <v>746812.5</v>
      </c>
      <c r="AA2328" s="13">
        <v>1.1599999999999999</v>
      </c>
      <c r="AB2328" s="21">
        <f t="shared" si="700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85"/>
        <v>21045012.884955753</v>
      </c>
      <c r="AJ2328" s="19">
        <f t="shared" si="686"/>
        <v>2650260.9603327443</v>
      </c>
      <c r="AK2328" s="20">
        <f t="shared" si="692"/>
        <v>0.12593296924172048</v>
      </c>
      <c r="AL2328" s="17"/>
      <c r="AM2328" s="17"/>
      <c r="AN2328" s="17"/>
      <c r="AO2328" s="17"/>
      <c r="AP2328" s="28" t="str">
        <f t="shared" si="693"/>
        <v>20232</v>
      </c>
      <c r="AQ2328" s="28" t="str">
        <f t="shared" si="694"/>
        <v>20232RMB</v>
      </c>
      <c r="AR2328" s="206" t="str">
        <f t="shared" si="695"/>
        <v>YAMAHA_Mounter</v>
      </c>
      <c r="AS2328" s="22">
        <f t="shared" si="696"/>
        <v>0</v>
      </c>
      <c r="AT2328" s="24" t="str">
        <f t="shared" si="697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99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4"/>
        <v>1.13</v>
      </c>
      <c r="Z2329" s="18">
        <f t="shared" si="698"/>
        <v>746812.5</v>
      </c>
      <c r="AA2329" s="13">
        <v>1.1599999999999999</v>
      </c>
      <c r="AB2329" s="21">
        <f t="shared" si="700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85"/>
        <v>21045012.884955753</v>
      </c>
      <c r="AJ2329" s="19">
        <f t="shared" si="686"/>
        <v>2650260.9603327443</v>
      </c>
      <c r="AK2329" s="20">
        <f t="shared" si="692"/>
        <v>0.12593296924172048</v>
      </c>
      <c r="AL2329" s="17"/>
      <c r="AM2329" s="17"/>
      <c r="AN2329" s="17"/>
      <c r="AO2329" s="17"/>
      <c r="AP2329" s="28" t="str">
        <f t="shared" si="693"/>
        <v>20232</v>
      </c>
      <c r="AQ2329" s="28" t="str">
        <f t="shared" si="694"/>
        <v>20232RMB</v>
      </c>
      <c r="AR2329" s="206" t="str">
        <f t="shared" si="695"/>
        <v>YAMAHA_Mounter</v>
      </c>
      <c r="AS2329" s="22">
        <f t="shared" si="696"/>
        <v>0</v>
      </c>
      <c r="AT2329" s="24" t="str">
        <f t="shared" si="697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99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4"/>
        <v>1.13</v>
      </c>
      <c r="Z2330" s="18">
        <f t="shared" si="698"/>
        <v>746812.5</v>
      </c>
      <c r="AA2330" s="13">
        <v>1.1599999999999999</v>
      </c>
      <c r="AB2330" s="21">
        <f t="shared" si="700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85"/>
        <v>21045012.884955753</v>
      </c>
      <c r="AJ2330" s="19">
        <f t="shared" si="686"/>
        <v>2650260.9603327443</v>
      </c>
      <c r="AK2330" s="20">
        <f t="shared" si="692"/>
        <v>0.12593296924172048</v>
      </c>
      <c r="AL2330" s="17"/>
      <c r="AM2330" s="17"/>
      <c r="AN2330" s="17"/>
      <c r="AO2330" s="17"/>
      <c r="AP2330" s="28" t="str">
        <f t="shared" si="693"/>
        <v>20232</v>
      </c>
      <c r="AQ2330" s="28" t="str">
        <f t="shared" si="694"/>
        <v>20232RMB</v>
      </c>
      <c r="AR2330" s="206" t="str">
        <f t="shared" si="695"/>
        <v>YAMAHA_Mounter</v>
      </c>
      <c r="AS2330" s="22">
        <f t="shared" si="696"/>
        <v>0</v>
      </c>
      <c r="AT2330" s="24" t="str">
        <f t="shared" si="697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99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4"/>
        <v>1.13</v>
      </c>
      <c r="Z2331" s="18">
        <f t="shared" si="698"/>
        <v>746812.5</v>
      </c>
      <c r="AA2331" s="13">
        <v>1.1599999999999999</v>
      </c>
      <c r="AB2331" s="21">
        <f t="shared" si="700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85"/>
        <v>21045012.884955753</v>
      </c>
      <c r="AJ2331" s="19">
        <f t="shared" si="686"/>
        <v>2650260.9603327443</v>
      </c>
      <c r="AK2331" s="20">
        <f t="shared" si="692"/>
        <v>0.12593296924172048</v>
      </c>
      <c r="AL2331" s="17"/>
      <c r="AM2331" s="17"/>
      <c r="AN2331" s="17"/>
      <c r="AO2331" s="17"/>
      <c r="AP2331" s="28" t="str">
        <f t="shared" si="693"/>
        <v>20232</v>
      </c>
      <c r="AQ2331" s="28" t="str">
        <f t="shared" si="694"/>
        <v>20232RMB</v>
      </c>
      <c r="AR2331" s="206" t="str">
        <f t="shared" si="695"/>
        <v>YAMAHA_Mounter</v>
      </c>
      <c r="AS2331" s="22">
        <f t="shared" si="696"/>
        <v>0</v>
      </c>
      <c r="AT2331" s="24" t="str">
        <f t="shared" si="697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99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4"/>
        <v>1.13</v>
      </c>
      <c r="Z2332" s="18">
        <f t="shared" si="698"/>
        <v>460000</v>
      </c>
      <c r="AA2332" s="13">
        <v>1.077</v>
      </c>
      <c r="AB2332" s="21">
        <f t="shared" si="700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85"/>
        <v>26078226.463097349</v>
      </c>
      <c r="AJ2332" s="19">
        <f t="shared" si="686"/>
        <v>3137870.4427774516</v>
      </c>
      <c r="AK2332" s="20">
        <f t="shared" si="692"/>
        <v>0.12032530077218917</v>
      </c>
      <c r="AL2332" s="17"/>
      <c r="AM2332" s="17"/>
      <c r="AN2332" s="17"/>
      <c r="AO2332" s="17"/>
      <c r="AP2332" s="28" t="str">
        <f t="shared" si="693"/>
        <v>20239</v>
      </c>
      <c r="AQ2332" s="28" t="str">
        <f t="shared" si="694"/>
        <v>20239RMB</v>
      </c>
      <c r="AR2332" s="206" t="str">
        <f t="shared" si="695"/>
        <v>YAMAHA_Mounter</v>
      </c>
      <c r="AS2332" s="22">
        <f t="shared" si="696"/>
        <v>2</v>
      </c>
      <c r="AT2332" s="24" t="str">
        <f t="shared" si="697"/>
        <v>0-3 months</v>
      </c>
      <c r="AU2332" s="22" t="s">
        <v>3751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99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4"/>
        <v>1.13</v>
      </c>
      <c r="Z2333" s="18">
        <f t="shared" si="698"/>
        <v>460000</v>
      </c>
      <c r="AA2333" s="13">
        <v>1.077</v>
      </c>
      <c r="AB2333" s="21">
        <f t="shared" si="700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85"/>
        <v>26078226.463097349</v>
      </c>
      <c r="AJ2333" s="19">
        <f t="shared" si="686"/>
        <v>3137870.4427774516</v>
      </c>
      <c r="AK2333" s="20">
        <f t="shared" si="692"/>
        <v>0.12032530077218917</v>
      </c>
      <c r="AL2333" s="17"/>
      <c r="AM2333" s="17"/>
      <c r="AN2333" s="17"/>
      <c r="AO2333" s="17"/>
      <c r="AP2333" s="28" t="str">
        <f t="shared" si="693"/>
        <v>20239</v>
      </c>
      <c r="AQ2333" s="28" t="str">
        <f t="shared" si="694"/>
        <v>20239RMB</v>
      </c>
      <c r="AR2333" s="206" t="str">
        <f t="shared" si="695"/>
        <v>YAMAHA_Mounter</v>
      </c>
      <c r="AS2333" s="22">
        <f t="shared" si="696"/>
        <v>2</v>
      </c>
      <c r="AT2333" s="24" t="str">
        <f t="shared" si="697"/>
        <v>0-3 months</v>
      </c>
      <c r="AU2333" s="22" t="s">
        <v>3751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99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4"/>
        <v>1.13</v>
      </c>
      <c r="Z2334" s="18">
        <f t="shared" si="698"/>
        <v>771800</v>
      </c>
      <c r="AA2334" s="13">
        <v>1.077</v>
      </c>
      <c r="AB2334" s="21">
        <f t="shared" si="700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85"/>
        <v>26078226.463097349</v>
      </c>
      <c r="AJ2334" s="19">
        <f t="shared" si="686"/>
        <v>3137870.4427774516</v>
      </c>
      <c r="AK2334" s="20">
        <f t="shared" si="692"/>
        <v>0.12032530077218917</v>
      </c>
      <c r="AL2334" s="17"/>
      <c r="AM2334" s="17"/>
      <c r="AN2334" s="17"/>
      <c r="AO2334" s="17"/>
      <c r="AP2334" s="28" t="str">
        <f t="shared" si="693"/>
        <v>20239</v>
      </c>
      <c r="AQ2334" s="28" t="str">
        <f t="shared" si="694"/>
        <v>20239RMB</v>
      </c>
      <c r="AR2334" s="206" t="str">
        <f t="shared" si="695"/>
        <v>YAMAHA_Mounter</v>
      </c>
      <c r="AS2334" s="22">
        <f t="shared" si="696"/>
        <v>2</v>
      </c>
      <c r="AT2334" s="24" t="str">
        <f t="shared" si="697"/>
        <v>0-3 months</v>
      </c>
      <c r="AU2334" s="22" t="s">
        <v>3751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99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4"/>
        <v>1.13</v>
      </c>
      <c r="Z2335" s="18">
        <f t="shared" si="698"/>
        <v>771800</v>
      </c>
      <c r="AA2335" s="13">
        <v>1.077</v>
      </c>
      <c r="AB2335" s="21">
        <f t="shared" si="700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85"/>
        <v>26078226.463097349</v>
      </c>
      <c r="AJ2335" s="19">
        <f t="shared" si="686"/>
        <v>3137870.4427774516</v>
      </c>
      <c r="AK2335" s="20">
        <f t="shared" si="692"/>
        <v>0.12032530077218917</v>
      </c>
      <c r="AL2335" s="17"/>
      <c r="AM2335" s="17"/>
      <c r="AN2335" s="17"/>
      <c r="AO2335" s="17"/>
      <c r="AP2335" s="28" t="str">
        <f t="shared" si="693"/>
        <v>20239</v>
      </c>
      <c r="AQ2335" s="28" t="str">
        <f t="shared" si="694"/>
        <v>20239RMB</v>
      </c>
      <c r="AR2335" s="206" t="str">
        <f t="shared" si="695"/>
        <v>YAMAHA_Mounter</v>
      </c>
      <c r="AS2335" s="22">
        <f t="shared" si="696"/>
        <v>2</v>
      </c>
      <c r="AT2335" s="24" t="str">
        <f t="shared" si="697"/>
        <v>0-3 months</v>
      </c>
      <c r="AU2335" s="22" t="s">
        <v>3751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99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4"/>
        <v>1.13</v>
      </c>
      <c r="Z2336" s="18">
        <f t="shared" si="698"/>
        <v>771800</v>
      </c>
      <c r="AA2336" s="13">
        <v>1.077</v>
      </c>
      <c r="AB2336" s="21">
        <f t="shared" si="700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85"/>
        <v>26078226.463097349</v>
      </c>
      <c r="AJ2336" s="19">
        <f t="shared" si="686"/>
        <v>3137870.4427774516</v>
      </c>
      <c r="AK2336" s="20">
        <f t="shared" si="692"/>
        <v>0.12032530077218917</v>
      </c>
      <c r="AL2336" s="17"/>
      <c r="AM2336" s="17"/>
      <c r="AN2336" s="17"/>
      <c r="AO2336" s="17"/>
      <c r="AP2336" s="28" t="str">
        <f t="shared" si="693"/>
        <v>20239</v>
      </c>
      <c r="AQ2336" s="28" t="str">
        <f t="shared" si="694"/>
        <v>20239RMB</v>
      </c>
      <c r="AR2336" s="206" t="str">
        <f t="shared" si="695"/>
        <v>YAMAHA_Mounter</v>
      </c>
      <c r="AS2336" s="22">
        <f t="shared" si="696"/>
        <v>2</v>
      </c>
      <c r="AT2336" s="24" t="str">
        <f t="shared" si="697"/>
        <v>0-3 months</v>
      </c>
      <c r="AU2336" s="22" t="s">
        <v>3751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99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4"/>
        <v>1.13</v>
      </c>
      <c r="Z2337" s="18">
        <f t="shared" si="698"/>
        <v>771800</v>
      </c>
      <c r="AA2337" s="13">
        <v>1.077</v>
      </c>
      <c r="AB2337" s="21">
        <f t="shared" si="700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85"/>
        <v>26078226.463097349</v>
      </c>
      <c r="AJ2337" s="19">
        <f t="shared" si="686"/>
        <v>3137870.4427774516</v>
      </c>
      <c r="AK2337" s="20">
        <f t="shared" si="692"/>
        <v>0.12032530077218917</v>
      </c>
      <c r="AL2337" s="17"/>
      <c r="AM2337" s="17"/>
      <c r="AN2337" s="17"/>
      <c r="AO2337" s="17"/>
      <c r="AP2337" s="28" t="str">
        <f t="shared" si="693"/>
        <v>20239</v>
      </c>
      <c r="AQ2337" s="28" t="str">
        <f t="shared" si="694"/>
        <v>20239RMB</v>
      </c>
      <c r="AR2337" s="206" t="str">
        <f t="shared" si="695"/>
        <v>YAMAHA_Mounter</v>
      </c>
      <c r="AS2337" s="22">
        <f t="shared" si="696"/>
        <v>2</v>
      </c>
      <c r="AT2337" s="24" t="str">
        <f t="shared" si="697"/>
        <v>0-3 months</v>
      </c>
      <c r="AU2337" s="22" t="s">
        <v>3751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99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4"/>
        <v>1.13</v>
      </c>
      <c r="Z2338" s="18">
        <f t="shared" si="698"/>
        <v>771800</v>
      </c>
      <c r="AA2338" s="13">
        <v>1.077</v>
      </c>
      <c r="AB2338" s="21">
        <f t="shared" si="700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85"/>
        <v>26078226.463097349</v>
      </c>
      <c r="AJ2338" s="19">
        <f t="shared" si="686"/>
        <v>3137870.4427774516</v>
      </c>
      <c r="AK2338" s="20">
        <f t="shared" si="692"/>
        <v>0.12032530077218917</v>
      </c>
      <c r="AL2338" s="17"/>
      <c r="AM2338" s="17"/>
      <c r="AN2338" s="17"/>
      <c r="AO2338" s="17"/>
      <c r="AP2338" s="28" t="str">
        <f t="shared" si="693"/>
        <v>20239</v>
      </c>
      <c r="AQ2338" s="28" t="str">
        <f t="shared" si="694"/>
        <v>20239RMB</v>
      </c>
      <c r="AR2338" s="206" t="str">
        <f t="shared" si="695"/>
        <v>YAMAHA_Mounter</v>
      </c>
      <c r="AS2338" s="22">
        <f t="shared" si="696"/>
        <v>2</v>
      </c>
      <c r="AT2338" s="24" t="str">
        <f t="shared" si="697"/>
        <v>0-3 months</v>
      </c>
      <c r="AU2338" s="22" t="s">
        <v>3751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99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4"/>
        <v>1.13</v>
      </c>
      <c r="Z2339" s="18">
        <f t="shared" si="698"/>
        <v>771800</v>
      </c>
      <c r="AA2339" s="13">
        <v>1.077</v>
      </c>
      <c r="AB2339" s="21">
        <f t="shared" si="700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85"/>
        <v>26078226.463097349</v>
      </c>
      <c r="AJ2339" s="19">
        <f t="shared" si="686"/>
        <v>3137870.4427774516</v>
      </c>
      <c r="AK2339" s="20">
        <f t="shared" si="692"/>
        <v>0.12032530077218917</v>
      </c>
      <c r="AL2339" s="17"/>
      <c r="AM2339" s="17"/>
      <c r="AN2339" s="17"/>
      <c r="AO2339" s="17"/>
      <c r="AP2339" s="28" t="str">
        <f t="shared" si="693"/>
        <v>20239</v>
      </c>
      <c r="AQ2339" s="28" t="str">
        <f t="shared" si="694"/>
        <v>20239RMB</v>
      </c>
      <c r="AR2339" s="206" t="str">
        <f t="shared" si="695"/>
        <v>YAMAHA_Mounter</v>
      </c>
      <c r="AS2339" s="22">
        <f t="shared" si="696"/>
        <v>2</v>
      </c>
      <c r="AT2339" s="24" t="str">
        <f t="shared" si="697"/>
        <v>0-3 months</v>
      </c>
      <c r="AU2339" s="22" t="s">
        <v>3751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99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98"/>
        <v>265000</v>
      </c>
      <c r="AA2340" s="13">
        <v>1.095</v>
      </c>
      <c r="AB2340" s="21">
        <f t="shared" si="700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85"/>
        <v>28647263.974455759</v>
      </c>
      <c r="AJ2340" s="19">
        <f t="shared" si="686"/>
        <v>3219855.6912513468</v>
      </c>
      <c r="AK2340" s="20">
        <f t="shared" si="692"/>
        <v>0.11239662168514358</v>
      </c>
      <c r="AL2340" s="17"/>
      <c r="AM2340" s="17"/>
      <c r="AN2340" s="17"/>
      <c r="AO2340" s="17"/>
      <c r="AP2340" s="28" t="str">
        <f t="shared" si="693"/>
        <v>201910</v>
      </c>
      <c r="AQ2340" s="28" t="str">
        <f t="shared" si="694"/>
        <v>201910RMB</v>
      </c>
      <c r="AR2340" s="206" t="str">
        <f t="shared" si="695"/>
        <v>SAKI</v>
      </c>
      <c r="AS2340" s="22">
        <f t="shared" si="696"/>
        <v>3</v>
      </c>
      <c r="AT2340" s="24" t="str">
        <f t="shared" si="697"/>
        <v>0-3 months</v>
      </c>
      <c r="AU2340" s="22" t="s">
        <v>3744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99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98"/>
        <v>480000</v>
      </c>
      <c r="AA2341" s="13">
        <v>1.2</v>
      </c>
      <c r="AB2341" s="21">
        <f t="shared" si="700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85"/>
        <v>57778307.282035396</v>
      </c>
      <c r="AJ2341" s="19">
        <f t="shared" si="686"/>
        <v>7259860.7225420559</v>
      </c>
      <c r="AK2341" s="20">
        <f t="shared" si="692"/>
        <v>0.12565028406083667</v>
      </c>
      <c r="AL2341" s="17"/>
      <c r="AM2341" s="17"/>
      <c r="AN2341" s="17"/>
      <c r="AO2341" s="17"/>
      <c r="AP2341" s="28" t="str">
        <f t="shared" si="693"/>
        <v>20213</v>
      </c>
      <c r="AQ2341" s="28" t="str">
        <f t="shared" si="694"/>
        <v>20213RMB</v>
      </c>
      <c r="AR2341" s="206" t="str">
        <f t="shared" si="695"/>
        <v>YAMAHA_Mounter</v>
      </c>
      <c r="AS2341" s="22">
        <f t="shared" si="696"/>
        <v>2</v>
      </c>
      <c r="AT2341" s="24" t="str">
        <f t="shared" si="697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99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98"/>
        <v>480000</v>
      </c>
      <c r="AA2342" s="13">
        <v>1.2</v>
      </c>
      <c r="AB2342" s="21">
        <f t="shared" si="700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85"/>
        <v>57778307.282035396</v>
      </c>
      <c r="AJ2342" s="19">
        <f t="shared" si="686"/>
        <v>7259860.7225420559</v>
      </c>
      <c r="AK2342" s="20">
        <f t="shared" si="692"/>
        <v>0.12565028406083667</v>
      </c>
      <c r="AL2342" s="17"/>
      <c r="AM2342" s="17"/>
      <c r="AN2342" s="17"/>
      <c r="AO2342" s="17"/>
      <c r="AP2342" s="28" t="str">
        <f t="shared" si="693"/>
        <v>20213</v>
      </c>
      <c r="AQ2342" s="28" t="str">
        <f t="shared" si="694"/>
        <v>20213RMB</v>
      </c>
      <c r="AR2342" s="206" t="str">
        <f t="shared" si="695"/>
        <v>YAMAHA_Mounter</v>
      </c>
      <c r="AS2342" s="22">
        <f t="shared" si="696"/>
        <v>2</v>
      </c>
      <c r="AT2342" s="24" t="str">
        <f t="shared" si="697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99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98"/>
        <v>480000</v>
      </c>
      <c r="AA2343" s="13">
        <v>1.2</v>
      </c>
      <c r="AB2343" s="21">
        <f t="shared" si="700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85"/>
        <v>57778307.282035396</v>
      </c>
      <c r="AJ2343" s="19">
        <f t="shared" si="686"/>
        <v>7259860.7225420559</v>
      </c>
      <c r="AK2343" s="20">
        <f t="shared" si="692"/>
        <v>0.12565028406083667</v>
      </c>
      <c r="AL2343" s="17"/>
      <c r="AM2343" s="17"/>
      <c r="AN2343" s="17"/>
      <c r="AO2343" s="17"/>
      <c r="AP2343" s="28" t="str">
        <f t="shared" si="693"/>
        <v>20213</v>
      </c>
      <c r="AQ2343" s="28" t="str">
        <f t="shared" si="694"/>
        <v>20213RMB</v>
      </c>
      <c r="AR2343" s="206" t="str">
        <f t="shared" si="695"/>
        <v>YAMAHA_Mounter</v>
      </c>
      <c r="AS2343" s="22">
        <f t="shared" si="696"/>
        <v>2</v>
      </c>
      <c r="AT2343" s="24" t="str">
        <f t="shared" si="697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99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98"/>
        <v>480000</v>
      </c>
      <c r="AA2344" s="13">
        <v>1.2</v>
      </c>
      <c r="AB2344" s="21">
        <f t="shared" si="700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85"/>
        <v>499582152.5142017</v>
      </c>
      <c r="AJ2344" s="19">
        <f t="shared" si="686"/>
        <v>59520528.679470733</v>
      </c>
      <c r="AK2344" s="20">
        <f t="shared" si="692"/>
        <v>0.11914062257814291</v>
      </c>
      <c r="AL2344" s="17"/>
      <c r="AM2344" s="17"/>
      <c r="AN2344" s="17"/>
      <c r="AO2344" s="17"/>
      <c r="AP2344" s="28" t="str">
        <f t="shared" si="693"/>
        <v>CancelCANCEL</v>
      </c>
      <c r="AQ2344" s="28" t="str">
        <f t="shared" si="694"/>
        <v>CancelCANCELRMB</v>
      </c>
      <c r="AR2344" s="206" t="str">
        <f t="shared" si="695"/>
        <v>YAMAHA_Mounter</v>
      </c>
      <c r="AS2344" s="22" t="str">
        <f t="shared" si="696"/>
        <v/>
      </c>
      <c r="AT2344" s="24" t="str">
        <f t="shared" si="697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99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98"/>
        <v>363000</v>
      </c>
      <c r="AA2345" s="22">
        <v>1.0900000000000001</v>
      </c>
      <c r="AB2345" s="21">
        <f t="shared" si="700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85"/>
        <v>21241742.157380536</v>
      </c>
      <c r="AJ2345" s="27">
        <f t="shared" si="686"/>
        <v>2987081.1613773629</v>
      </c>
      <c r="AK2345" s="28">
        <f t="shared" si="692"/>
        <v>0.14062317201884914</v>
      </c>
      <c r="AL2345" s="24"/>
      <c r="AM2345" s="24"/>
      <c r="AN2345" s="24"/>
      <c r="AO2345" s="24"/>
      <c r="AP2345" s="28" t="str">
        <f t="shared" si="693"/>
        <v>20243</v>
      </c>
      <c r="AQ2345" s="28" t="str">
        <f t="shared" si="694"/>
        <v>20243RMB</v>
      </c>
      <c r="AR2345" s="206" t="str">
        <f t="shared" si="695"/>
        <v>YAMAHA_Mounter</v>
      </c>
      <c r="AS2345" s="22">
        <f t="shared" si="696"/>
        <v>0</v>
      </c>
      <c r="AT2345" s="24" t="str">
        <f t="shared" si="697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99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98"/>
        <v>363000</v>
      </c>
      <c r="AA2346" s="22">
        <v>1.0900000000000001</v>
      </c>
      <c r="AB2346" s="21">
        <f t="shared" si="700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85"/>
        <v>21241742.157380536</v>
      </c>
      <c r="AJ2346" s="27">
        <f t="shared" si="686"/>
        <v>2987081.1613773629</v>
      </c>
      <c r="AK2346" s="28">
        <f t="shared" si="692"/>
        <v>0.14062317201884914</v>
      </c>
      <c r="AL2346" s="24"/>
      <c r="AM2346" s="24"/>
      <c r="AN2346" s="24"/>
      <c r="AO2346" s="24"/>
      <c r="AP2346" s="28" t="str">
        <f t="shared" si="693"/>
        <v>20243</v>
      </c>
      <c r="AQ2346" s="28" t="str">
        <f t="shared" si="694"/>
        <v>20243RMB</v>
      </c>
      <c r="AR2346" s="206" t="str">
        <f t="shared" si="695"/>
        <v>YAMAHA_Mounter</v>
      </c>
      <c r="AS2346" s="22">
        <f t="shared" si="696"/>
        <v>0</v>
      </c>
      <c r="AT2346" s="24" t="str">
        <f t="shared" si="697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99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98"/>
        <v>780000</v>
      </c>
      <c r="AA2347" s="13">
        <v>1.175</v>
      </c>
      <c r="AB2347" s="21">
        <f t="shared" si="700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85"/>
        <v>499582152.5142017</v>
      </c>
      <c r="AJ2347" s="19">
        <f t="shared" si="686"/>
        <v>59520528.679470733</v>
      </c>
      <c r="AK2347" s="20">
        <f t="shared" si="692"/>
        <v>0.11914062257814291</v>
      </c>
      <c r="AL2347" s="17"/>
      <c r="AM2347" s="17"/>
      <c r="AN2347" s="17"/>
      <c r="AO2347" s="17"/>
      <c r="AP2347" s="28" t="str">
        <f t="shared" si="693"/>
        <v>CancelCANCEL</v>
      </c>
      <c r="AQ2347" s="28" t="str">
        <f t="shared" si="694"/>
        <v>CancelCANCELRMB</v>
      </c>
      <c r="AR2347" s="206" t="str">
        <f t="shared" si="695"/>
        <v>YAMAHA_Mounter</v>
      </c>
      <c r="AS2347" s="22" t="str">
        <f t="shared" si="696"/>
        <v/>
      </c>
      <c r="AT2347" s="24" t="str">
        <f t="shared" si="697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99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98"/>
        <v>780000</v>
      </c>
      <c r="AA2348" s="13">
        <v>1.175</v>
      </c>
      <c r="AB2348" s="21">
        <f t="shared" si="700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85"/>
        <v>499582152.5142017</v>
      </c>
      <c r="AJ2348" s="19">
        <f t="shared" si="686"/>
        <v>59520528.679470733</v>
      </c>
      <c r="AK2348" s="20">
        <f t="shared" si="692"/>
        <v>0.11914062257814291</v>
      </c>
      <c r="AL2348" s="17"/>
      <c r="AM2348" s="17"/>
      <c r="AN2348" s="17"/>
      <c r="AO2348" s="17"/>
      <c r="AP2348" s="28" t="str">
        <f t="shared" si="693"/>
        <v>CancelCANCEL</v>
      </c>
      <c r="AQ2348" s="28" t="str">
        <f t="shared" si="694"/>
        <v>CancelCANCELRMB</v>
      </c>
      <c r="AR2348" s="206" t="str">
        <f t="shared" si="695"/>
        <v>YAMAHA_Mounter</v>
      </c>
      <c r="AS2348" s="22" t="str">
        <f t="shared" si="696"/>
        <v/>
      </c>
      <c r="AT2348" s="24" t="str">
        <f t="shared" si="697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99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98"/>
        <v>1550000</v>
      </c>
      <c r="AA2349" s="13">
        <v>1.1100000000000001</v>
      </c>
      <c r="AB2349" s="21">
        <f t="shared" si="700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85"/>
        <v>23168285.927433632</v>
      </c>
      <c r="AJ2349" s="19">
        <f t="shared" si="686"/>
        <v>2764878.916878053</v>
      </c>
      <c r="AK2349" s="20">
        <f t="shared" si="692"/>
        <v>0.11933895004309111</v>
      </c>
      <c r="AL2349" s="17"/>
      <c r="AM2349" s="17"/>
      <c r="AN2349" s="17"/>
      <c r="AO2349" s="17"/>
      <c r="AP2349" s="28" t="str">
        <f t="shared" si="693"/>
        <v>20203</v>
      </c>
      <c r="AQ2349" s="28" t="str">
        <f t="shared" si="694"/>
        <v>20203RMB</v>
      </c>
      <c r="AR2349" s="206" t="str">
        <f t="shared" si="695"/>
        <v>YAMAHA_Mounter</v>
      </c>
      <c r="AS2349" s="22">
        <f t="shared" si="696"/>
        <v>3</v>
      </c>
      <c r="AT2349" s="24" t="str">
        <f t="shared" si="697"/>
        <v>0-3 months</v>
      </c>
      <c r="AU2349" s="22" t="s">
        <v>3751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99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98"/>
        <v>1550000</v>
      </c>
      <c r="AA2350" s="13">
        <v>1.1100000000000001</v>
      </c>
      <c r="AB2350" s="21">
        <f t="shared" si="700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85"/>
        <v>23168285.927433632</v>
      </c>
      <c r="AJ2350" s="19">
        <f t="shared" si="686"/>
        <v>2764878.916878053</v>
      </c>
      <c r="AK2350" s="20">
        <f t="shared" si="692"/>
        <v>0.11933895004309111</v>
      </c>
      <c r="AL2350" s="17"/>
      <c r="AM2350" s="17"/>
      <c r="AN2350" s="17"/>
      <c r="AO2350" s="17"/>
      <c r="AP2350" s="28" t="str">
        <f t="shared" si="693"/>
        <v>20203</v>
      </c>
      <c r="AQ2350" s="28" t="str">
        <f t="shared" si="694"/>
        <v>20203RMB</v>
      </c>
      <c r="AR2350" s="206" t="str">
        <f t="shared" si="695"/>
        <v>YAMAHA_Mounter</v>
      </c>
      <c r="AS2350" s="22">
        <f t="shared" si="696"/>
        <v>3</v>
      </c>
      <c r="AT2350" s="24" t="str">
        <f t="shared" si="697"/>
        <v>0-3 months</v>
      </c>
      <c r="AU2350" s="22" t="s">
        <v>3751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99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98"/>
        <v>13700000</v>
      </c>
      <c r="AA2351" s="13">
        <v>7.4499999999999997E-2</v>
      </c>
      <c r="AB2351" s="21">
        <f t="shared" si="700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85"/>
        <v>57778307.282035396</v>
      </c>
      <c r="AJ2351" s="19">
        <f t="shared" si="686"/>
        <v>7259860.7225420559</v>
      </c>
      <c r="AK2351" s="20">
        <f t="shared" si="692"/>
        <v>0.12565028406083667</v>
      </c>
      <c r="AL2351" s="17"/>
      <c r="AM2351" s="17"/>
      <c r="AN2351" s="17"/>
      <c r="AO2351" s="17" t="s">
        <v>1657</v>
      </c>
      <c r="AP2351" s="28" t="str">
        <f t="shared" si="693"/>
        <v>20213</v>
      </c>
      <c r="AQ2351" s="28" t="str">
        <f t="shared" si="694"/>
        <v>20213JPY</v>
      </c>
      <c r="AR2351" s="206" t="str">
        <f t="shared" si="695"/>
        <v>YAMAHA_Mounter</v>
      </c>
      <c r="AS2351" s="22">
        <f t="shared" si="696"/>
        <v>2</v>
      </c>
      <c r="AT2351" s="24" t="str">
        <f t="shared" si="697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99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98"/>
        <v>13700000</v>
      </c>
      <c r="AA2352" s="13">
        <v>7.4499999999999997E-2</v>
      </c>
      <c r="AB2352" s="21">
        <f t="shared" si="700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85"/>
        <v>57778307.282035396</v>
      </c>
      <c r="AJ2352" s="19">
        <f t="shared" si="686"/>
        <v>7259860.7225420559</v>
      </c>
      <c r="AK2352" s="20">
        <f t="shared" si="692"/>
        <v>0.12565028406083667</v>
      </c>
      <c r="AL2352" s="17"/>
      <c r="AM2352" s="17"/>
      <c r="AN2352" s="17"/>
      <c r="AO2352" s="17" t="s">
        <v>1657</v>
      </c>
      <c r="AP2352" s="28" t="str">
        <f t="shared" si="693"/>
        <v>20213</v>
      </c>
      <c r="AQ2352" s="28" t="str">
        <f t="shared" si="694"/>
        <v>20213JPY</v>
      </c>
      <c r="AR2352" s="206" t="str">
        <f t="shared" si="695"/>
        <v>YAMAHA_Mounter</v>
      </c>
      <c r="AS2352" s="22">
        <f t="shared" si="696"/>
        <v>2</v>
      </c>
      <c r="AT2352" s="24" t="str">
        <f t="shared" si="697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99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98"/>
        <v>507500</v>
      </c>
      <c r="AA2353" s="13">
        <v>1.095</v>
      </c>
      <c r="AB2353" s="21">
        <f t="shared" si="700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85"/>
        <v>33477255.428389374</v>
      </c>
      <c r="AJ2353" s="19">
        <f t="shared" si="686"/>
        <v>4578663.362915583</v>
      </c>
      <c r="AK2353" s="20">
        <f t="shared" si="692"/>
        <v>0.13676937682988152</v>
      </c>
      <c r="AL2353" s="17"/>
      <c r="AM2353" s="17"/>
      <c r="AN2353" s="17"/>
      <c r="AO2353" s="17"/>
      <c r="AP2353" s="28" t="str">
        <f t="shared" si="693"/>
        <v>20204</v>
      </c>
      <c r="AQ2353" s="28" t="str">
        <f t="shared" si="694"/>
        <v>20204RMB</v>
      </c>
      <c r="AR2353" s="206" t="str">
        <f t="shared" si="695"/>
        <v>YAMAHA_Mounter</v>
      </c>
      <c r="AS2353" s="22">
        <f t="shared" si="696"/>
        <v>0</v>
      </c>
      <c r="AT2353" s="24" t="str">
        <f t="shared" si="697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99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1">IF(W2354="RMB","1.13", "1")</f>
        <v>1.13</v>
      </c>
      <c r="Z2354" s="18">
        <f t="shared" si="698"/>
        <v>1911428.6</v>
      </c>
      <c r="AA2354" s="13">
        <v>1.2</v>
      </c>
      <c r="AB2354" s="21">
        <f t="shared" si="700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85"/>
        <v>47458373.787610628</v>
      </c>
      <c r="AJ2354" s="19">
        <f t="shared" si="686"/>
        <v>7436880.1411522133</v>
      </c>
      <c r="AK2354" s="20">
        <f t="shared" si="692"/>
        <v>0.15670322321692506</v>
      </c>
      <c r="AL2354" s="17"/>
      <c r="AM2354" s="17"/>
      <c r="AN2354" s="17"/>
      <c r="AO2354" s="17"/>
      <c r="AP2354" s="28" t="str">
        <f t="shared" si="693"/>
        <v>20218</v>
      </c>
      <c r="AQ2354" s="28" t="str">
        <f t="shared" si="694"/>
        <v>20218RMB</v>
      </c>
      <c r="AR2354" s="206" t="str">
        <f t="shared" si="695"/>
        <v>YAMAHA_Mounter</v>
      </c>
      <c r="AS2354" s="22">
        <f t="shared" si="696"/>
        <v>3</v>
      </c>
      <c r="AT2354" s="24" t="str">
        <f t="shared" si="697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99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1"/>
        <v>1.13</v>
      </c>
      <c r="Z2355" s="18">
        <f t="shared" si="698"/>
        <v>1911428.6</v>
      </c>
      <c r="AA2355" s="13">
        <v>1.2</v>
      </c>
      <c r="AB2355" s="21">
        <f t="shared" si="700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85"/>
        <v>47458373.787610628</v>
      </c>
      <c r="AJ2355" s="19">
        <f t="shared" si="686"/>
        <v>7436880.1411522133</v>
      </c>
      <c r="AK2355" s="20">
        <f t="shared" si="692"/>
        <v>0.15670322321692506</v>
      </c>
      <c r="AL2355" s="17"/>
      <c r="AM2355" s="17"/>
      <c r="AN2355" s="17"/>
      <c r="AO2355" s="17"/>
      <c r="AP2355" s="28" t="str">
        <f t="shared" si="693"/>
        <v>20218</v>
      </c>
      <c r="AQ2355" s="28" t="str">
        <f t="shared" si="694"/>
        <v>20218RMB</v>
      </c>
      <c r="AR2355" s="206" t="str">
        <f t="shared" si="695"/>
        <v>YAMAHA_Mounter</v>
      </c>
      <c r="AS2355" s="22">
        <f t="shared" si="696"/>
        <v>3</v>
      </c>
      <c r="AT2355" s="24" t="str">
        <f t="shared" si="697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99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1"/>
        <v>1.13</v>
      </c>
      <c r="Z2356" s="18">
        <f t="shared" si="698"/>
        <v>1911428.6</v>
      </c>
      <c r="AA2356" s="13">
        <v>1.2</v>
      </c>
      <c r="AB2356" s="21">
        <f t="shared" si="700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85"/>
        <v>47458373.787610628</v>
      </c>
      <c r="AJ2356" s="19">
        <f t="shared" si="686"/>
        <v>7436880.1411522133</v>
      </c>
      <c r="AK2356" s="20">
        <f t="shared" si="692"/>
        <v>0.15670322321692506</v>
      </c>
      <c r="AL2356" s="17"/>
      <c r="AM2356" s="17"/>
      <c r="AN2356" s="17"/>
      <c r="AO2356" s="17"/>
      <c r="AP2356" s="28" t="str">
        <f t="shared" si="693"/>
        <v>20218</v>
      </c>
      <c r="AQ2356" s="28" t="str">
        <f t="shared" si="694"/>
        <v>20218RMB</v>
      </c>
      <c r="AR2356" s="206" t="str">
        <f t="shared" si="695"/>
        <v>YAMAHA_Mounter</v>
      </c>
      <c r="AS2356" s="22">
        <f t="shared" si="696"/>
        <v>3</v>
      </c>
      <c r="AT2356" s="24" t="str">
        <f t="shared" si="697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99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1"/>
        <v>1.13</v>
      </c>
      <c r="Z2357" s="18">
        <f t="shared" si="698"/>
        <v>1911428.6</v>
      </c>
      <c r="AA2357" s="13">
        <v>1.2</v>
      </c>
      <c r="AB2357" s="21">
        <f t="shared" si="700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85"/>
        <v>47458373.787610628</v>
      </c>
      <c r="AJ2357" s="19">
        <f t="shared" si="686"/>
        <v>7436880.1411522133</v>
      </c>
      <c r="AK2357" s="20">
        <f t="shared" si="692"/>
        <v>0.15670322321692506</v>
      </c>
      <c r="AL2357" s="17"/>
      <c r="AM2357" s="17"/>
      <c r="AN2357" s="17"/>
      <c r="AO2357" s="17"/>
      <c r="AP2357" s="28" t="str">
        <f t="shared" si="693"/>
        <v>20218</v>
      </c>
      <c r="AQ2357" s="28" t="str">
        <f t="shared" si="694"/>
        <v>20218RMB</v>
      </c>
      <c r="AR2357" s="206" t="str">
        <f t="shared" si="695"/>
        <v>YAMAHA_Mounter</v>
      </c>
      <c r="AS2357" s="22">
        <f t="shared" si="696"/>
        <v>3</v>
      </c>
      <c r="AT2357" s="24" t="str">
        <f t="shared" si="697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99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1"/>
        <v>1.13</v>
      </c>
      <c r="Z2358" s="18">
        <f t="shared" si="698"/>
        <v>1911428.6</v>
      </c>
      <c r="AA2358" s="13">
        <v>1.2</v>
      </c>
      <c r="AB2358" s="21">
        <f t="shared" si="700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85"/>
        <v>47458373.787610628</v>
      </c>
      <c r="AJ2358" s="19">
        <f t="shared" si="686"/>
        <v>7436880.1411522133</v>
      </c>
      <c r="AK2358" s="20">
        <f t="shared" si="692"/>
        <v>0.15670322321692506</v>
      </c>
      <c r="AL2358" s="17"/>
      <c r="AM2358" s="17"/>
      <c r="AN2358" s="17"/>
      <c r="AO2358" s="17"/>
      <c r="AP2358" s="28" t="str">
        <f t="shared" si="693"/>
        <v>20218</v>
      </c>
      <c r="AQ2358" s="28" t="str">
        <f t="shared" si="694"/>
        <v>20218RMB</v>
      </c>
      <c r="AR2358" s="206" t="str">
        <f t="shared" si="695"/>
        <v>YAMAHA_Mounter</v>
      </c>
      <c r="AS2358" s="22">
        <f t="shared" si="696"/>
        <v>3</v>
      </c>
      <c r="AT2358" s="24" t="str">
        <f t="shared" si="697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99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1"/>
        <v>1.13</v>
      </c>
      <c r="Z2359" s="18">
        <f t="shared" si="698"/>
        <v>1911428.6</v>
      </c>
      <c r="AA2359" s="13">
        <v>1.2</v>
      </c>
      <c r="AB2359" s="21">
        <f t="shared" si="700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85"/>
        <v>47458373.787610628</v>
      </c>
      <c r="AJ2359" s="19">
        <f t="shared" si="686"/>
        <v>7436880.1411522133</v>
      </c>
      <c r="AK2359" s="20">
        <f t="shared" si="692"/>
        <v>0.15670322321692506</v>
      </c>
      <c r="AL2359" s="17"/>
      <c r="AM2359" s="17"/>
      <c r="AN2359" s="17"/>
      <c r="AO2359" s="17"/>
      <c r="AP2359" s="28" t="str">
        <f t="shared" si="693"/>
        <v>20218</v>
      </c>
      <c r="AQ2359" s="28" t="str">
        <f t="shared" si="694"/>
        <v>20218RMB</v>
      </c>
      <c r="AR2359" s="206" t="str">
        <f t="shared" si="695"/>
        <v>YAMAHA_Mounter</v>
      </c>
      <c r="AS2359" s="22">
        <f t="shared" si="696"/>
        <v>3</v>
      </c>
      <c r="AT2359" s="24" t="str">
        <f t="shared" si="697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99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1"/>
        <v>1.13</v>
      </c>
      <c r="Z2360" s="18">
        <f t="shared" si="698"/>
        <v>1911428.6</v>
      </c>
      <c r="AA2360" s="13">
        <v>1.2</v>
      </c>
      <c r="AB2360" s="21">
        <f t="shared" si="700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85"/>
        <v>15533177.71460177</v>
      </c>
      <c r="AJ2360" s="19">
        <f t="shared" si="686"/>
        <v>1819298.5437526547</v>
      </c>
      <c r="AK2360" s="20">
        <f t="shared" si="692"/>
        <v>0.11712339723265033</v>
      </c>
      <c r="AL2360" s="17"/>
      <c r="AM2360" s="17"/>
      <c r="AN2360" s="17"/>
      <c r="AO2360" s="17"/>
      <c r="AP2360" s="28" t="str">
        <f t="shared" si="693"/>
        <v>202110</v>
      </c>
      <c r="AQ2360" s="28" t="str">
        <f t="shared" si="694"/>
        <v>202110RMB</v>
      </c>
      <c r="AR2360" s="206" t="str">
        <f t="shared" si="695"/>
        <v>YAMAHA_Mounter</v>
      </c>
      <c r="AS2360" s="22">
        <f t="shared" si="696"/>
        <v>5</v>
      </c>
      <c r="AT2360" s="24" t="str">
        <f t="shared" si="697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99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1"/>
        <v>1.13</v>
      </c>
      <c r="Z2361" s="18">
        <f t="shared" si="698"/>
        <v>1716155.3</v>
      </c>
      <c r="AA2361" s="13">
        <v>1.077</v>
      </c>
      <c r="AB2361" s="21">
        <f t="shared" si="700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85"/>
        <v>26078226.463097349</v>
      </c>
      <c r="AJ2361" s="19">
        <f t="shared" si="686"/>
        <v>3137870.4427774516</v>
      </c>
      <c r="AK2361" s="20">
        <f t="shared" si="692"/>
        <v>0.12032530077218917</v>
      </c>
      <c r="AL2361" s="17"/>
      <c r="AM2361" s="17"/>
      <c r="AN2361" s="17"/>
      <c r="AO2361" s="17"/>
      <c r="AP2361" s="28" t="str">
        <f t="shared" si="693"/>
        <v>20239</v>
      </c>
      <c r="AQ2361" s="28" t="str">
        <f t="shared" si="694"/>
        <v>20239RMB</v>
      </c>
      <c r="AR2361" s="206" t="str">
        <f t="shared" si="695"/>
        <v>YAMAHA_Mounter</v>
      </c>
      <c r="AS2361" s="22">
        <f t="shared" si="696"/>
        <v>3</v>
      </c>
      <c r="AT2361" s="24" t="str">
        <f t="shared" si="697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99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1"/>
        <v>1.13</v>
      </c>
      <c r="Z2362" s="18">
        <f t="shared" si="698"/>
        <v>1716155.3</v>
      </c>
      <c r="AA2362" s="13">
        <v>1.077</v>
      </c>
      <c r="AB2362" s="21">
        <f t="shared" si="700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85"/>
        <v>26078226.463097349</v>
      </c>
      <c r="AJ2362" s="19">
        <f t="shared" si="686"/>
        <v>3137870.4427774516</v>
      </c>
      <c r="AK2362" s="20">
        <f t="shared" si="692"/>
        <v>0.12032530077218917</v>
      </c>
      <c r="AL2362" s="17"/>
      <c r="AM2362" s="17"/>
      <c r="AN2362" s="17"/>
      <c r="AO2362" s="17"/>
      <c r="AP2362" s="28" t="str">
        <f t="shared" si="693"/>
        <v>20239</v>
      </c>
      <c r="AQ2362" s="28" t="str">
        <f t="shared" si="694"/>
        <v>20239RMB</v>
      </c>
      <c r="AR2362" s="206" t="str">
        <f t="shared" si="695"/>
        <v>YAMAHA_Mounter</v>
      </c>
      <c r="AS2362" s="22">
        <f t="shared" si="696"/>
        <v>3</v>
      </c>
      <c r="AT2362" s="24" t="str">
        <f t="shared" si="697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99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1"/>
        <v>1.13</v>
      </c>
      <c r="Z2363" s="18">
        <f t="shared" si="698"/>
        <v>1716155.3</v>
      </c>
      <c r="AA2363" s="13">
        <v>1.077</v>
      </c>
      <c r="AB2363" s="21">
        <f t="shared" si="700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85"/>
        <v>26078226.463097349</v>
      </c>
      <c r="AJ2363" s="19">
        <f t="shared" si="686"/>
        <v>3137870.4427774516</v>
      </c>
      <c r="AK2363" s="20">
        <f t="shared" si="692"/>
        <v>0.12032530077218917</v>
      </c>
      <c r="AL2363" s="17"/>
      <c r="AM2363" s="17"/>
      <c r="AN2363" s="17"/>
      <c r="AO2363" s="17"/>
      <c r="AP2363" s="28" t="str">
        <f t="shared" si="693"/>
        <v>20239</v>
      </c>
      <c r="AQ2363" s="28" t="str">
        <f t="shared" si="694"/>
        <v>20239RMB</v>
      </c>
      <c r="AR2363" s="206" t="str">
        <f t="shared" si="695"/>
        <v>YAMAHA_Mounter</v>
      </c>
      <c r="AS2363" s="22">
        <f t="shared" si="696"/>
        <v>3</v>
      </c>
      <c r="AT2363" s="24" t="str">
        <f t="shared" si="697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99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98"/>
        <v>202770000</v>
      </c>
      <c r="AA2364" s="13">
        <v>7.2300000000000003E-2</v>
      </c>
      <c r="AB2364" s="21">
        <f t="shared" si="700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85"/>
        <v>23237072.69172414</v>
      </c>
      <c r="AJ2364" s="19">
        <f t="shared" si="686"/>
        <v>2402195.7372206897</v>
      </c>
      <c r="AK2364" s="20">
        <f t="shared" si="692"/>
        <v>0.10337772614862238</v>
      </c>
      <c r="AL2364" s="17"/>
      <c r="AM2364" s="17"/>
      <c r="AN2364" s="17"/>
      <c r="AO2364" s="17"/>
      <c r="AP2364" s="28" t="str">
        <f t="shared" si="693"/>
        <v>20191</v>
      </c>
      <c r="AQ2364" s="28" t="str">
        <f t="shared" si="694"/>
        <v>20191JPY</v>
      </c>
      <c r="AR2364" s="206" t="str">
        <f t="shared" si="695"/>
        <v>YAMAHA_Mounter</v>
      </c>
      <c r="AS2364" s="22">
        <f t="shared" si="696"/>
        <v>4</v>
      </c>
      <c r="AT2364" s="24" t="str">
        <f t="shared" si="697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99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98"/>
        <v>660000</v>
      </c>
      <c r="AA2365" s="13">
        <v>1.123</v>
      </c>
      <c r="AB2365" s="21">
        <f t="shared" si="700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85"/>
        <v>499582152.5142017</v>
      </c>
      <c r="AJ2365" s="19">
        <f t="shared" si="686"/>
        <v>59520528.679470733</v>
      </c>
      <c r="AK2365" s="20">
        <f t="shared" si="692"/>
        <v>0.11914062257814291</v>
      </c>
      <c r="AL2365" s="17"/>
      <c r="AM2365" s="17"/>
      <c r="AN2365" s="17"/>
      <c r="AO2365" s="17"/>
      <c r="AP2365" s="28" t="str">
        <f t="shared" si="693"/>
        <v>CancelCancel</v>
      </c>
      <c r="AQ2365" s="28" t="str">
        <f t="shared" si="694"/>
        <v>CancelCancelRMB</v>
      </c>
      <c r="AR2365" s="206" t="str">
        <f t="shared" si="695"/>
        <v>YAMAHA_Mounter</v>
      </c>
      <c r="AS2365" s="22" t="str">
        <f t="shared" si="696"/>
        <v/>
      </c>
      <c r="AT2365" s="24" t="str">
        <f t="shared" si="697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99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2">IF(W2366="RMB","1.13", "1")</f>
        <v>1.13</v>
      </c>
      <c r="Z2366" s="18">
        <f t="shared" si="698"/>
        <v>977164</v>
      </c>
      <c r="AA2366" s="13">
        <v>1.2</v>
      </c>
      <c r="AB2366" s="21">
        <f t="shared" si="700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85"/>
        <v>57778307.282035396</v>
      </c>
      <c r="AJ2366" s="19">
        <f t="shared" si="686"/>
        <v>7259860.7225420559</v>
      </c>
      <c r="AK2366" s="20">
        <f t="shared" si="692"/>
        <v>0.12565028406083667</v>
      </c>
      <c r="AL2366" s="17"/>
      <c r="AM2366" s="17"/>
      <c r="AN2366" s="17"/>
      <c r="AO2366" s="17"/>
      <c r="AP2366" s="28" t="str">
        <f t="shared" si="693"/>
        <v>20213</v>
      </c>
      <c r="AQ2366" s="28" t="str">
        <f t="shared" si="694"/>
        <v>20213RMB</v>
      </c>
      <c r="AR2366" s="206" t="str">
        <f t="shared" si="695"/>
        <v>YAMAHA_Mounter</v>
      </c>
      <c r="AS2366" s="22">
        <f t="shared" si="696"/>
        <v>1</v>
      </c>
      <c r="AT2366" s="24" t="str">
        <f t="shared" si="697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99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2"/>
        <v>1.13</v>
      </c>
      <c r="Z2367" s="18">
        <f t="shared" si="698"/>
        <v>483600</v>
      </c>
      <c r="AA2367" s="13">
        <v>1.18</v>
      </c>
      <c r="AB2367" s="21">
        <f t="shared" si="700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85"/>
        <v>43684091.636631854</v>
      </c>
      <c r="AJ2367" s="19">
        <f t="shared" si="686"/>
        <v>6483951.8242071122</v>
      </c>
      <c r="AK2367" s="20">
        <f t="shared" si="692"/>
        <v>0.14842821680123736</v>
      </c>
      <c r="AL2367" s="17"/>
      <c r="AM2367" s="17"/>
      <c r="AN2367" s="17"/>
      <c r="AO2367" s="17"/>
      <c r="AP2367" s="28" t="str">
        <f t="shared" si="693"/>
        <v>20214</v>
      </c>
      <c r="AQ2367" s="28" t="str">
        <f t="shared" si="694"/>
        <v>20214RMB</v>
      </c>
      <c r="AR2367" s="206" t="str">
        <f t="shared" si="695"/>
        <v>YAMAHA_Mounter</v>
      </c>
      <c r="AS2367" s="22">
        <f t="shared" si="696"/>
        <v>2</v>
      </c>
      <c r="AT2367" s="24" t="str">
        <f t="shared" si="697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99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2"/>
        <v>1.13</v>
      </c>
      <c r="Z2368" s="18">
        <f t="shared" si="698"/>
        <v>483600</v>
      </c>
      <c r="AA2368" s="13">
        <v>1.18</v>
      </c>
      <c r="AB2368" s="21">
        <f t="shared" si="700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85"/>
        <v>43684091.636631854</v>
      </c>
      <c r="AJ2368" s="19">
        <f t="shared" si="686"/>
        <v>6483951.8242071122</v>
      </c>
      <c r="AK2368" s="20">
        <f t="shared" si="692"/>
        <v>0.14842821680123736</v>
      </c>
      <c r="AL2368" s="17"/>
      <c r="AM2368" s="17"/>
      <c r="AN2368" s="17"/>
      <c r="AO2368" s="17"/>
      <c r="AP2368" s="28" t="str">
        <f t="shared" si="693"/>
        <v>20214</v>
      </c>
      <c r="AQ2368" s="28" t="str">
        <f t="shared" si="694"/>
        <v>20214RMB</v>
      </c>
      <c r="AR2368" s="206" t="str">
        <f t="shared" si="695"/>
        <v>YAMAHA_Mounter</v>
      </c>
      <c r="AS2368" s="22">
        <f t="shared" si="696"/>
        <v>2</v>
      </c>
      <c r="AT2368" s="24" t="str">
        <f t="shared" si="697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99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2"/>
        <v>1.13</v>
      </c>
      <c r="Z2369" s="18">
        <f t="shared" si="698"/>
        <v>483600</v>
      </c>
      <c r="AA2369" s="13">
        <v>1.18</v>
      </c>
      <c r="AB2369" s="21">
        <f t="shared" si="700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85"/>
        <v>43684091.636631854</v>
      </c>
      <c r="AJ2369" s="19">
        <f t="shared" si="686"/>
        <v>6483951.8242071122</v>
      </c>
      <c r="AK2369" s="20">
        <f t="shared" si="692"/>
        <v>0.14842821680123736</v>
      </c>
      <c r="AL2369" s="17"/>
      <c r="AM2369" s="17"/>
      <c r="AN2369" s="17"/>
      <c r="AO2369" s="17"/>
      <c r="AP2369" s="28" t="str">
        <f t="shared" si="693"/>
        <v>20214</v>
      </c>
      <c r="AQ2369" s="28" t="str">
        <f t="shared" si="694"/>
        <v>20214RMB</v>
      </c>
      <c r="AR2369" s="206" t="str">
        <f t="shared" si="695"/>
        <v>YAMAHA_Mounter</v>
      </c>
      <c r="AS2369" s="22">
        <f t="shared" si="696"/>
        <v>2</v>
      </c>
      <c r="AT2369" s="24" t="str">
        <f t="shared" si="697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99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2"/>
        <v>1.13</v>
      </c>
      <c r="Z2370" s="18">
        <f t="shared" si="698"/>
        <v>460000</v>
      </c>
      <c r="AA2370" s="13">
        <v>1.163</v>
      </c>
      <c r="AB2370" s="21">
        <f t="shared" si="700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03">IF(P2370="C66 SERVICE","",SUMIFS(AB:AB,F:F,F2370,G:G,G2370,E:E,E2370))</f>
        <v>35073581.838938057</v>
      </c>
      <c r="AJ2370" s="19">
        <f t="shared" ref="AJ2370:AJ2433" si="704">IF(P2370="C66 SERVICE","",SUMIFS(AC:AC,F:F,F2370,G:G,G2370,E:E,E2370))</f>
        <v>5034113.9728989396</v>
      </c>
      <c r="AK2370" s="20">
        <f t="shared" si="692"/>
        <v>0.14353007902118958</v>
      </c>
      <c r="AL2370" s="17"/>
      <c r="AM2370" s="17"/>
      <c r="AN2370" s="17"/>
      <c r="AO2370" s="17"/>
      <c r="AP2370" s="28" t="str">
        <f t="shared" si="693"/>
        <v>20228</v>
      </c>
      <c r="AQ2370" s="28" t="str">
        <f t="shared" si="694"/>
        <v>20228RMB</v>
      </c>
      <c r="AR2370" s="206" t="str">
        <f t="shared" si="695"/>
        <v>YAMAHA_Mounter</v>
      </c>
      <c r="AS2370" s="22">
        <f t="shared" si="696"/>
        <v>2</v>
      </c>
      <c r="AT2370" s="24" t="str">
        <f t="shared" si="697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99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2"/>
        <v>1.13</v>
      </c>
      <c r="Z2371" s="18">
        <f t="shared" si="698"/>
        <v>550000</v>
      </c>
      <c r="AA2371" s="13">
        <v>1.1299999999999999</v>
      </c>
      <c r="AB2371" s="21">
        <f t="shared" si="700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03"/>
        <v>33543315.897345133</v>
      </c>
      <c r="AJ2371" s="19">
        <f t="shared" si="704"/>
        <v>4706169.3252984071</v>
      </c>
      <c r="AK2371" s="20">
        <f t="shared" si="692"/>
        <v>0.14030125523967318</v>
      </c>
      <c r="AL2371" s="17"/>
      <c r="AM2371" s="17"/>
      <c r="AN2371" s="17"/>
      <c r="AO2371" s="17"/>
      <c r="AP2371" s="28" t="str">
        <f t="shared" si="693"/>
        <v>20233</v>
      </c>
      <c r="AQ2371" s="28" t="str">
        <f t="shared" si="694"/>
        <v>20233RMB</v>
      </c>
      <c r="AR2371" s="206" t="str">
        <f t="shared" si="695"/>
        <v>YAMAHA_Mounter</v>
      </c>
      <c r="AS2371" s="22">
        <f t="shared" si="696"/>
        <v>1</v>
      </c>
      <c r="AT2371" s="24" t="str">
        <f t="shared" si="697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99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2"/>
        <v>1.13</v>
      </c>
      <c r="Z2372" s="18">
        <f t="shared" si="698"/>
        <v>800000</v>
      </c>
      <c r="AA2372" s="13">
        <v>1.1299999999999999</v>
      </c>
      <c r="AB2372" s="21">
        <f t="shared" si="700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03"/>
        <v>33543315.897345133</v>
      </c>
      <c r="AJ2372" s="19">
        <f t="shared" si="704"/>
        <v>4706169.3252984071</v>
      </c>
      <c r="AK2372" s="20">
        <f t="shared" si="692"/>
        <v>0.14030125523967318</v>
      </c>
      <c r="AL2372" s="17"/>
      <c r="AM2372" s="17"/>
      <c r="AN2372" s="17"/>
      <c r="AO2372" s="17"/>
      <c r="AP2372" s="28" t="str">
        <f t="shared" si="693"/>
        <v>20233</v>
      </c>
      <c r="AQ2372" s="28" t="str">
        <f t="shared" si="694"/>
        <v>20233RMB</v>
      </c>
      <c r="AR2372" s="206" t="str">
        <f t="shared" si="695"/>
        <v>YAMAHA_Mounter</v>
      </c>
      <c r="AS2372" s="22">
        <f t="shared" si="696"/>
        <v>1</v>
      </c>
      <c r="AT2372" s="24" t="str">
        <f t="shared" si="697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99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98"/>
        <v>430000</v>
      </c>
      <c r="AA2373" s="22">
        <v>1.083</v>
      </c>
      <c r="AB2373" s="21">
        <f t="shared" si="700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03"/>
        <v>499582152.5142017</v>
      </c>
      <c r="AJ2373" s="19">
        <f t="shared" si="704"/>
        <v>59520528.679470733</v>
      </c>
      <c r="AK2373" s="20">
        <f t="shared" si="692"/>
        <v>0.11914062257814291</v>
      </c>
      <c r="AL2373" s="17"/>
      <c r="AM2373" s="17"/>
      <c r="AN2373" s="17"/>
      <c r="AO2373" s="17"/>
      <c r="AP2373" s="28" t="str">
        <f t="shared" si="693"/>
        <v>CancelCancel</v>
      </c>
      <c r="AQ2373" s="28" t="str">
        <f t="shared" si="694"/>
        <v>CancelCancelRMB</v>
      </c>
      <c r="AR2373" s="206" t="str">
        <f t="shared" si="695"/>
        <v>YAMAHA_Mounter</v>
      </c>
      <c r="AS2373" s="22" t="str">
        <f t="shared" si="696"/>
        <v/>
      </c>
      <c r="AT2373" s="24" t="str">
        <f t="shared" si="697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99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698"/>
        <v>500000</v>
      </c>
      <c r="AA2374" s="13">
        <v>1.18</v>
      </c>
      <c r="AB2374" s="21">
        <f t="shared" si="700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03"/>
        <v>43684091.636631854</v>
      </c>
      <c r="AJ2374" s="19">
        <f t="shared" si="704"/>
        <v>6483951.8242071122</v>
      </c>
      <c r="AK2374" s="20">
        <f t="shared" ref="AK2374:AK2437" si="711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2">IF(F2374="","",F2374&amp;G2374)</f>
        <v>20214</v>
      </c>
      <c r="AQ2374" s="28" t="str">
        <f t="shared" ref="AQ2374:AQ2437" si="713">IF(W2374="","",F2374&amp;G2374&amp;W2374)</f>
        <v>20214RMB</v>
      </c>
      <c r="AR2374" s="206" t="str">
        <f t="shared" ref="AR2374:AR2437" si="714">IFERROR(IF(AND(M2374="YAMAHA", R2374="C28"), "YAMAHA_Non_Mounter", IF(AND(M2374="YAMAHA", R2374="C49"), "YAMAHA_Mounter", M2374)),"")</f>
        <v>YAMAHA_Mounter</v>
      </c>
      <c r="AS2374" s="22">
        <f t="shared" ref="AS2374:AS2437" si="715">IFERROR(IF(OR(G2374="TBA", G2374=""), "", DATEDIF(DATE(B2374, C2374, 1), DATE(F2374, G2374, 1), "M")),"")</f>
        <v>0</v>
      </c>
      <c r="AT2374" s="24" t="str">
        <f t="shared" ref="AT2374:AT2437" si="716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99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698"/>
        <v>500000</v>
      </c>
      <c r="AA2375" s="13">
        <v>1.175</v>
      </c>
      <c r="AB2375" s="21">
        <f t="shared" si="700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03"/>
        <v>499582152.5142017</v>
      </c>
      <c r="AJ2375" s="19">
        <f t="shared" si="704"/>
        <v>59520528.679470733</v>
      </c>
      <c r="AK2375" s="20">
        <f t="shared" si="711"/>
        <v>0.11914062257814291</v>
      </c>
      <c r="AL2375" s="17"/>
      <c r="AM2375" s="17"/>
      <c r="AN2375" s="17"/>
      <c r="AO2375" s="17"/>
      <c r="AP2375" s="28" t="str">
        <f t="shared" si="712"/>
        <v>CancelCancel</v>
      </c>
      <c r="AQ2375" s="28" t="str">
        <f t="shared" si="713"/>
        <v>CancelCancelRMB</v>
      </c>
      <c r="AR2375" s="206" t="str">
        <f t="shared" si="714"/>
        <v>YAMAHA_Mounter</v>
      </c>
      <c r="AS2375" s="22" t="str">
        <f t="shared" si="715"/>
        <v/>
      </c>
      <c r="AT2375" s="24" t="str">
        <f t="shared" si="716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99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698"/>
        <v>500000</v>
      </c>
      <c r="AA2376" s="13">
        <v>1.175</v>
      </c>
      <c r="AB2376" s="21">
        <f t="shared" si="700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03"/>
        <v>499582152.5142017</v>
      </c>
      <c r="AJ2376" s="19">
        <f t="shared" si="704"/>
        <v>59520528.679470733</v>
      </c>
      <c r="AK2376" s="20">
        <f t="shared" si="711"/>
        <v>0.11914062257814291</v>
      </c>
      <c r="AL2376" s="17"/>
      <c r="AM2376" s="17"/>
      <c r="AN2376" s="17"/>
      <c r="AO2376" s="17"/>
      <c r="AP2376" s="28" t="str">
        <f t="shared" si="712"/>
        <v>CancelCancel</v>
      </c>
      <c r="AQ2376" s="28" t="str">
        <f t="shared" si="713"/>
        <v>CancelCancelRMB</v>
      </c>
      <c r="AR2376" s="206" t="str">
        <f t="shared" si="714"/>
        <v>YAMAHA_Mounter</v>
      </c>
      <c r="AS2376" s="22" t="str">
        <f t="shared" si="715"/>
        <v/>
      </c>
      <c r="AT2376" s="24" t="str">
        <f t="shared" si="716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99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698"/>
        <v>900000</v>
      </c>
      <c r="AA2377" s="13">
        <v>1.2</v>
      </c>
      <c r="AB2377" s="21">
        <f t="shared" si="700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03"/>
        <v>57778307.282035396</v>
      </c>
      <c r="AJ2377" s="19">
        <f t="shared" si="704"/>
        <v>7259860.7225420559</v>
      </c>
      <c r="AK2377" s="20">
        <f t="shared" si="711"/>
        <v>0.12565028406083667</v>
      </c>
      <c r="AL2377" s="17"/>
      <c r="AM2377" s="17"/>
      <c r="AN2377" s="17"/>
      <c r="AO2377" s="17"/>
      <c r="AP2377" s="28" t="str">
        <f t="shared" si="712"/>
        <v>20213</v>
      </c>
      <c r="AQ2377" s="28" t="str">
        <f t="shared" si="713"/>
        <v>20213RMB</v>
      </c>
      <c r="AR2377" s="206" t="str">
        <f t="shared" si="714"/>
        <v>YAMAHA_Mounter</v>
      </c>
      <c r="AS2377" s="22">
        <f t="shared" si="715"/>
        <v>2</v>
      </c>
      <c r="AT2377" s="24" t="str">
        <f t="shared" si="716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99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7">IF(X2378="","",X2378*MAX(O2378,N2378))</f>
        <v>900000</v>
      </c>
      <c r="AA2378" s="13">
        <v>1.2</v>
      </c>
      <c r="AB2378" s="21">
        <f t="shared" si="700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03"/>
        <v>57778307.282035396</v>
      </c>
      <c r="AJ2378" s="19">
        <f t="shared" si="704"/>
        <v>7259860.7225420559</v>
      </c>
      <c r="AK2378" s="20">
        <f t="shared" si="711"/>
        <v>0.12565028406083667</v>
      </c>
      <c r="AL2378" s="17"/>
      <c r="AM2378" s="17"/>
      <c r="AN2378" s="17"/>
      <c r="AO2378" s="17"/>
      <c r="AP2378" s="28" t="str">
        <f t="shared" si="712"/>
        <v>20213</v>
      </c>
      <c r="AQ2378" s="28" t="str">
        <f t="shared" si="713"/>
        <v>20213RMB</v>
      </c>
      <c r="AR2378" s="206" t="str">
        <f t="shared" si="714"/>
        <v>YAMAHA_Mounter</v>
      </c>
      <c r="AS2378" s="22">
        <f t="shared" si="715"/>
        <v>2</v>
      </c>
      <c r="AT2378" s="24" t="str">
        <f t="shared" si="716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99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7"/>
        <v>705000</v>
      </c>
      <c r="AA2379" s="13">
        <v>1.2</v>
      </c>
      <c r="AB2379" s="21">
        <f t="shared" si="700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03"/>
        <v>57778307.282035396</v>
      </c>
      <c r="AJ2379" s="19">
        <f t="shared" si="704"/>
        <v>7259860.7225420559</v>
      </c>
      <c r="AK2379" s="20">
        <f t="shared" si="711"/>
        <v>0.12565028406083667</v>
      </c>
      <c r="AL2379" s="17"/>
      <c r="AM2379" s="17"/>
      <c r="AN2379" s="17"/>
      <c r="AO2379" s="17"/>
      <c r="AP2379" s="28" t="str">
        <f t="shared" si="712"/>
        <v>20213</v>
      </c>
      <c r="AQ2379" s="28" t="str">
        <f t="shared" si="713"/>
        <v>20213RMB</v>
      </c>
      <c r="AR2379" s="206" t="str">
        <f t="shared" si="714"/>
        <v>YAMAHA_Mounter</v>
      </c>
      <c r="AS2379" s="22">
        <f t="shared" si="715"/>
        <v>2</v>
      </c>
      <c r="AT2379" s="24" t="str">
        <f t="shared" si="716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99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7"/>
        <v>705000</v>
      </c>
      <c r="AA2380" s="13">
        <v>1.2</v>
      </c>
      <c r="AB2380" s="21">
        <f t="shared" si="700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03"/>
        <v>57778307.282035396</v>
      </c>
      <c r="AJ2380" s="19">
        <f t="shared" si="704"/>
        <v>7259860.7225420559</v>
      </c>
      <c r="AK2380" s="20">
        <f t="shared" si="711"/>
        <v>0.12565028406083667</v>
      </c>
      <c r="AL2380" s="17"/>
      <c r="AM2380" s="17"/>
      <c r="AN2380" s="17"/>
      <c r="AO2380" s="17"/>
      <c r="AP2380" s="28" t="str">
        <f t="shared" si="712"/>
        <v>20213</v>
      </c>
      <c r="AQ2380" s="28" t="str">
        <f t="shared" si="713"/>
        <v>20213RMB</v>
      </c>
      <c r="AR2380" s="206" t="str">
        <f t="shared" si="714"/>
        <v>YAMAHA_Mounter</v>
      </c>
      <c r="AS2380" s="22">
        <f t="shared" si="715"/>
        <v>2</v>
      </c>
      <c r="AT2380" s="24" t="str">
        <f t="shared" si="716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99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7"/>
        <v>825000</v>
      </c>
      <c r="AA2381" s="13">
        <v>1.135</v>
      </c>
      <c r="AB2381" s="21">
        <f t="shared" si="700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03"/>
        <v>31296887.037898075</v>
      </c>
      <c r="AJ2381" s="19">
        <f t="shared" si="704"/>
        <v>3588873.9502021763</v>
      </c>
      <c r="AK2381" s="20">
        <f t="shared" si="711"/>
        <v>0.11467191436184473</v>
      </c>
      <c r="AL2381" s="17"/>
      <c r="AM2381" s="17"/>
      <c r="AN2381" s="17"/>
      <c r="AO2381" s="17"/>
      <c r="AP2381" s="28" t="str">
        <f t="shared" si="712"/>
        <v>20196</v>
      </c>
      <c r="AQ2381" s="28" t="str">
        <f t="shared" si="713"/>
        <v>20196RMB</v>
      </c>
      <c r="AR2381" s="206" t="str">
        <f t="shared" si="714"/>
        <v>YAMAHA_Mounter</v>
      </c>
      <c r="AS2381" s="22">
        <f t="shared" si="715"/>
        <v>1</v>
      </c>
      <c r="AT2381" s="24" t="str">
        <f t="shared" si="716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99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7"/>
        <v>780000</v>
      </c>
      <c r="AA2382" s="13">
        <v>1.135</v>
      </c>
      <c r="AB2382" s="21">
        <f t="shared" si="700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03"/>
        <v>31296887.037898075</v>
      </c>
      <c r="AJ2382" s="19">
        <f t="shared" si="704"/>
        <v>3588873.9502021763</v>
      </c>
      <c r="AK2382" s="20">
        <f t="shared" si="711"/>
        <v>0.11467191436184473</v>
      </c>
      <c r="AL2382" s="17"/>
      <c r="AM2382" s="17"/>
      <c r="AN2382" s="17"/>
      <c r="AO2382" s="17"/>
      <c r="AP2382" s="28" t="str">
        <f t="shared" si="712"/>
        <v>20196</v>
      </c>
      <c r="AQ2382" s="28" t="str">
        <f t="shared" si="713"/>
        <v>20196RMB</v>
      </c>
      <c r="AR2382" s="206" t="str">
        <f t="shared" si="714"/>
        <v>YAMAHA_Mounter</v>
      </c>
      <c r="AS2382" s="22">
        <f t="shared" si="715"/>
        <v>1</v>
      </c>
      <c r="AT2382" s="24" t="str">
        <f t="shared" si="716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99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7"/>
        <v>539000</v>
      </c>
      <c r="AA2383" s="13">
        <v>1.1850000000000001</v>
      </c>
      <c r="AB2383" s="21">
        <f t="shared" si="700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03"/>
        <v>45803245.025628321</v>
      </c>
      <c r="AJ2383" s="19">
        <f t="shared" si="704"/>
        <v>5664636.2584379362</v>
      </c>
      <c r="AK2383" s="20">
        <f t="shared" si="711"/>
        <v>0.12367325186825515</v>
      </c>
      <c r="AL2383" s="17"/>
      <c r="AM2383" s="17"/>
      <c r="AN2383" s="17"/>
      <c r="AO2383" s="17"/>
      <c r="AP2383" s="28" t="str">
        <f t="shared" si="712"/>
        <v>20211</v>
      </c>
      <c r="AQ2383" s="28" t="str">
        <f t="shared" si="713"/>
        <v>20211RMB</v>
      </c>
      <c r="AR2383" s="206" t="str">
        <f t="shared" si="714"/>
        <v>YAMAHA_Mounter</v>
      </c>
      <c r="AS2383" s="22">
        <f t="shared" si="715"/>
        <v>2</v>
      </c>
      <c r="AT2383" s="24" t="str">
        <f t="shared" si="716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99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7"/>
        <v>510000</v>
      </c>
      <c r="AA2384" s="13">
        <v>1.23</v>
      </c>
      <c r="AB2384" s="21">
        <f t="shared" si="700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03"/>
        <v>24398045.86045352</v>
      </c>
      <c r="AJ2384" s="19">
        <f t="shared" si="704"/>
        <v>3478417.4064663448</v>
      </c>
      <c r="AK2384" s="20">
        <f t="shared" si="711"/>
        <v>0.14256950849102498</v>
      </c>
      <c r="AL2384" s="17"/>
      <c r="AM2384" s="17"/>
      <c r="AN2384" s="17"/>
      <c r="AO2384" s="17" t="s">
        <v>474</v>
      </c>
      <c r="AP2384" s="28" t="str">
        <f t="shared" si="712"/>
        <v>20186</v>
      </c>
      <c r="AQ2384" s="28" t="str">
        <f t="shared" si="713"/>
        <v>20186RMB</v>
      </c>
      <c r="AR2384" s="206" t="str">
        <f t="shared" si="714"/>
        <v>YAMAHA_Mounter</v>
      </c>
      <c r="AS2384" s="22">
        <f t="shared" si="715"/>
        <v>1</v>
      </c>
      <c r="AT2384" s="24" t="str">
        <f t="shared" si="716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99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7"/>
        <v>500000</v>
      </c>
      <c r="AA2385" s="13">
        <v>1.18</v>
      </c>
      <c r="AB2385" s="21">
        <f t="shared" si="700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03"/>
        <v>499582152.5142017</v>
      </c>
      <c r="AJ2385" s="19">
        <f t="shared" si="704"/>
        <v>59520528.679470733</v>
      </c>
      <c r="AK2385" s="20">
        <f t="shared" si="711"/>
        <v>0.11914062257814291</v>
      </c>
      <c r="AL2385" s="17"/>
      <c r="AM2385" s="17"/>
      <c r="AN2385" s="17"/>
      <c r="AO2385" s="17"/>
      <c r="AP2385" s="28" t="str">
        <f t="shared" si="712"/>
        <v>CancelCancel</v>
      </c>
      <c r="AQ2385" s="28" t="str">
        <f t="shared" si="713"/>
        <v>CancelCancelRMB</v>
      </c>
      <c r="AR2385" s="206" t="str">
        <f t="shared" si="714"/>
        <v>YAMAHA_Mounter</v>
      </c>
      <c r="AS2385" s="22" t="str">
        <f t="shared" si="715"/>
        <v/>
      </c>
      <c r="AT2385" s="24" t="str">
        <f t="shared" si="716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99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7"/>
        <v>1630000</v>
      </c>
      <c r="AA2386" s="13">
        <v>1.1499999999999999</v>
      </c>
      <c r="AB2386" s="21">
        <f t="shared" si="700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03"/>
        <v>26492741.106427077</v>
      </c>
      <c r="AJ2386" s="19">
        <f t="shared" si="704"/>
        <v>3348032.1325698122</v>
      </c>
      <c r="AK2386" s="20">
        <f t="shared" si="711"/>
        <v>0.12637545201985867</v>
      </c>
      <c r="AL2386" s="17"/>
      <c r="AM2386" s="17"/>
      <c r="AN2386" s="17"/>
      <c r="AO2386" s="17"/>
      <c r="AP2386" s="28" t="str">
        <f t="shared" si="712"/>
        <v>20189</v>
      </c>
      <c r="AQ2386" s="28" t="str">
        <f t="shared" si="713"/>
        <v>20189RMB</v>
      </c>
      <c r="AR2386" s="206" t="str">
        <f t="shared" si="714"/>
        <v>YAMAHA_Mounter</v>
      </c>
      <c r="AS2386" s="22">
        <f t="shared" si="715"/>
        <v>3</v>
      </c>
      <c r="AT2386" s="24" t="str">
        <f t="shared" si="716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99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7"/>
        <v>620000</v>
      </c>
      <c r="AA2387" s="13">
        <v>1.095</v>
      </c>
      <c r="AB2387" s="21">
        <f t="shared" si="700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03"/>
        <v>33477255.428389374</v>
      </c>
      <c r="AJ2387" s="19">
        <f t="shared" si="704"/>
        <v>4578663.362915583</v>
      </c>
      <c r="AK2387" s="20">
        <f t="shared" si="711"/>
        <v>0.13676937682988152</v>
      </c>
      <c r="AL2387" s="17"/>
      <c r="AM2387" s="17"/>
      <c r="AN2387" s="17"/>
      <c r="AO2387" s="17"/>
      <c r="AP2387" s="28" t="str">
        <f t="shared" si="712"/>
        <v>20204</v>
      </c>
      <c r="AQ2387" s="28" t="str">
        <f t="shared" si="713"/>
        <v>20204RMB</v>
      </c>
      <c r="AR2387" s="206" t="str">
        <f t="shared" si="714"/>
        <v>YAMAHA_Mounter</v>
      </c>
      <c r="AS2387" s="22">
        <f t="shared" si="715"/>
        <v>1</v>
      </c>
      <c r="AT2387" s="24" t="str">
        <f t="shared" si="716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99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7"/>
        <v>607171</v>
      </c>
      <c r="AA2388" s="13">
        <v>1.175</v>
      </c>
      <c r="AB2388" s="21">
        <f t="shared" si="700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03"/>
        <v>35682787.057522126</v>
      </c>
      <c r="AJ2388" s="19">
        <f t="shared" si="704"/>
        <v>5833368.3789623892</v>
      </c>
      <c r="AK2388" s="20">
        <f t="shared" si="711"/>
        <v>0.16347849649632912</v>
      </c>
      <c r="AL2388" s="17"/>
      <c r="AM2388" s="17"/>
      <c r="AN2388" s="17"/>
      <c r="AO2388" s="17"/>
      <c r="AP2388" s="28" t="str">
        <f t="shared" si="712"/>
        <v>20226</v>
      </c>
      <c r="AQ2388" s="28" t="str">
        <f t="shared" si="713"/>
        <v>20226RMB</v>
      </c>
      <c r="AR2388" s="206" t="str">
        <f t="shared" si="714"/>
        <v>YAMAHA_Mounter</v>
      </c>
      <c r="AS2388" s="22">
        <f t="shared" si="715"/>
        <v>7</v>
      </c>
      <c r="AT2388" s="24" t="str">
        <f t="shared" si="716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99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7"/>
        <v>607171</v>
      </c>
      <c r="AA2389" s="13">
        <v>1.175</v>
      </c>
      <c r="AB2389" s="21">
        <f t="shared" si="700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03"/>
        <v>35682787.057522126</v>
      </c>
      <c r="AJ2389" s="19">
        <f t="shared" si="704"/>
        <v>5833368.3789623892</v>
      </c>
      <c r="AK2389" s="20">
        <f t="shared" si="711"/>
        <v>0.16347849649632912</v>
      </c>
      <c r="AL2389" s="17"/>
      <c r="AM2389" s="17"/>
      <c r="AN2389" s="17"/>
      <c r="AO2389" s="17"/>
      <c r="AP2389" s="28" t="str">
        <f t="shared" si="712"/>
        <v>20226</v>
      </c>
      <c r="AQ2389" s="28" t="str">
        <f t="shared" si="713"/>
        <v>20226RMB</v>
      </c>
      <c r="AR2389" s="206" t="str">
        <f t="shared" si="714"/>
        <v>YAMAHA_Mounter</v>
      </c>
      <c r="AS2389" s="22">
        <f t="shared" si="715"/>
        <v>7</v>
      </c>
      <c r="AT2389" s="24" t="str">
        <f t="shared" si="716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18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7"/>
        <v>12800000</v>
      </c>
      <c r="AA2390" s="13">
        <v>5.8700000000000002E-2</v>
      </c>
      <c r="AB2390" s="21">
        <f t="shared" ref="AB2390:AB2453" si="719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03"/>
        <v>36480247.665929198</v>
      </c>
      <c r="AJ2390" s="19">
        <f t="shared" si="704"/>
        <v>5330996.6372757526</v>
      </c>
      <c r="AK2390" s="20">
        <f t="shared" si="711"/>
        <v>0.14613378412599562</v>
      </c>
      <c r="AL2390" s="17"/>
      <c r="AM2390" s="17"/>
      <c r="AN2390" s="17"/>
      <c r="AO2390" s="17"/>
      <c r="AP2390" s="28" t="str">
        <f t="shared" si="712"/>
        <v>20227</v>
      </c>
      <c r="AQ2390" s="28" t="str">
        <f t="shared" si="713"/>
        <v>20227JPY</v>
      </c>
      <c r="AR2390" s="206" t="str">
        <f t="shared" si="714"/>
        <v>YAMAHA_Mounter</v>
      </c>
      <c r="AS2390" s="22">
        <f t="shared" si="715"/>
        <v>3</v>
      </c>
      <c r="AT2390" s="24" t="str">
        <f t="shared" si="716"/>
        <v>0-3 months</v>
      </c>
      <c r="AU2390" s="22" t="s">
        <v>3746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18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7"/>
        <v>12000000</v>
      </c>
      <c r="AA2391" s="22">
        <v>5.6300000000000003E-2</v>
      </c>
      <c r="AB2391" s="21">
        <f t="shared" si="719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03"/>
        <v>23146578.081415929</v>
      </c>
      <c r="AJ2391" s="27">
        <f t="shared" si="704"/>
        <v>2745231.3889985834</v>
      </c>
      <c r="AK2391" s="28">
        <f t="shared" si="711"/>
        <v>0.11860204041143742</v>
      </c>
      <c r="AL2391" s="24"/>
      <c r="AM2391" s="24"/>
      <c r="AN2391" s="24"/>
      <c r="AO2391" s="24"/>
      <c r="AP2391" s="28" t="str">
        <f t="shared" si="712"/>
        <v>20241</v>
      </c>
      <c r="AQ2391" s="28" t="str">
        <f t="shared" si="713"/>
        <v>20241JPY</v>
      </c>
      <c r="AR2391" s="206" t="str">
        <f t="shared" si="714"/>
        <v>YAMAHA_Mounter</v>
      </c>
      <c r="AS2391" s="22">
        <f t="shared" si="715"/>
        <v>0</v>
      </c>
      <c r="AT2391" s="24" t="str">
        <f t="shared" si="716"/>
        <v>0-3 months</v>
      </c>
      <c r="AU2391" s="22" t="s">
        <v>3746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18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7"/>
        <v>17580000</v>
      </c>
      <c r="AA2392" s="13">
        <v>7.22E-2</v>
      </c>
      <c r="AB2392" s="21">
        <f t="shared" si="719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03"/>
        <v>29946107.503386207</v>
      </c>
      <c r="AJ2392" s="19">
        <f t="shared" si="704"/>
        <v>3987206.4954923098</v>
      </c>
      <c r="AK2392" s="20">
        <f t="shared" si="711"/>
        <v>0.13314606898547499</v>
      </c>
      <c r="AL2392" s="17"/>
      <c r="AM2392" s="17"/>
      <c r="AN2392" s="17"/>
      <c r="AO2392" s="17"/>
      <c r="AP2392" s="28" t="str">
        <f t="shared" si="712"/>
        <v>20187</v>
      </c>
      <c r="AQ2392" s="28" t="str">
        <f t="shared" si="713"/>
        <v>20187JPY</v>
      </c>
      <c r="AR2392" s="206" t="str">
        <f t="shared" si="714"/>
        <v>YAMAHA_Mounter</v>
      </c>
      <c r="AS2392" s="22">
        <f t="shared" si="715"/>
        <v>3</v>
      </c>
      <c r="AT2392" s="24" t="str">
        <f t="shared" si="716"/>
        <v>0-3 months</v>
      </c>
      <c r="AU2392" s="22" t="s">
        <v>3745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18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7"/>
        <v>21176000</v>
      </c>
      <c r="AA2393" s="13">
        <v>7.22E-2</v>
      </c>
      <c r="AB2393" s="21">
        <f t="shared" si="719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03"/>
        <v>29946107.503386207</v>
      </c>
      <c r="AJ2393" s="19">
        <f t="shared" si="704"/>
        <v>3987206.4954923098</v>
      </c>
      <c r="AK2393" s="20">
        <f t="shared" si="711"/>
        <v>0.13314606898547499</v>
      </c>
      <c r="AL2393" s="17"/>
      <c r="AM2393" s="17"/>
      <c r="AN2393" s="17"/>
      <c r="AO2393" s="17"/>
      <c r="AP2393" s="28" t="str">
        <f t="shared" si="712"/>
        <v>20187</v>
      </c>
      <c r="AQ2393" s="28" t="str">
        <f t="shared" si="713"/>
        <v>20187JPY</v>
      </c>
      <c r="AR2393" s="206" t="str">
        <f t="shared" si="714"/>
        <v>YAMAHA_Mounter</v>
      </c>
      <c r="AS2393" s="22">
        <f t="shared" si="715"/>
        <v>8</v>
      </c>
      <c r="AT2393" s="24" t="str">
        <f t="shared" si="716"/>
        <v>&gt; 6 months</v>
      </c>
      <c r="AU2393" s="22" t="s">
        <v>3746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18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7"/>
        <v>31764000</v>
      </c>
      <c r="AA2394" s="13">
        <v>7.0300000000000001E-2</v>
      </c>
      <c r="AB2394" s="21">
        <f t="shared" si="719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03"/>
        <v>13250187.062905986</v>
      </c>
      <c r="AJ2394" s="19">
        <f t="shared" si="704"/>
        <v>1545643.7555487182</v>
      </c>
      <c r="AK2394" s="20">
        <f t="shared" si="71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2"/>
        <v>20183</v>
      </c>
      <c r="AQ2394" s="28" t="str">
        <f t="shared" si="713"/>
        <v>20183JPY</v>
      </c>
      <c r="AR2394" s="206" t="str">
        <f t="shared" si="714"/>
        <v>YAMAHA_Mounter</v>
      </c>
      <c r="AS2394" s="22">
        <f t="shared" si="715"/>
        <v>4</v>
      </c>
      <c r="AT2394" s="24" t="str">
        <f t="shared" si="716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18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7"/>
        <v>7000000</v>
      </c>
      <c r="AA2395" s="13">
        <v>7.3499999999999996E-2</v>
      </c>
      <c r="AB2395" s="21">
        <f t="shared" si="719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03"/>
        <v>26147030.909862842</v>
      </c>
      <c r="AJ2395" s="19">
        <f t="shared" si="704"/>
        <v>2743862.8630715334</v>
      </c>
      <c r="AK2395" s="20">
        <f t="shared" si="711"/>
        <v>0.10493974908778378</v>
      </c>
      <c r="AL2395" s="17"/>
      <c r="AM2395" s="17"/>
      <c r="AN2395" s="17"/>
      <c r="AO2395" s="17"/>
      <c r="AP2395" s="28" t="str">
        <f t="shared" si="712"/>
        <v>201911</v>
      </c>
      <c r="AQ2395" s="28" t="str">
        <f t="shared" si="713"/>
        <v>201911JPY</v>
      </c>
      <c r="AR2395" s="206" t="str">
        <f t="shared" si="714"/>
        <v>YAMAHA_Mounter</v>
      </c>
      <c r="AS2395" s="22">
        <f t="shared" si="715"/>
        <v>0</v>
      </c>
      <c r="AT2395" s="24" t="str">
        <f t="shared" si="716"/>
        <v>0-3 months</v>
      </c>
      <c r="AU2395" s="22" t="s">
        <v>3746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18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7"/>
        <v>7000000</v>
      </c>
      <c r="AA2396" s="13">
        <v>7.3499999999999996E-2</v>
      </c>
      <c r="AB2396" s="21">
        <f t="shared" si="719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03"/>
        <v>26147030.909862842</v>
      </c>
      <c r="AJ2396" s="19">
        <f t="shared" si="704"/>
        <v>2743862.8630715334</v>
      </c>
      <c r="AK2396" s="20">
        <f t="shared" si="711"/>
        <v>0.10493974908778378</v>
      </c>
      <c r="AL2396" s="17"/>
      <c r="AM2396" s="17"/>
      <c r="AN2396" s="17"/>
      <c r="AO2396" s="17"/>
      <c r="AP2396" s="28" t="str">
        <f t="shared" si="712"/>
        <v>201911</v>
      </c>
      <c r="AQ2396" s="28" t="str">
        <f t="shared" si="713"/>
        <v>201911JPY</v>
      </c>
      <c r="AR2396" s="206" t="str">
        <f t="shared" si="714"/>
        <v>YAMAHA_Mounter</v>
      </c>
      <c r="AS2396" s="22">
        <f t="shared" si="715"/>
        <v>0</v>
      </c>
      <c r="AT2396" s="24" t="str">
        <f t="shared" si="716"/>
        <v>0-3 months</v>
      </c>
      <c r="AU2396" s="22" t="s">
        <v>3746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18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0">IF(W2397="RMB","1.13", "1")</f>
        <v>1</v>
      </c>
      <c r="Z2397" s="18">
        <f t="shared" si="717"/>
        <v>13500000</v>
      </c>
      <c r="AA2397" s="13">
        <v>6.25E-2</v>
      </c>
      <c r="AB2397" s="21">
        <f t="shared" si="719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03"/>
        <v>35682787.057522126</v>
      </c>
      <c r="AJ2397" s="19">
        <f t="shared" si="704"/>
        <v>5833368.3789623892</v>
      </c>
      <c r="AK2397" s="20">
        <f t="shared" si="711"/>
        <v>0.16347849649632912</v>
      </c>
      <c r="AL2397" s="17"/>
      <c r="AM2397" s="17"/>
      <c r="AN2397" s="17"/>
      <c r="AO2397" s="17"/>
      <c r="AP2397" s="28" t="str">
        <f t="shared" si="712"/>
        <v>20226</v>
      </c>
      <c r="AQ2397" s="28" t="str">
        <f t="shared" si="713"/>
        <v>20226JPY</v>
      </c>
      <c r="AR2397" s="206" t="str">
        <f t="shared" si="714"/>
        <v>YAMAHA_Mounter</v>
      </c>
      <c r="AS2397" s="22">
        <f t="shared" si="715"/>
        <v>3</v>
      </c>
      <c r="AT2397" s="24" t="str">
        <f t="shared" si="716"/>
        <v>0-3 months</v>
      </c>
      <c r="AU2397" s="22" t="s">
        <v>3745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18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0"/>
        <v>1</v>
      </c>
      <c r="Z2398" s="18">
        <f t="shared" si="717"/>
        <v>10500000</v>
      </c>
      <c r="AA2398" s="13">
        <v>6.25E-2</v>
      </c>
      <c r="AB2398" s="21">
        <f t="shared" si="719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03"/>
        <v>35682787.057522126</v>
      </c>
      <c r="AJ2398" s="19">
        <f t="shared" si="704"/>
        <v>5833368.3789623892</v>
      </c>
      <c r="AK2398" s="20">
        <f t="shared" si="711"/>
        <v>0.16347849649632912</v>
      </c>
      <c r="AL2398" s="17"/>
      <c r="AM2398" s="17"/>
      <c r="AN2398" s="17"/>
      <c r="AO2398" s="17"/>
      <c r="AP2398" s="28" t="str">
        <f t="shared" si="712"/>
        <v>20226</v>
      </c>
      <c r="AQ2398" s="28" t="str">
        <f t="shared" si="713"/>
        <v>20226JPY</v>
      </c>
      <c r="AR2398" s="206" t="str">
        <f t="shared" si="714"/>
        <v>YAMAHA_Mounter</v>
      </c>
      <c r="AS2398" s="22">
        <f t="shared" si="715"/>
        <v>3</v>
      </c>
      <c r="AT2398" s="24" t="str">
        <f t="shared" si="716"/>
        <v>0-3 months</v>
      </c>
      <c r="AU2398" s="22" t="s">
        <v>3745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18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0"/>
        <v>1</v>
      </c>
      <c r="Z2399" s="18">
        <f t="shared" si="717"/>
        <v>10500000</v>
      </c>
      <c r="AA2399" s="13">
        <v>6.25E-2</v>
      </c>
      <c r="AB2399" s="21">
        <f t="shared" si="719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03"/>
        <v>35682787.057522126</v>
      </c>
      <c r="AJ2399" s="19">
        <f t="shared" si="704"/>
        <v>5833368.3789623892</v>
      </c>
      <c r="AK2399" s="20">
        <f t="shared" si="711"/>
        <v>0.16347849649632912</v>
      </c>
      <c r="AL2399" s="17"/>
      <c r="AM2399" s="17"/>
      <c r="AN2399" s="17"/>
      <c r="AO2399" s="17"/>
      <c r="AP2399" s="28" t="str">
        <f t="shared" si="712"/>
        <v>20226</v>
      </c>
      <c r="AQ2399" s="28" t="str">
        <f t="shared" si="713"/>
        <v>20226JPY</v>
      </c>
      <c r="AR2399" s="206" t="str">
        <f t="shared" si="714"/>
        <v>YAMAHA_Mounter</v>
      </c>
      <c r="AS2399" s="22">
        <f t="shared" si="715"/>
        <v>3</v>
      </c>
      <c r="AT2399" s="24" t="str">
        <f t="shared" si="716"/>
        <v>0-3 months</v>
      </c>
      <c r="AU2399" s="22" t="s">
        <v>3745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18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0"/>
        <v>1</v>
      </c>
      <c r="Z2400" s="18">
        <f t="shared" si="717"/>
        <v>8350000</v>
      </c>
      <c r="AA2400" s="13">
        <v>7.2800000000000004E-2</v>
      </c>
      <c r="AB2400" s="21">
        <f t="shared" si="719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03"/>
        <v>63006605.696460173</v>
      </c>
      <c r="AJ2400" s="19">
        <f t="shared" si="704"/>
        <v>8897485.660753984</v>
      </c>
      <c r="AK2400" s="20">
        <f t="shared" si="711"/>
        <v>0.141215124388995</v>
      </c>
      <c r="AL2400" s="17"/>
      <c r="AM2400" s="17"/>
      <c r="AN2400" s="17"/>
      <c r="AO2400" s="17"/>
      <c r="AP2400" s="28" t="str">
        <f t="shared" si="712"/>
        <v>20215</v>
      </c>
      <c r="AQ2400" s="28" t="str">
        <f t="shared" si="713"/>
        <v>20215JPY</v>
      </c>
      <c r="AR2400" s="206" t="str">
        <f t="shared" si="714"/>
        <v>YAMAHA_Mounter</v>
      </c>
      <c r="AS2400" s="22">
        <f t="shared" si="715"/>
        <v>2</v>
      </c>
      <c r="AT2400" s="24" t="str">
        <f t="shared" si="716"/>
        <v>0-3 months</v>
      </c>
      <c r="AU2400" s="22" t="s">
        <v>3745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18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0"/>
        <v>1.13</v>
      </c>
      <c r="Z2401" s="18">
        <f t="shared" si="717"/>
        <v>1250000</v>
      </c>
      <c r="AA2401" s="13">
        <v>1.2150000000000001</v>
      </c>
      <c r="AB2401" s="21">
        <f t="shared" si="719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03"/>
        <v>25380121.402654871</v>
      </c>
      <c r="AJ2401" s="19">
        <f t="shared" si="704"/>
        <v>3850343.1237796471</v>
      </c>
      <c r="AK2401" s="20">
        <f t="shared" si="711"/>
        <v>0.1517070412191521</v>
      </c>
      <c r="AL2401" s="17"/>
      <c r="AM2401" s="17"/>
      <c r="AN2401" s="17"/>
      <c r="AO2401" s="17"/>
      <c r="AP2401" s="28" t="str">
        <f t="shared" si="712"/>
        <v>202112</v>
      </c>
      <c r="AQ2401" s="28" t="str">
        <f t="shared" si="713"/>
        <v>202112RMB</v>
      </c>
      <c r="AR2401" s="206" t="str">
        <f t="shared" si="714"/>
        <v>YAMAHA_Mounter</v>
      </c>
      <c r="AS2401" s="22">
        <f t="shared" si="715"/>
        <v>0</v>
      </c>
      <c r="AT2401" s="24" t="str">
        <f t="shared" si="716"/>
        <v>0-3 months</v>
      </c>
      <c r="AU2401" s="22" t="s">
        <v>3751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18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0"/>
        <v>1</v>
      </c>
      <c r="Z2402" s="18">
        <f t="shared" si="717"/>
        <v>8350000</v>
      </c>
      <c r="AA2402" s="13">
        <v>5.8700000000000002E-2</v>
      </c>
      <c r="AB2402" s="21">
        <f t="shared" si="719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03"/>
        <v>36480247.665929198</v>
      </c>
      <c r="AJ2402" s="19">
        <f t="shared" si="704"/>
        <v>5330996.6372757526</v>
      </c>
      <c r="AK2402" s="20">
        <f t="shared" si="711"/>
        <v>0.14613378412599562</v>
      </c>
      <c r="AL2402" s="17"/>
      <c r="AM2402" s="17"/>
      <c r="AN2402" s="17"/>
      <c r="AO2402" s="17"/>
      <c r="AP2402" s="28" t="str">
        <f t="shared" si="712"/>
        <v>20227</v>
      </c>
      <c r="AQ2402" s="28" t="str">
        <f t="shared" si="713"/>
        <v>20227JPY</v>
      </c>
      <c r="AR2402" s="206" t="str">
        <f t="shared" si="714"/>
        <v>YAMAHA_Mounter</v>
      </c>
      <c r="AS2402" s="22">
        <f t="shared" si="715"/>
        <v>16</v>
      </c>
      <c r="AT2402" s="24" t="str">
        <f t="shared" si="716"/>
        <v>&gt; 6 months</v>
      </c>
      <c r="AU2402" s="22" t="s">
        <v>3745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18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7"/>
        <v>15000000</v>
      </c>
      <c r="AA2403" s="13">
        <v>5.3400000000000003E-2</v>
      </c>
      <c r="AB2403" s="21">
        <f t="shared" si="719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03"/>
        <v>5219988.5752212387</v>
      </c>
      <c r="AJ2403" s="19">
        <f t="shared" si="704"/>
        <v>631627.0013460177</v>
      </c>
      <c r="AK2403" s="20">
        <f t="shared" si="711"/>
        <v>0.12100160608478869</v>
      </c>
      <c r="AL2403" s="17"/>
      <c r="AM2403" s="17"/>
      <c r="AN2403" s="17"/>
      <c r="AO2403" s="17"/>
      <c r="AP2403" s="28" t="str">
        <f t="shared" si="712"/>
        <v>202310</v>
      </c>
      <c r="AQ2403" s="28" t="str">
        <f t="shared" si="713"/>
        <v>202310JPY</v>
      </c>
      <c r="AR2403" s="206" t="str">
        <f t="shared" si="714"/>
        <v>YAMAHA_Mounter</v>
      </c>
      <c r="AS2403" s="22">
        <f t="shared" si="715"/>
        <v>0</v>
      </c>
      <c r="AT2403" s="24" t="str">
        <f t="shared" si="716"/>
        <v>0-3 months</v>
      </c>
      <c r="AU2403" s="22" t="s">
        <v>3745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18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7"/>
        <v>7250000</v>
      </c>
      <c r="AA2404" s="22">
        <v>4.9500000000000002E-2</v>
      </c>
      <c r="AB2404" s="197">
        <f t="shared" si="719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03"/>
        <v>25458266.694690265</v>
      </c>
      <c r="AJ2404" s="200">
        <f t="shared" si="704"/>
        <v>4116526.778578762</v>
      </c>
      <c r="AK2404" s="201">
        <f t="shared" si="711"/>
        <v>0.16169705612508689</v>
      </c>
      <c r="AL2404" s="24"/>
      <c r="AM2404" s="24"/>
      <c r="AN2404" s="24"/>
      <c r="AO2404" s="24"/>
      <c r="AP2404" s="105" t="str">
        <f t="shared" si="712"/>
        <v>20247</v>
      </c>
      <c r="AQ2404" s="28" t="str">
        <f t="shared" si="713"/>
        <v>20247JPY</v>
      </c>
      <c r="AR2404" s="206" t="str">
        <f t="shared" si="714"/>
        <v>YAMAHA_Mounter</v>
      </c>
      <c r="AS2404" s="22">
        <f t="shared" si="715"/>
        <v>2</v>
      </c>
      <c r="AT2404" s="24" t="str">
        <f t="shared" si="716"/>
        <v>0-3 months</v>
      </c>
      <c r="AU2404" s="22" t="s">
        <v>3746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18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7"/>
        <v>9330000</v>
      </c>
      <c r="AA2405" s="13">
        <v>7.3599999999999999E-2</v>
      </c>
      <c r="AB2405" s="21">
        <f t="shared" si="719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03"/>
        <v>24398045.86045352</v>
      </c>
      <c r="AJ2405" s="19">
        <f t="shared" si="704"/>
        <v>3478417.4064663448</v>
      </c>
      <c r="AK2405" s="20">
        <f t="shared" si="711"/>
        <v>0.14256950849102498</v>
      </c>
      <c r="AL2405" s="17"/>
      <c r="AM2405" s="17"/>
      <c r="AN2405" s="17"/>
      <c r="AO2405" s="17"/>
      <c r="AP2405" s="28" t="str">
        <f t="shared" si="712"/>
        <v>20186</v>
      </c>
      <c r="AQ2405" s="28" t="str">
        <f t="shared" si="713"/>
        <v>20186JPY</v>
      </c>
      <c r="AR2405" s="206" t="str">
        <f t="shared" si="714"/>
        <v>YAMAHA_Mounter</v>
      </c>
      <c r="AS2405" s="22">
        <f t="shared" si="715"/>
        <v>2</v>
      </c>
      <c r="AT2405" s="24" t="str">
        <f t="shared" si="716"/>
        <v>0-3 months</v>
      </c>
      <c r="AU2405" s="22" t="s">
        <v>3745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18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7"/>
        <v>78997</v>
      </c>
      <c r="AA2406" s="13">
        <v>7.8</v>
      </c>
      <c r="AB2406" s="21">
        <f t="shared" si="719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03"/>
        <v>44078731.611185849</v>
      </c>
      <c r="AJ2406" s="19">
        <f t="shared" si="704"/>
        <v>5508173.2163771465</v>
      </c>
      <c r="AK2406" s="20">
        <f t="shared" si="711"/>
        <v>0.12496215328889679</v>
      </c>
      <c r="AL2406" s="17"/>
      <c r="AM2406" s="17"/>
      <c r="AN2406" s="17"/>
      <c r="AO2406" s="17"/>
      <c r="AP2406" s="28" t="str">
        <f t="shared" si="712"/>
        <v>202011</v>
      </c>
      <c r="AQ2406" s="28" t="str">
        <f t="shared" si="713"/>
        <v>202011USD</v>
      </c>
      <c r="AR2406" s="206" t="str">
        <f t="shared" si="714"/>
        <v>YAMAHA_Mounter</v>
      </c>
      <c r="AS2406" s="22">
        <f t="shared" si="715"/>
        <v>3</v>
      </c>
      <c r="AT2406" s="24" t="str">
        <f t="shared" si="716"/>
        <v>0-3 months</v>
      </c>
      <c r="AU2406" s="22" t="s">
        <v>3746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18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7"/>
        <v>78997</v>
      </c>
      <c r="AA2407" s="13">
        <v>7.8</v>
      </c>
      <c r="AB2407" s="21">
        <f t="shared" si="719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03"/>
        <v>57778307.282035396</v>
      </c>
      <c r="AJ2407" s="19">
        <f t="shared" si="704"/>
        <v>7259860.7225420559</v>
      </c>
      <c r="AK2407" s="20">
        <f t="shared" si="711"/>
        <v>0.12565028406083667</v>
      </c>
      <c r="AL2407" s="17"/>
      <c r="AM2407" s="17"/>
      <c r="AN2407" s="17"/>
      <c r="AO2407" s="17"/>
      <c r="AP2407" s="28" t="str">
        <f t="shared" si="712"/>
        <v>20213</v>
      </c>
      <c r="AQ2407" s="28" t="str">
        <f t="shared" si="713"/>
        <v>20213USD</v>
      </c>
      <c r="AR2407" s="206" t="str">
        <f t="shared" si="714"/>
        <v>YAMAHA_Mounter</v>
      </c>
      <c r="AS2407" s="22">
        <f t="shared" si="715"/>
        <v>3</v>
      </c>
      <c r="AT2407" s="24" t="str">
        <f t="shared" si="716"/>
        <v>0-3 months</v>
      </c>
      <c r="AU2407" s="22" t="s">
        <v>3746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18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7"/>
        <v>60000</v>
      </c>
      <c r="AA2408" s="13">
        <v>7.8</v>
      </c>
      <c r="AB2408" s="21">
        <f t="shared" si="719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03"/>
        <v>10271727.486725664</v>
      </c>
      <c r="AJ2408" s="19">
        <f t="shared" si="704"/>
        <v>1227228.7260761063</v>
      </c>
      <c r="AK2408" s="20">
        <f t="shared" si="711"/>
        <v>0.11947637120066472</v>
      </c>
      <c r="AL2408" s="17"/>
      <c r="AM2408" s="17"/>
      <c r="AN2408" s="17"/>
      <c r="AO2408" s="17"/>
      <c r="AP2408" s="28" t="str">
        <f t="shared" si="712"/>
        <v>202312</v>
      </c>
      <c r="AQ2408" s="28" t="str">
        <f t="shared" si="713"/>
        <v>202312USD</v>
      </c>
      <c r="AR2408" s="206" t="str">
        <f t="shared" si="714"/>
        <v>YAMAHA_Mounter</v>
      </c>
      <c r="AS2408" s="22">
        <f t="shared" si="715"/>
        <v>4</v>
      </c>
      <c r="AT2408" s="24" t="str">
        <f t="shared" si="716"/>
        <v>4-6 months</v>
      </c>
      <c r="AU2408" s="22" t="s">
        <v>3746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18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7"/>
        <v>60000</v>
      </c>
      <c r="AA2409" s="13">
        <v>7.8</v>
      </c>
      <c r="AB2409" s="21">
        <f t="shared" si="719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03"/>
        <v>10271727.486725664</v>
      </c>
      <c r="AJ2409" s="19">
        <f t="shared" si="704"/>
        <v>1227228.7260761063</v>
      </c>
      <c r="AK2409" s="20">
        <f t="shared" si="711"/>
        <v>0.11947637120066472</v>
      </c>
      <c r="AL2409" s="17"/>
      <c r="AM2409" s="17"/>
      <c r="AN2409" s="17"/>
      <c r="AO2409" s="17"/>
      <c r="AP2409" s="28" t="str">
        <f t="shared" si="712"/>
        <v>202312</v>
      </c>
      <c r="AQ2409" s="28" t="str">
        <f t="shared" si="713"/>
        <v>202312USD</v>
      </c>
      <c r="AR2409" s="206" t="str">
        <f t="shared" si="714"/>
        <v>YAMAHA_Mounter</v>
      </c>
      <c r="AS2409" s="22">
        <f t="shared" si="715"/>
        <v>4</v>
      </c>
      <c r="AT2409" s="24" t="str">
        <f t="shared" si="716"/>
        <v>4-6 months</v>
      </c>
      <c r="AU2409" s="22" t="s">
        <v>3746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18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7"/>
        <v>58000</v>
      </c>
      <c r="AA2410" s="13">
        <v>7.8</v>
      </c>
      <c r="AB2410" s="21">
        <f t="shared" si="719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03"/>
        <v>23146578.081415929</v>
      </c>
      <c r="AJ2410" s="19">
        <f t="shared" si="704"/>
        <v>2745231.3889985834</v>
      </c>
      <c r="AK2410" s="20">
        <f t="shared" si="711"/>
        <v>0.11860204041143742</v>
      </c>
      <c r="AL2410" s="17"/>
      <c r="AM2410" s="17"/>
      <c r="AN2410" s="17"/>
      <c r="AO2410" s="17"/>
      <c r="AP2410" s="28" t="str">
        <f t="shared" si="712"/>
        <v>20241</v>
      </c>
      <c r="AQ2410" s="28" t="str">
        <f t="shared" si="713"/>
        <v>20241USD</v>
      </c>
      <c r="AR2410" s="206" t="str">
        <f t="shared" si="714"/>
        <v>YAMAHA_Mounter</v>
      </c>
      <c r="AS2410" s="22">
        <f t="shared" si="715"/>
        <v>2</v>
      </c>
      <c r="AT2410" s="24" t="str">
        <f t="shared" si="716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18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7"/>
        <v>58000</v>
      </c>
      <c r="AA2411" s="13">
        <v>7.8</v>
      </c>
      <c r="AB2411" s="21">
        <f t="shared" si="719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03"/>
        <v>23146578.081415929</v>
      </c>
      <c r="AJ2411" s="19">
        <f t="shared" si="704"/>
        <v>2745231.3889985834</v>
      </c>
      <c r="AK2411" s="20">
        <f t="shared" si="711"/>
        <v>0.11860204041143742</v>
      </c>
      <c r="AL2411" s="17"/>
      <c r="AM2411" s="17"/>
      <c r="AN2411" s="17"/>
      <c r="AO2411" s="17"/>
      <c r="AP2411" s="28" t="str">
        <f t="shared" si="712"/>
        <v>20241</v>
      </c>
      <c r="AQ2411" s="28" t="str">
        <f t="shared" si="713"/>
        <v>20241USD</v>
      </c>
      <c r="AR2411" s="206" t="str">
        <f t="shared" si="714"/>
        <v>YAMAHA_Mounter</v>
      </c>
      <c r="AS2411" s="22">
        <f t="shared" si="715"/>
        <v>2</v>
      </c>
      <c r="AT2411" s="24" t="str">
        <f t="shared" si="716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18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7"/>
        <v>58000</v>
      </c>
      <c r="AA2412" s="13">
        <v>7.8</v>
      </c>
      <c r="AB2412" s="21">
        <f t="shared" si="719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03"/>
        <v>26078226.463097349</v>
      </c>
      <c r="AJ2412" s="19">
        <f t="shared" si="704"/>
        <v>3137870.4427774516</v>
      </c>
      <c r="AK2412" s="20">
        <f t="shared" si="711"/>
        <v>0.12032530077218917</v>
      </c>
      <c r="AL2412" s="17"/>
      <c r="AM2412" s="17"/>
      <c r="AN2412" s="17"/>
      <c r="AO2412" s="17"/>
      <c r="AP2412" s="28" t="str">
        <f t="shared" si="712"/>
        <v>20239</v>
      </c>
      <c r="AQ2412" s="28" t="str">
        <f t="shared" si="713"/>
        <v>20239USD</v>
      </c>
      <c r="AR2412" s="206" t="str">
        <f t="shared" si="714"/>
        <v>YAMAHA_Mounter</v>
      </c>
      <c r="AS2412" s="22">
        <f t="shared" si="715"/>
        <v>3</v>
      </c>
      <c r="AT2412" s="24" t="str">
        <f t="shared" si="716"/>
        <v>0-3 months</v>
      </c>
      <c r="AU2412" s="22" t="s">
        <v>3746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18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1">IF(W2413="","",IF(W2413="RMB","1.13", "1"))</f>
        <v>1</v>
      </c>
      <c r="Z2413" s="18">
        <f t="shared" si="717"/>
        <v>58000</v>
      </c>
      <c r="AA2413" s="13">
        <v>7.8</v>
      </c>
      <c r="AB2413" s="21">
        <f t="shared" si="719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03"/>
        <v>10524262.405309737</v>
      </c>
      <c r="AJ2413" s="19">
        <f t="shared" si="704"/>
        <v>1479050.9527127435</v>
      </c>
      <c r="AK2413" s="20">
        <f t="shared" si="711"/>
        <v>0.14053725532028996</v>
      </c>
      <c r="AL2413" s="17"/>
      <c r="AM2413" s="17"/>
      <c r="AN2413" s="17"/>
      <c r="AO2413" s="17"/>
      <c r="AP2413" s="28" t="str">
        <f t="shared" si="712"/>
        <v>20242</v>
      </c>
      <c r="AQ2413" s="28" t="str">
        <f t="shared" si="713"/>
        <v>20242USD</v>
      </c>
      <c r="AR2413" s="206" t="str">
        <f t="shared" si="714"/>
        <v>YAMAHA_Mounter</v>
      </c>
      <c r="AS2413" s="22">
        <f t="shared" si="715"/>
        <v>2</v>
      </c>
      <c r="AT2413" s="24" t="str">
        <f t="shared" si="716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18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1"/>
        <v>1</v>
      </c>
      <c r="Z2414" s="18">
        <f t="shared" si="717"/>
        <v>58000</v>
      </c>
      <c r="AA2414" s="13">
        <v>7.8</v>
      </c>
      <c r="AB2414" s="21">
        <f t="shared" si="719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03"/>
        <v>10524262.405309737</v>
      </c>
      <c r="AJ2414" s="19">
        <f t="shared" si="704"/>
        <v>1479050.9527127435</v>
      </c>
      <c r="AK2414" s="20">
        <f t="shared" si="711"/>
        <v>0.14053725532028996</v>
      </c>
      <c r="AL2414" s="17"/>
      <c r="AM2414" s="17"/>
      <c r="AN2414" s="17"/>
      <c r="AO2414" s="17"/>
      <c r="AP2414" s="28" t="str">
        <f t="shared" si="712"/>
        <v>20242</v>
      </c>
      <c r="AQ2414" s="28" t="str">
        <f t="shared" si="713"/>
        <v>20242USD</v>
      </c>
      <c r="AR2414" s="206" t="str">
        <f t="shared" si="714"/>
        <v>YAMAHA_Mounter</v>
      </c>
      <c r="AS2414" s="22">
        <f t="shared" si="715"/>
        <v>2</v>
      </c>
      <c r="AT2414" s="24" t="str">
        <f t="shared" si="716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18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1"/>
        <v>1</v>
      </c>
      <c r="Z2415" s="18">
        <f t="shared" si="717"/>
        <v>68800</v>
      </c>
      <c r="AA2415" s="22">
        <v>7.8</v>
      </c>
      <c r="AB2415" s="21">
        <f t="shared" si="719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03"/>
        <v>21241742.157380536</v>
      </c>
      <c r="AJ2415" s="27">
        <f t="shared" si="704"/>
        <v>2987081.1613773629</v>
      </c>
      <c r="AK2415" s="28">
        <f t="shared" si="711"/>
        <v>0.14062317201884914</v>
      </c>
      <c r="AL2415" s="24"/>
      <c r="AM2415" s="24"/>
      <c r="AN2415" s="24"/>
      <c r="AO2415" s="24"/>
      <c r="AP2415" s="28" t="str">
        <f t="shared" si="712"/>
        <v>20243</v>
      </c>
      <c r="AQ2415" s="28" t="str">
        <f t="shared" si="713"/>
        <v>20243USD</v>
      </c>
      <c r="AR2415" s="206" t="str">
        <f t="shared" si="714"/>
        <v>YAMAHA_Mounter</v>
      </c>
      <c r="AS2415" s="22">
        <f t="shared" si="715"/>
        <v>1</v>
      </c>
      <c r="AT2415" s="24" t="str">
        <f t="shared" si="716"/>
        <v>0-3 months</v>
      </c>
      <c r="AU2415" s="22" t="s">
        <v>3746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18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1"/>
        <v>1</v>
      </c>
      <c r="Z2416" s="18">
        <f t="shared" si="717"/>
        <v>68800</v>
      </c>
      <c r="AA2416" s="22">
        <v>7.8</v>
      </c>
      <c r="AB2416" s="21">
        <f t="shared" si="719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03"/>
        <v>21241742.157380536</v>
      </c>
      <c r="AJ2416" s="27">
        <f t="shared" si="704"/>
        <v>2987081.1613773629</v>
      </c>
      <c r="AK2416" s="28">
        <f t="shared" si="711"/>
        <v>0.14062317201884914</v>
      </c>
      <c r="AL2416" s="24"/>
      <c r="AM2416" s="24"/>
      <c r="AN2416" s="24"/>
      <c r="AO2416" s="24"/>
      <c r="AP2416" s="28" t="str">
        <f t="shared" si="712"/>
        <v>20243</v>
      </c>
      <c r="AQ2416" s="28" t="str">
        <f t="shared" si="713"/>
        <v>20243USD</v>
      </c>
      <c r="AR2416" s="206" t="str">
        <f t="shared" si="714"/>
        <v>YAMAHA_Mounter</v>
      </c>
      <c r="AS2416" s="22">
        <f t="shared" si="715"/>
        <v>1</v>
      </c>
      <c r="AT2416" s="24" t="str">
        <f t="shared" si="716"/>
        <v>0-3 months</v>
      </c>
      <c r="AU2416" s="22" t="s">
        <v>3746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18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1"/>
        <v>1</v>
      </c>
      <c r="Z2417" s="18">
        <f t="shared" si="717"/>
        <v>68800</v>
      </c>
      <c r="AA2417" s="22">
        <v>7.8</v>
      </c>
      <c r="AB2417" s="21">
        <f t="shared" si="719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03"/>
        <v>21241742.157380536</v>
      </c>
      <c r="AJ2417" s="27">
        <f t="shared" si="704"/>
        <v>2987081.1613773629</v>
      </c>
      <c r="AK2417" s="28">
        <f t="shared" si="711"/>
        <v>0.14062317201884914</v>
      </c>
      <c r="AL2417" s="24"/>
      <c r="AM2417" s="24"/>
      <c r="AN2417" s="24"/>
      <c r="AO2417" s="24"/>
      <c r="AP2417" s="28" t="str">
        <f t="shared" si="712"/>
        <v>20243</v>
      </c>
      <c r="AQ2417" s="28" t="str">
        <f t="shared" si="713"/>
        <v>20243USD</v>
      </c>
      <c r="AR2417" s="206" t="str">
        <f t="shared" si="714"/>
        <v>YAMAHA_Mounter</v>
      </c>
      <c r="AS2417" s="22">
        <f t="shared" si="715"/>
        <v>1</v>
      </c>
      <c r="AT2417" s="24" t="str">
        <f t="shared" si="716"/>
        <v>0-3 months</v>
      </c>
      <c r="AU2417" s="22" t="s">
        <v>3746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18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1"/>
        <v>1</v>
      </c>
      <c r="Z2418" s="196">
        <f t="shared" si="717"/>
        <v>12066000</v>
      </c>
      <c r="AA2418" s="22">
        <v>4.9500000000000002E-2</v>
      </c>
      <c r="AB2418" s="197">
        <f t="shared" si="719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03"/>
        <v>25458266.694690265</v>
      </c>
      <c r="AJ2418" s="200">
        <f t="shared" si="704"/>
        <v>4116526.778578762</v>
      </c>
      <c r="AK2418" s="201">
        <f t="shared" si="711"/>
        <v>0.16169705612508689</v>
      </c>
      <c r="AL2418" s="24"/>
      <c r="AM2418" s="24"/>
      <c r="AN2418" s="24"/>
      <c r="AO2418" s="24"/>
      <c r="AP2418" s="105" t="str">
        <f t="shared" si="712"/>
        <v>20247</v>
      </c>
      <c r="AQ2418" s="28" t="str">
        <f t="shared" si="713"/>
        <v>20247JPY</v>
      </c>
      <c r="AR2418" s="206" t="str">
        <f t="shared" si="714"/>
        <v>YAMAHA_Mounter</v>
      </c>
      <c r="AS2418" s="22">
        <f t="shared" si="715"/>
        <v>2</v>
      </c>
      <c r="AT2418" s="24" t="str">
        <f t="shared" si="716"/>
        <v>0-3 months</v>
      </c>
      <c r="AU2418" s="22" t="s">
        <v>3746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18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1"/>
        <v>1</v>
      </c>
      <c r="Z2419" s="196">
        <f t="shared" si="717"/>
        <v>15000000</v>
      </c>
      <c r="AA2419" s="22">
        <v>4.9500000000000002E-2</v>
      </c>
      <c r="AB2419" s="197">
        <f t="shared" si="719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03"/>
        <v>25458266.694690265</v>
      </c>
      <c r="AJ2419" s="200">
        <f t="shared" si="704"/>
        <v>4116526.778578762</v>
      </c>
      <c r="AK2419" s="201">
        <f t="shared" si="711"/>
        <v>0.16169705612508689</v>
      </c>
      <c r="AL2419" s="24"/>
      <c r="AM2419" s="24"/>
      <c r="AN2419" s="24"/>
      <c r="AO2419" s="24"/>
      <c r="AP2419" s="105" t="str">
        <f t="shared" si="712"/>
        <v>20247</v>
      </c>
      <c r="AQ2419" s="28" t="str">
        <f t="shared" si="713"/>
        <v>20247JPY</v>
      </c>
      <c r="AR2419" s="206" t="str">
        <f t="shared" si="714"/>
        <v>YAMAHA_Mounter</v>
      </c>
      <c r="AS2419" s="22">
        <f t="shared" si="715"/>
        <v>1</v>
      </c>
      <c r="AT2419" s="24" t="str">
        <f t="shared" si="716"/>
        <v>0-3 months</v>
      </c>
      <c r="AU2419" s="22" t="s">
        <v>3745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18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7"/>
        <v>670000</v>
      </c>
      <c r="AA2420" s="13">
        <v>1.22</v>
      </c>
      <c r="AB2420" s="21">
        <f t="shared" si="719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03"/>
        <v>28726768.133805312</v>
      </c>
      <c r="AJ2420" s="19">
        <f t="shared" si="704"/>
        <v>3853638.1988864429</v>
      </c>
      <c r="AK2420" s="20">
        <f t="shared" si="711"/>
        <v>0.1341479898099476</v>
      </c>
      <c r="AL2420" s="17"/>
      <c r="AM2420" s="17"/>
      <c r="AN2420" s="17"/>
      <c r="AO2420" s="17"/>
      <c r="AP2420" s="28" t="str">
        <f t="shared" si="712"/>
        <v>20223</v>
      </c>
      <c r="AQ2420" s="28" t="str">
        <f t="shared" si="713"/>
        <v>20223RMB</v>
      </c>
      <c r="AR2420" s="206" t="str">
        <f t="shared" si="714"/>
        <v>YAMAHA_Mounter</v>
      </c>
      <c r="AS2420" s="22">
        <f t="shared" si="715"/>
        <v>5</v>
      </c>
      <c r="AT2420" s="24" t="str">
        <f t="shared" si="716"/>
        <v>4-6 months</v>
      </c>
      <c r="AU2420" s="22" t="s">
        <v>3751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18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7"/>
        <v>1080000</v>
      </c>
      <c r="AA2421" s="13">
        <v>1.23</v>
      </c>
      <c r="AB2421" s="21">
        <f t="shared" si="719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03"/>
        <v>34109166.105589926</v>
      </c>
      <c r="AJ2421" s="19">
        <f t="shared" si="704"/>
        <v>4642032.7199573703</v>
      </c>
      <c r="AK2421" s="20">
        <f t="shared" si="71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2"/>
        <v>20185</v>
      </c>
      <c r="AQ2421" s="28" t="str">
        <f t="shared" si="713"/>
        <v>20185RMB</v>
      </c>
      <c r="AR2421" s="206" t="str">
        <f t="shared" si="714"/>
        <v>HELLER</v>
      </c>
      <c r="AS2421" s="22">
        <f t="shared" si="715"/>
        <v>3</v>
      </c>
      <c r="AT2421" s="24" t="str">
        <f t="shared" si="716"/>
        <v>0-3 months</v>
      </c>
      <c r="AU2421" s="22" t="s">
        <v>3744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18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7"/>
        <v>13000000</v>
      </c>
      <c r="AA2422" s="13">
        <v>7.3499999999999996E-2</v>
      </c>
      <c r="AB2422" s="21">
        <f t="shared" si="719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03"/>
        <v>21386017.707964607</v>
      </c>
      <c r="AJ2422" s="19">
        <f t="shared" si="704"/>
        <v>2238764.3265707968</v>
      </c>
      <c r="AK2422" s="20">
        <f t="shared" si="711"/>
        <v>0.10468355339185161</v>
      </c>
      <c r="AL2422" s="17"/>
      <c r="AM2422" s="17"/>
      <c r="AN2422" s="17"/>
      <c r="AO2422" s="17"/>
      <c r="AP2422" s="28" t="str">
        <f t="shared" si="712"/>
        <v>20198</v>
      </c>
      <c r="AQ2422" s="28" t="str">
        <f t="shared" si="713"/>
        <v>20198JPY</v>
      </c>
      <c r="AR2422" s="206" t="str">
        <f t="shared" si="714"/>
        <v>YAMAHA_Mounter</v>
      </c>
      <c r="AS2422" s="22">
        <f t="shared" si="715"/>
        <v>3</v>
      </c>
      <c r="AT2422" s="24" t="str">
        <f t="shared" si="716"/>
        <v>0-3 months</v>
      </c>
      <c r="AU2422" s="22" t="s">
        <v>3745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18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7"/>
        <v>20000000</v>
      </c>
      <c r="AA2423" s="13">
        <v>7.3499999999999996E-2</v>
      </c>
      <c r="AB2423" s="21">
        <f t="shared" si="719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03"/>
        <v>21386017.707964607</v>
      </c>
      <c r="AJ2423" s="19">
        <f t="shared" si="704"/>
        <v>2238764.3265707968</v>
      </c>
      <c r="AK2423" s="20">
        <f t="shared" si="711"/>
        <v>0.10468355339185161</v>
      </c>
      <c r="AL2423" s="17"/>
      <c r="AM2423" s="17"/>
      <c r="AN2423" s="17"/>
      <c r="AO2423" s="17"/>
      <c r="AP2423" s="28" t="str">
        <f t="shared" si="712"/>
        <v>20198</v>
      </c>
      <c r="AQ2423" s="28" t="str">
        <f t="shared" si="713"/>
        <v>20198JPY</v>
      </c>
      <c r="AR2423" s="206" t="str">
        <f t="shared" si="714"/>
        <v>YAMAHA_Mounter</v>
      </c>
      <c r="AS2423" s="22">
        <f t="shared" si="715"/>
        <v>3</v>
      </c>
      <c r="AT2423" s="24" t="str">
        <f t="shared" si="716"/>
        <v>0-3 months</v>
      </c>
      <c r="AU2423" s="22" t="s">
        <v>3745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18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7"/>
        <v>11200000</v>
      </c>
      <c r="AA2424" s="13">
        <v>7.5200000000000003E-2</v>
      </c>
      <c r="AB2424" s="21">
        <f t="shared" si="719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03"/>
        <v>37599388.802345134</v>
      </c>
      <c r="AJ2424" s="19">
        <f t="shared" si="704"/>
        <v>4866784.3630338367</v>
      </c>
      <c r="AK2424" s="20">
        <f t="shared" si="711"/>
        <v>0.12943785838163113</v>
      </c>
      <c r="AL2424" s="17"/>
      <c r="AM2424" s="17"/>
      <c r="AN2424" s="17"/>
      <c r="AO2424" s="17"/>
      <c r="AP2424" s="28" t="str">
        <f t="shared" si="712"/>
        <v>20199</v>
      </c>
      <c r="AQ2424" s="28" t="str">
        <f t="shared" si="713"/>
        <v>20199JPY</v>
      </c>
      <c r="AR2424" s="206" t="str">
        <f t="shared" si="714"/>
        <v>YAMAHA_Mounter</v>
      </c>
      <c r="AS2424" s="22">
        <f t="shared" si="715"/>
        <v>4</v>
      </c>
      <c r="AT2424" s="24" t="str">
        <f t="shared" si="716"/>
        <v>4-6 months</v>
      </c>
      <c r="AU2424" s="22" t="s">
        <v>3745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18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7"/>
        <v>508000</v>
      </c>
      <c r="AA2425" s="13">
        <v>1.23</v>
      </c>
      <c r="AB2425" s="21">
        <f t="shared" si="719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03"/>
        <v>29288201.603076916</v>
      </c>
      <c r="AJ2425" s="19">
        <f t="shared" si="704"/>
        <v>3870159.1769246152</v>
      </c>
      <c r="AK2425" s="20">
        <f t="shared" si="711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2"/>
        <v>20184</v>
      </c>
      <c r="AQ2425" s="28" t="str">
        <f t="shared" si="713"/>
        <v>20184RMB</v>
      </c>
      <c r="AR2425" s="206" t="str">
        <f t="shared" si="714"/>
        <v>YAMAHA_Mounter</v>
      </c>
      <c r="AS2425" s="22">
        <f t="shared" si="715"/>
        <v>0</v>
      </c>
      <c r="AT2425" s="24" t="str">
        <f t="shared" si="716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18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7"/>
        <v>515000</v>
      </c>
      <c r="AA2426" s="13">
        <v>1.095</v>
      </c>
      <c r="AB2426" s="21">
        <f t="shared" si="719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03"/>
        <v>28647263.974455759</v>
      </c>
      <c r="AJ2426" s="19">
        <f t="shared" si="704"/>
        <v>3219855.6912513468</v>
      </c>
      <c r="AK2426" s="20">
        <f t="shared" si="711"/>
        <v>0.11239662168514358</v>
      </c>
      <c r="AL2426" s="17"/>
      <c r="AM2426" s="17"/>
      <c r="AN2426" s="17"/>
      <c r="AO2426" s="17"/>
      <c r="AP2426" s="28" t="str">
        <f t="shared" si="712"/>
        <v>201910</v>
      </c>
      <c r="AQ2426" s="28" t="str">
        <f t="shared" si="713"/>
        <v>201910RMB</v>
      </c>
      <c r="AR2426" s="206" t="str">
        <f t="shared" si="714"/>
        <v>YAMAHA_Mounter</v>
      </c>
      <c r="AS2426" s="22">
        <f t="shared" si="715"/>
        <v>1</v>
      </c>
      <c r="AT2426" s="24" t="str">
        <f t="shared" si="716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18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7"/>
        <v>11022500</v>
      </c>
      <c r="AA2427" s="13">
        <v>7.3999999999999996E-2</v>
      </c>
      <c r="AB2427" s="21">
        <f t="shared" si="719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03"/>
        <v>34015877.71150443</v>
      </c>
      <c r="AJ2427" s="19">
        <f t="shared" si="704"/>
        <v>4446292.375441948</v>
      </c>
      <c r="AK2427" s="20">
        <f t="shared" si="711"/>
        <v>0.13071226364205143</v>
      </c>
      <c r="AL2427" s="17"/>
      <c r="AM2427" s="17"/>
      <c r="AN2427" s="17"/>
      <c r="AO2427" s="17"/>
      <c r="AP2427" s="28" t="str">
        <f t="shared" si="712"/>
        <v>20197</v>
      </c>
      <c r="AQ2427" s="28" t="str">
        <f t="shared" si="713"/>
        <v>20197JPY</v>
      </c>
      <c r="AR2427" s="206" t="str">
        <f t="shared" si="714"/>
        <v>YAMAHA_Mounter</v>
      </c>
      <c r="AS2427" s="22">
        <f t="shared" si="715"/>
        <v>1</v>
      </c>
      <c r="AT2427" s="24" t="str">
        <f t="shared" si="716"/>
        <v>0-3 months</v>
      </c>
      <c r="AU2427" s="22" t="s">
        <v>3746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18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7"/>
        <v>9000000</v>
      </c>
      <c r="AA2428" s="13">
        <v>7.3999999999999996E-2</v>
      </c>
      <c r="AB2428" s="21">
        <f t="shared" si="719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03"/>
        <v>34015877.71150443</v>
      </c>
      <c r="AJ2428" s="19">
        <f t="shared" si="704"/>
        <v>4446292.375441948</v>
      </c>
      <c r="AK2428" s="20">
        <f t="shared" si="711"/>
        <v>0.13071226364205143</v>
      </c>
      <c r="AL2428" s="17"/>
      <c r="AM2428" s="17"/>
      <c r="AN2428" s="17"/>
      <c r="AO2428" s="17"/>
      <c r="AP2428" s="28" t="str">
        <f t="shared" si="712"/>
        <v>20197</v>
      </c>
      <c r="AQ2428" s="28" t="str">
        <f t="shared" si="713"/>
        <v>20197JPY</v>
      </c>
      <c r="AR2428" s="206" t="str">
        <f t="shared" si="714"/>
        <v>YAMAHA_Mounter</v>
      </c>
      <c r="AS2428" s="22">
        <f t="shared" si="715"/>
        <v>1</v>
      </c>
      <c r="AT2428" s="24" t="str">
        <f t="shared" si="716"/>
        <v>0-3 months</v>
      </c>
      <c r="AU2428" s="22" t="s">
        <v>3746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18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7"/>
        <v>9000000</v>
      </c>
      <c r="AA2429" s="13">
        <v>7.3999999999999996E-2</v>
      </c>
      <c r="AB2429" s="21">
        <f t="shared" si="719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03"/>
        <v>34015877.71150443</v>
      </c>
      <c r="AJ2429" s="19">
        <f t="shared" si="704"/>
        <v>4446292.375441948</v>
      </c>
      <c r="AK2429" s="20">
        <f t="shared" si="711"/>
        <v>0.13071226364205143</v>
      </c>
      <c r="AL2429" s="17"/>
      <c r="AM2429" s="17"/>
      <c r="AN2429" s="17"/>
      <c r="AO2429" s="17"/>
      <c r="AP2429" s="28" t="str">
        <f t="shared" si="712"/>
        <v>20197</v>
      </c>
      <c r="AQ2429" s="28" t="str">
        <f t="shared" si="713"/>
        <v>20197JPY</v>
      </c>
      <c r="AR2429" s="206" t="str">
        <f t="shared" si="714"/>
        <v>YAMAHA_Mounter</v>
      </c>
      <c r="AS2429" s="22">
        <f t="shared" si="715"/>
        <v>1</v>
      </c>
      <c r="AT2429" s="24" t="str">
        <f t="shared" si="716"/>
        <v>0-3 months</v>
      </c>
      <c r="AU2429" s="22" t="s">
        <v>3746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18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7"/>
        <v>9000000</v>
      </c>
      <c r="AA2430" s="13">
        <v>7.3999999999999996E-2</v>
      </c>
      <c r="AB2430" s="21">
        <f t="shared" si="719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03"/>
        <v>34015877.71150443</v>
      </c>
      <c r="AJ2430" s="19">
        <f t="shared" si="704"/>
        <v>4446292.375441948</v>
      </c>
      <c r="AK2430" s="20">
        <f t="shared" si="711"/>
        <v>0.13071226364205143</v>
      </c>
      <c r="AL2430" s="17"/>
      <c r="AM2430" s="17"/>
      <c r="AN2430" s="17"/>
      <c r="AO2430" s="17"/>
      <c r="AP2430" s="28" t="str">
        <f t="shared" si="712"/>
        <v>20197</v>
      </c>
      <c r="AQ2430" s="28" t="str">
        <f t="shared" si="713"/>
        <v>20197JPY</v>
      </c>
      <c r="AR2430" s="206" t="str">
        <f t="shared" si="714"/>
        <v>YAMAHA_Mounter</v>
      </c>
      <c r="AS2430" s="22">
        <f t="shared" si="715"/>
        <v>1</v>
      </c>
      <c r="AT2430" s="24" t="str">
        <f t="shared" si="716"/>
        <v>0-3 months</v>
      </c>
      <c r="AU2430" s="22" t="s">
        <v>3746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18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7"/>
        <v>11022500</v>
      </c>
      <c r="AA2431" s="13">
        <v>7.3999999999999996E-2</v>
      </c>
      <c r="AB2431" s="21">
        <f t="shared" si="719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03"/>
        <v>34015877.71150443</v>
      </c>
      <c r="AJ2431" s="19">
        <f t="shared" si="704"/>
        <v>4446292.375441948</v>
      </c>
      <c r="AK2431" s="20">
        <f t="shared" si="711"/>
        <v>0.13071226364205143</v>
      </c>
      <c r="AL2431" s="17"/>
      <c r="AM2431" s="17"/>
      <c r="AN2431" s="17"/>
      <c r="AO2431" s="17"/>
      <c r="AP2431" s="28" t="str">
        <f t="shared" si="712"/>
        <v>20197</v>
      </c>
      <c r="AQ2431" s="28" t="str">
        <f t="shared" si="713"/>
        <v>20197JPY</v>
      </c>
      <c r="AR2431" s="206" t="str">
        <f t="shared" si="714"/>
        <v>YAMAHA_Mounter</v>
      </c>
      <c r="AS2431" s="22">
        <f t="shared" si="715"/>
        <v>1</v>
      </c>
      <c r="AT2431" s="24" t="str">
        <f t="shared" si="716"/>
        <v>0-3 months</v>
      </c>
      <c r="AU2431" s="22" t="s">
        <v>3746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18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7"/>
        <v>15100000</v>
      </c>
      <c r="AA2432" s="13">
        <v>7.3599999999999999E-2</v>
      </c>
      <c r="AB2432" s="21">
        <f t="shared" si="719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03"/>
        <v>33477255.428389374</v>
      </c>
      <c r="AJ2432" s="19">
        <f t="shared" si="704"/>
        <v>4578663.362915583</v>
      </c>
      <c r="AK2432" s="20">
        <f t="shared" si="711"/>
        <v>0.13676937682988152</v>
      </c>
      <c r="AL2432" s="17"/>
      <c r="AM2432" s="17"/>
      <c r="AN2432" s="17"/>
      <c r="AO2432" s="17"/>
      <c r="AP2432" s="28" t="str">
        <f t="shared" si="712"/>
        <v>20204</v>
      </c>
      <c r="AQ2432" s="28" t="str">
        <f t="shared" si="713"/>
        <v>20204JPY</v>
      </c>
      <c r="AR2432" s="206" t="str">
        <f t="shared" si="714"/>
        <v>YAMAHA_Mounter</v>
      </c>
      <c r="AS2432" s="22">
        <f t="shared" si="715"/>
        <v>1</v>
      </c>
      <c r="AT2432" s="24" t="str">
        <f t="shared" si="716"/>
        <v>0-3 months</v>
      </c>
      <c r="AU2432" s="22" t="s">
        <v>3746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18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7"/>
        <v>21400000</v>
      </c>
      <c r="AA2433" s="13">
        <v>7.3400000000000007E-2</v>
      </c>
      <c r="AB2433" s="21">
        <f t="shared" si="719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03"/>
        <v>35384300.169380538</v>
      </c>
      <c r="AJ2433" s="19">
        <f t="shared" si="704"/>
        <v>5044538.8896988509</v>
      </c>
      <c r="AK2433" s="20">
        <f t="shared" si="711"/>
        <v>0.14256432557804533</v>
      </c>
      <c r="AL2433" s="17"/>
      <c r="AM2433" s="17"/>
      <c r="AN2433" s="17"/>
      <c r="AO2433" s="17"/>
      <c r="AP2433" s="28" t="str">
        <f t="shared" si="712"/>
        <v>20207</v>
      </c>
      <c r="AQ2433" s="28" t="str">
        <f t="shared" si="713"/>
        <v>20207JPY</v>
      </c>
      <c r="AR2433" s="206" t="str">
        <f t="shared" si="714"/>
        <v>YAMAHA_Mounter</v>
      </c>
      <c r="AS2433" s="22">
        <f t="shared" si="715"/>
        <v>0</v>
      </c>
      <c r="AT2433" s="24" t="str">
        <f t="shared" si="716"/>
        <v>0-3 months</v>
      </c>
      <c r="AU2433" s="22" t="s">
        <v>3746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18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7"/>
        <v>13000000</v>
      </c>
      <c r="AA2434" s="13">
        <v>7.4899999999999994E-2</v>
      </c>
      <c r="AB2434" s="21">
        <f t="shared" si="719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22">IF(P2434="C66 SERVICE","",SUMIFS(AB:AB,F:F,F2434,G:G,G2434,E:E,E2434))</f>
        <v>47907808.356810622</v>
      </c>
      <c r="AJ2434" s="19">
        <f t="shared" ref="AJ2434:AJ2497" si="723">IF(P2434="C66 SERVICE","",SUMIFS(AC:AC,F:F,F2434,G:G,G2434,E:E,E2434))</f>
        <v>6027384.8806384448</v>
      </c>
      <c r="AK2434" s="20">
        <f t="shared" si="711"/>
        <v>0.12581216063459488</v>
      </c>
      <c r="AL2434" s="17"/>
      <c r="AM2434" s="17"/>
      <c r="AN2434" s="17"/>
      <c r="AO2434" s="17"/>
      <c r="AP2434" s="28" t="str">
        <f t="shared" si="712"/>
        <v>20209</v>
      </c>
      <c r="AQ2434" s="28" t="str">
        <f t="shared" si="713"/>
        <v>20209JPY</v>
      </c>
      <c r="AR2434" s="206" t="str">
        <f t="shared" si="714"/>
        <v>YAMAHA_Mounter</v>
      </c>
      <c r="AS2434" s="22">
        <f t="shared" si="715"/>
        <v>2</v>
      </c>
      <c r="AT2434" s="24" t="str">
        <f t="shared" si="716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18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7"/>
        <v>13000000</v>
      </c>
      <c r="AA2435" s="13">
        <v>7.4899999999999994E-2</v>
      </c>
      <c r="AB2435" s="21">
        <f t="shared" si="719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22"/>
        <v>47907808.356810622</v>
      </c>
      <c r="AJ2435" s="19">
        <f t="shared" si="723"/>
        <v>6027384.8806384448</v>
      </c>
      <c r="AK2435" s="20">
        <f t="shared" si="711"/>
        <v>0.12581216063459488</v>
      </c>
      <c r="AL2435" s="17"/>
      <c r="AM2435" s="17"/>
      <c r="AN2435" s="17"/>
      <c r="AO2435" s="17"/>
      <c r="AP2435" s="28" t="str">
        <f t="shared" si="712"/>
        <v>20209</v>
      </c>
      <c r="AQ2435" s="28" t="str">
        <f t="shared" si="713"/>
        <v>20209JPY</v>
      </c>
      <c r="AR2435" s="206" t="str">
        <f t="shared" si="714"/>
        <v>YAMAHA_Mounter</v>
      </c>
      <c r="AS2435" s="22">
        <f t="shared" si="715"/>
        <v>2</v>
      </c>
      <c r="AT2435" s="24" t="str">
        <f t="shared" si="716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18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7"/>
        <v>9240000</v>
      </c>
      <c r="AA2436" s="13">
        <v>7.4899999999999994E-2</v>
      </c>
      <c r="AB2436" s="21">
        <f t="shared" si="719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22"/>
        <v>47907808.356810622</v>
      </c>
      <c r="AJ2436" s="19">
        <f t="shared" si="723"/>
        <v>6027384.8806384448</v>
      </c>
      <c r="AK2436" s="20">
        <f t="shared" si="711"/>
        <v>0.12581216063459488</v>
      </c>
      <c r="AL2436" s="17"/>
      <c r="AM2436" s="17"/>
      <c r="AN2436" s="17"/>
      <c r="AO2436" s="17"/>
      <c r="AP2436" s="28" t="str">
        <f t="shared" si="712"/>
        <v>20209</v>
      </c>
      <c r="AQ2436" s="28" t="str">
        <f t="shared" si="713"/>
        <v>20209JPY</v>
      </c>
      <c r="AR2436" s="206" t="str">
        <f t="shared" si="714"/>
        <v>YAMAHA_Mounter</v>
      </c>
      <c r="AS2436" s="22">
        <f t="shared" si="715"/>
        <v>2</v>
      </c>
      <c r="AT2436" s="24" t="str">
        <f t="shared" si="716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18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7"/>
        <v>9240000</v>
      </c>
      <c r="AA2437" s="13">
        <v>7.4899999999999994E-2</v>
      </c>
      <c r="AB2437" s="21">
        <f t="shared" si="719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22"/>
        <v>47907808.356810622</v>
      </c>
      <c r="AJ2437" s="19">
        <f t="shared" si="723"/>
        <v>6027384.8806384448</v>
      </c>
      <c r="AK2437" s="20">
        <f t="shared" si="711"/>
        <v>0.12581216063459488</v>
      </c>
      <c r="AL2437" s="17"/>
      <c r="AM2437" s="17"/>
      <c r="AN2437" s="17"/>
      <c r="AO2437" s="17"/>
      <c r="AP2437" s="28" t="str">
        <f t="shared" si="712"/>
        <v>20209</v>
      </c>
      <c r="AQ2437" s="28" t="str">
        <f t="shared" si="713"/>
        <v>20209JPY</v>
      </c>
      <c r="AR2437" s="206" t="str">
        <f t="shared" si="714"/>
        <v>YAMAHA_Mounter</v>
      </c>
      <c r="AS2437" s="22">
        <f t="shared" si="715"/>
        <v>2</v>
      </c>
      <c r="AT2437" s="24" t="str">
        <f t="shared" si="716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18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7"/>
        <v>14760000</v>
      </c>
      <c r="AA2438" s="13">
        <v>7.6799999999999993E-2</v>
      </c>
      <c r="AB2438" s="21">
        <f t="shared" si="719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22"/>
        <v>45803245.025628321</v>
      </c>
      <c r="AJ2438" s="19">
        <f t="shared" si="723"/>
        <v>5664636.2584379362</v>
      </c>
      <c r="AK2438" s="20">
        <f t="shared" ref="AK2438:AK2501" si="730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1">IF(F2438="","",F2438&amp;G2438)</f>
        <v>20211</v>
      </c>
      <c r="AQ2438" s="28" t="str">
        <f t="shared" ref="AQ2438:AQ2501" si="732">IF(W2438="","",F2438&amp;G2438&amp;W2438)</f>
        <v>20211JPY</v>
      </c>
      <c r="AR2438" s="206" t="str">
        <f t="shared" ref="AR2438:AR2501" si="733">IFERROR(IF(AND(M2438="YAMAHA", R2438="C28"), "YAMAHA_Non_Mounter", IF(AND(M2438="YAMAHA", R2438="C49"), "YAMAHA_Mounter", M2438)),"")</f>
        <v>YAMAHA_Mounter</v>
      </c>
      <c r="AS2438" s="22">
        <f t="shared" ref="AS2438:AS2501" si="734">IFERROR(IF(OR(G2438="TBA", G2438=""), "", DATEDIF(DATE(B2438, C2438, 1), DATE(F2438, G2438, 1), "M")),"")</f>
        <v>2</v>
      </c>
      <c r="AT2438" s="24" t="str">
        <f t="shared" ref="AT2438:AT2501" si="735">IF(ISNUMBER(AS2438), IF(AS2438&gt;=0, IF(AS2438&lt;=3, "0-3 months", IF(AS2438&lt;=6, "4-6 months", "&gt; 6 months"))), "")</f>
        <v>0-3 months</v>
      </c>
      <c r="AU2438" s="22" t="s">
        <v>3746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18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7"/>
        <v>8250000</v>
      </c>
      <c r="AA2439" s="13">
        <v>7.6799999999999993E-2</v>
      </c>
      <c r="AB2439" s="21">
        <f t="shared" si="719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22"/>
        <v>45803245.025628321</v>
      </c>
      <c r="AJ2439" s="19">
        <f t="shared" si="723"/>
        <v>5664636.2584379362</v>
      </c>
      <c r="AK2439" s="20">
        <f t="shared" si="730"/>
        <v>0.12367325186825515</v>
      </c>
      <c r="AL2439" s="17"/>
      <c r="AM2439" s="17"/>
      <c r="AN2439" s="17"/>
      <c r="AO2439" s="17"/>
      <c r="AP2439" s="28" t="str">
        <f t="shared" si="731"/>
        <v>20211</v>
      </c>
      <c r="AQ2439" s="28" t="str">
        <f t="shared" si="732"/>
        <v>20211JPY</v>
      </c>
      <c r="AR2439" s="206" t="str">
        <f t="shared" si="733"/>
        <v>YAMAHA_Mounter</v>
      </c>
      <c r="AS2439" s="22">
        <f t="shared" si="734"/>
        <v>2</v>
      </c>
      <c r="AT2439" s="24" t="str">
        <f t="shared" si="735"/>
        <v>0-3 months</v>
      </c>
      <c r="AU2439" s="22" t="s">
        <v>3746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18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7"/>
        <v>8250000</v>
      </c>
      <c r="AA2440" s="13">
        <v>7.6799999999999993E-2</v>
      </c>
      <c r="AB2440" s="21">
        <f t="shared" si="719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22"/>
        <v>45803245.025628321</v>
      </c>
      <c r="AJ2440" s="19">
        <f t="shared" si="723"/>
        <v>5664636.2584379362</v>
      </c>
      <c r="AK2440" s="20">
        <f t="shared" si="730"/>
        <v>0.12367325186825515</v>
      </c>
      <c r="AL2440" s="17"/>
      <c r="AM2440" s="17"/>
      <c r="AN2440" s="17"/>
      <c r="AO2440" s="17"/>
      <c r="AP2440" s="28" t="str">
        <f t="shared" si="731"/>
        <v>20211</v>
      </c>
      <c r="AQ2440" s="28" t="str">
        <f t="shared" si="732"/>
        <v>20211JPY</v>
      </c>
      <c r="AR2440" s="206" t="str">
        <f t="shared" si="733"/>
        <v>YAMAHA_Mounter</v>
      </c>
      <c r="AS2440" s="22">
        <f t="shared" si="734"/>
        <v>2</v>
      </c>
      <c r="AT2440" s="24" t="str">
        <f t="shared" si="735"/>
        <v>0-3 months</v>
      </c>
      <c r="AU2440" s="22" t="s">
        <v>3746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18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7"/>
        <v>14760000</v>
      </c>
      <c r="AA2441" s="13">
        <v>7.6799999999999993E-2</v>
      </c>
      <c r="AB2441" s="21">
        <f t="shared" si="719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22"/>
        <v>45803245.025628321</v>
      </c>
      <c r="AJ2441" s="19">
        <f t="shared" si="723"/>
        <v>5664636.2584379362</v>
      </c>
      <c r="AK2441" s="20">
        <f t="shared" si="730"/>
        <v>0.12367325186825515</v>
      </c>
      <c r="AL2441" s="17"/>
      <c r="AM2441" s="17"/>
      <c r="AN2441" s="17"/>
      <c r="AO2441" s="17" t="s">
        <v>1523</v>
      </c>
      <c r="AP2441" s="28" t="str">
        <f t="shared" si="731"/>
        <v>20211</v>
      </c>
      <c r="AQ2441" s="28" t="str">
        <f t="shared" si="732"/>
        <v>20211JPY</v>
      </c>
      <c r="AR2441" s="206" t="str">
        <f t="shared" si="733"/>
        <v>YAMAHA_Mounter</v>
      </c>
      <c r="AS2441" s="22">
        <f t="shared" si="734"/>
        <v>2</v>
      </c>
      <c r="AT2441" s="24" t="str">
        <f t="shared" si="735"/>
        <v>0-3 months</v>
      </c>
      <c r="AU2441" s="22" t="s">
        <v>3746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18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6">IF(X2442="","",X2442*MAX(O2442,N2442))</f>
        <v>14760000</v>
      </c>
      <c r="AA2442" s="13">
        <v>7.6799999999999993E-2</v>
      </c>
      <c r="AB2442" s="21">
        <f t="shared" si="719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22"/>
        <v>45803245.025628321</v>
      </c>
      <c r="AJ2442" s="19">
        <f t="shared" si="723"/>
        <v>5664636.2584379362</v>
      </c>
      <c r="AK2442" s="20">
        <f t="shared" si="730"/>
        <v>0.12367325186825515</v>
      </c>
      <c r="AL2442" s="17"/>
      <c r="AM2442" s="17"/>
      <c r="AN2442" s="17"/>
      <c r="AO2442" s="17" t="s">
        <v>1523</v>
      </c>
      <c r="AP2442" s="28" t="str">
        <f t="shared" si="731"/>
        <v>20211</v>
      </c>
      <c r="AQ2442" s="28" t="str">
        <f t="shared" si="732"/>
        <v>20211JPY</v>
      </c>
      <c r="AR2442" s="206" t="str">
        <f t="shared" si="733"/>
        <v>YAMAHA_Mounter</v>
      </c>
      <c r="AS2442" s="22">
        <f t="shared" si="734"/>
        <v>2</v>
      </c>
      <c r="AT2442" s="24" t="str">
        <f t="shared" si="735"/>
        <v>0-3 months</v>
      </c>
      <c r="AU2442" s="22" t="s">
        <v>3746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18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6"/>
        <v>8250000</v>
      </c>
      <c r="AA2443" s="13">
        <v>7.6799999999999993E-2</v>
      </c>
      <c r="AB2443" s="21">
        <f t="shared" si="719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22"/>
        <v>45803245.025628321</v>
      </c>
      <c r="AJ2443" s="19">
        <f t="shared" si="723"/>
        <v>5664636.2584379362</v>
      </c>
      <c r="AK2443" s="20">
        <f t="shared" si="730"/>
        <v>0.12367325186825515</v>
      </c>
      <c r="AL2443" s="17"/>
      <c r="AM2443" s="17"/>
      <c r="AN2443" s="17"/>
      <c r="AO2443" s="17" t="s">
        <v>1512</v>
      </c>
      <c r="AP2443" s="28" t="str">
        <f t="shared" si="731"/>
        <v>20211</v>
      </c>
      <c r="AQ2443" s="28" t="str">
        <f t="shared" si="732"/>
        <v>20211JPY</v>
      </c>
      <c r="AR2443" s="206" t="str">
        <f t="shared" si="733"/>
        <v>YAMAHA_Mounter</v>
      </c>
      <c r="AS2443" s="22">
        <f t="shared" si="734"/>
        <v>2</v>
      </c>
      <c r="AT2443" s="24" t="str">
        <f t="shared" si="735"/>
        <v>0-3 months</v>
      </c>
      <c r="AU2443" s="22" t="s">
        <v>3746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18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6"/>
        <v>8250000</v>
      </c>
      <c r="AA2444" s="13">
        <v>7.6799999999999993E-2</v>
      </c>
      <c r="AB2444" s="21">
        <f t="shared" si="719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22"/>
        <v>45803245.025628321</v>
      </c>
      <c r="AJ2444" s="19">
        <f t="shared" si="723"/>
        <v>5664636.2584379362</v>
      </c>
      <c r="AK2444" s="20">
        <f t="shared" si="730"/>
        <v>0.12367325186825515</v>
      </c>
      <c r="AL2444" s="17"/>
      <c r="AM2444" s="17"/>
      <c r="AN2444" s="17"/>
      <c r="AO2444" s="17" t="s">
        <v>1512</v>
      </c>
      <c r="AP2444" s="28" t="str">
        <f t="shared" si="731"/>
        <v>20211</v>
      </c>
      <c r="AQ2444" s="28" t="str">
        <f t="shared" si="732"/>
        <v>20211JPY</v>
      </c>
      <c r="AR2444" s="206" t="str">
        <f t="shared" si="733"/>
        <v>YAMAHA_Mounter</v>
      </c>
      <c r="AS2444" s="22">
        <f t="shared" si="734"/>
        <v>2</v>
      </c>
      <c r="AT2444" s="24" t="str">
        <f t="shared" si="735"/>
        <v>0-3 months</v>
      </c>
      <c r="AU2444" s="22" t="s">
        <v>3746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18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6"/>
        <v>11500000</v>
      </c>
      <c r="AA2445" s="13">
        <v>7.4499999999999997E-2</v>
      </c>
      <c r="AB2445" s="21">
        <f t="shared" si="719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22"/>
        <v>57778307.282035396</v>
      </c>
      <c r="AJ2445" s="19">
        <f t="shared" si="723"/>
        <v>7259860.7225420559</v>
      </c>
      <c r="AK2445" s="20">
        <f t="shared" si="730"/>
        <v>0.12565028406083667</v>
      </c>
      <c r="AL2445" s="17"/>
      <c r="AM2445" s="17"/>
      <c r="AN2445" s="17"/>
      <c r="AO2445" s="17"/>
      <c r="AP2445" s="28" t="str">
        <f t="shared" si="731"/>
        <v>20213</v>
      </c>
      <c r="AQ2445" s="28" t="str">
        <f t="shared" si="732"/>
        <v>20213JPY</v>
      </c>
      <c r="AR2445" s="206" t="str">
        <f t="shared" si="733"/>
        <v>YAMAHA_Mounter</v>
      </c>
      <c r="AS2445" s="22">
        <f t="shared" si="734"/>
        <v>3</v>
      </c>
      <c r="AT2445" s="24" t="str">
        <f t="shared" si="735"/>
        <v>0-3 months</v>
      </c>
      <c r="AU2445" s="22" t="s">
        <v>3746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18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6"/>
        <v>14500000</v>
      </c>
      <c r="AA2446" s="13">
        <v>7.2099999999999997E-2</v>
      </c>
      <c r="AB2446" s="21">
        <f t="shared" si="719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22"/>
        <v>54700260.692079648</v>
      </c>
      <c r="AJ2446" s="19">
        <f t="shared" si="723"/>
        <v>7482899.5749188727</v>
      </c>
      <c r="AK2446" s="20">
        <f t="shared" si="730"/>
        <v>0.13679824337660537</v>
      </c>
      <c r="AL2446" s="17"/>
      <c r="AM2446" s="17"/>
      <c r="AN2446" s="17"/>
      <c r="AO2446" s="17"/>
      <c r="AP2446" s="28" t="str">
        <f t="shared" si="731"/>
        <v>20216</v>
      </c>
      <c r="AQ2446" s="28" t="str">
        <f t="shared" si="732"/>
        <v>20216JPY</v>
      </c>
      <c r="AR2446" s="206" t="str">
        <f t="shared" si="733"/>
        <v>YAMAHA_Mounter</v>
      </c>
      <c r="AS2446" s="22">
        <f t="shared" si="734"/>
        <v>3</v>
      </c>
      <c r="AT2446" s="24" t="str">
        <f t="shared" si="735"/>
        <v>0-3 months</v>
      </c>
      <c r="AU2446" s="22" t="s">
        <v>3746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18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6"/>
        <v>14500000</v>
      </c>
      <c r="AA2447" s="13">
        <v>7.2099999999999997E-2</v>
      </c>
      <c r="AB2447" s="21">
        <f t="shared" si="719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22"/>
        <v>54700260.692079648</v>
      </c>
      <c r="AJ2447" s="19">
        <f t="shared" si="723"/>
        <v>7482899.5749188727</v>
      </c>
      <c r="AK2447" s="20">
        <f t="shared" si="730"/>
        <v>0.13679824337660537</v>
      </c>
      <c r="AL2447" s="17"/>
      <c r="AM2447" s="17"/>
      <c r="AN2447" s="17"/>
      <c r="AO2447" s="17"/>
      <c r="AP2447" s="28" t="str">
        <f t="shared" si="731"/>
        <v>20216</v>
      </c>
      <c r="AQ2447" s="28" t="str">
        <f t="shared" si="732"/>
        <v>20216JPY</v>
      </c>
      <c r="AR2447" s="206" t="str">
        <f t="shared" si="733"/>
        <v>YAMAHA_Mounter</v>
      </c>
      <c r="AS2447" s="22">
        <f t="shared" si="734"/>
        <v>3</v>
      </c>
      <c r="AT2447" s="24" t="str">
        <f t="shared" si="735"/>
        <v>0-3 months</v>
      </c>
      <c r="AU2447" s="22" t="s">
        <v>3746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18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6"/>
        <v>7340000</v>
      </c>
      <c r="AA2448" s="13">
        <v>7.2099999999999997E-2</v>
      </c>
      <c r="AB2448" s="21">
        <f t="shared" si="719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22"/>
        <v>54700260.692079648</v>
      </c>
      <c r="AJ2448" s="19">
        <f t="shared" si="723"/>
        <v>7482899.5749188727</v>
      </c>
      <c r="AK2448" s="20">
        <f t="shared" si="730"/>
        <v>0.13679824337660537</v>
      </c>
      <c r="AL2448" s="17"/>
      <c r="AM2448" s="17"/>
      <c r="AN2448" s="17"/>
      <c r="AO2448" s="17"/>
      <c r="AP2448" s="28" t="str">
        <f t="shared" si="731"/>
        <v>20216</v>
      </c>
      <c r="AQ2448" s="28" t="str">
        <f t="shared" si="732"/>
        <v>20216JPY</v>
      </c>
      <c r="AR2448" s="206" t="str">
        <f t="shared" si="733"/>
        <v>YAMAHA_Mounter</v>
      </c>
      <c r="AS2448" s="22">
        <f t="shared" si="734"/>
        <v>3</v>
      </c>
      <c r="AT2448" s="24" t="str">
        <f t="shared" si="735"/>
        <v>0-3 months</v>
      </c>
      <c r="AU2448" s="22" t="s">
        <v>3746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18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6"/>
        <v>7340000</v>
      </c>
      <c r="AA2449" s="13">
        <v>7.17E-2</v>
      </c>
      <c r="AB2449" s="21">
        <f t="shared" si="719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22"/>
        <v>41443303.53761062</v>
      </c>
      <c r="AJ2449" s="19">
        <f t="shared" si="723"/>
        <v>6194988.76643031</v>
      </c>
      <c r="AK2449" s="20">
        <f t="shared" si="730"/>
        <v>0.1494810557466355</v>
      </c>
      <c r="AL2449" s="17"/>
      <c r="AM2449" s="17"/>
      <c r="AN2449" s="17"/>
      <c r="AO2449" s="17"/>
      <c r="AP2449" s="28" t="str">
        <f t="shared" si="731"/>
        <v>20217</v>
      </c>
      <c r="AQ2449" s="28" t="str">
        <f t="shared" si="732"/>
        <v>20217JPY</v>
      </c>
      <c r="AR2449" s="206" t="str">
        <f t="shared" si="733"/>
        <v>YAMAHA_Mounter</v>
      </c>
      <c r="AS2449" s="22">
        <f t="shared" si="734"/>
        <v>4</v>
      </c>
      <c r="AT2449" s="24" t="str">
        <f t="shared" si="735"/>
        <v>4-6 months</v>
      </c>
      <c r="AU2449" s="22" t="s">
        <v>3746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18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6"/>
        <v>14500000</v>
      </c>
      <c r="AA2450" s="13">
        <v>7.17E-2</v>
      </c>
      <c r="AB2450" s="21">
        <f t="shared" si="719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22"/>
        <v>41443303.53761062</v>
      </c>
      <c r="AJ2450" s="19">
        <f t="shared" si="723"/>
        <v>6194988.76643031</v>
      </c>
      <c r="AK2450" s="20">
        <f t="shared" si="730"/>
        <v>0.1494810557466355</v>
      </c>
      <c r="AL2450" s="17"/>
      <c r="AM2450" s="17"/>
      <c r="AN2450" s="17"/>
      <c r="AO2450" s="17"/>
      <c r="AP2450" s="28" t="str">
        <f t="shared" si="731"/>
        <v>20217</v>
      </c>
      <c r="AQ2450" s="28" t="str">
        <f t="shared" si="732"/>
        <v>20217JPY</v>
      </c>
      <c r="AR2450" s="206" t="str">
        <f t="shared" si="733"/>
        <v>YAMAHA_Mounter</v>
      </c>
      <c r="AS2450" s="22">
        <f t="shared" si="734"/>
        <v>4</v>
      </c>
      <c r="AT2450" s="24" t="str">
        <f t="shared" si="735"/>
        <v>4-6 months</v>
      </c>
      <c r="AU2450" s="22" t="s">
        <v>3746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18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6"/>
        <v>14500000</v>
      </c>
      <c r="AA2451" s="13">
        <v>7.17E-2</v>
      </c>
      <c r="AB2451" s="21">
        <f t="shared" si="719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22"/>
        <v>41443303.53761062</v>
      </c>
      <c r="AJ2451" s="19">
        <f t="shared" si="723"/>
        <v>6194988.76643031</v>
      </c>
      <c r="AK2451" s="20">
        <f t="shared" si="730"/>
        <v>0.1494810557466355</v>
      </c>
      <c r="AL2451" s="17"/>
      <c r="AM2451" s="17"/>
      <c r="AN2451" s="17"/>
      <c r="AO2451" s="17"/>
      <c r="AP2451" s="28" t="str">
        <f t="shared" si="731"/>
        <v>20217</v>
      </c>
      <c r="AQ2451" s="28" t="str">
        <f t="shared" si="732"/>
        <v>20217JPY</v>
      </c>
      <c r="AR2451" s="206" t="str">
        <f t="shared" si="733"/>
        <v>YAMAHA_Mounter</v>
      </c>
      <c r="AS2451" s="22">
        <f t="shared" si="734"/>
        <v>4</v>
      </c>
      <c r="AT2451" s="24" t="str">
        <f t="shared" si="735"/>
        <v>4-6 months</v>
      </c>
      <c r="AU2451" s="22" t="s">
        <v>3746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18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6"/>
        <v>14500000</v>
      </c>
      <c r="AA2452" s="13">
        <v>7.17E-2</v>
      </c>
      <c r="AB2452" s="21">
        <f t="shared" si="719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22"/>
        <v>41443303.53761062</v>
      </c>
      <c r="AJ2452" s="19">
        <f t="shared" si="723"/>
        <v>6194988.76643031</v>
      </c>
      <c r="AK2452" s="20">
        <f t="shared" si="730"/>
        <v>0.1494810557466355</v>
      </c>
      <c r="AL2452" s="17"/>
      <c r="AM2452" s="17"/>
      <c r="AN2452" s="17"/>
      <c r="AO2452" s="17"/>
      <c r="AP2452" s="28" t="str">
        <f t="shared" si="731"/>
        <v>20217</v>
      </c>
      <c r="AQ2452" s="28" t="str">
        <f t="shared" si="732"/>
        <v>20217JPY</v>
      </c>
      <c r="AR2452" s="206" t="str">
        <f t="shared" si="733"/>
        <v>YAMAHA_Mounter</v>
      </c>
      <c r="AS2452" s="22">
        <f t="shared" si="734"/>
        <v>4</v>
      </c>
      <c r="AT2452" s="24" t="str">
        <f t="shared" si="735"/>
        <v>4-6 months</v>
      </c>
      <c r="AU2452" s="22" t="s">
        <v>3746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18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6"/>
        <v>14500000</v>
      </c>
      <c r="AA2453" s="13">
        <v>7.17E-2</v>
      </c>
      <c r="AB2453" s="21">
        <f t="shared" si="719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22"/>
        <v>41443303.53761062</v>
      </c>
      <c r="AJ2453" s="19">
        <f t="shared" si="723"/>
        <v>6194988.76643031</v>
      </c>
      <c r="AK2453" s="20">
        <f t="shared" si="730"/>
        <v>0.1494810557466355</v>
      </c>
      <c r="AL2453" s="17"/>
      <c r="AM2453" s="17"/>
      <c r="AN2453" s="17"/>
      <c r="AO2453" s="17"/>
      <c r="AP2453" s="28" t="str">
        <f t="shared" si="731"/>
        <v>20217</v>
      </c>
      <c r="AQ2453" s="28" t="str">
        <f t="shared" si="732"/>
        <v>20217JPY</v>
      </c>
      <c r="AR2453" s="206" t="str">
        <f t="shared" si="733"/>
        <v>YAMAHA_Mounter</v>
      </c>
      <c r="AS2453" s="22">
        <f t="shared" si="734"/>
        <v>4</v>
      </c>
      <c r="AT2453" s="24" t="str">
        <f t="shared" si="735"/>
        <v>4-6 months</v>
      </c>
      <c r="AU2453" s="22" t="s">
        <v>3746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7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6"/>
        <v>15300</v>
      </c>
      <c r="AA2454" s="13">
        <v>1.155</v>
      </c>
      <c r="AB2454" s="21">
        <f t="shared" ref="AB2454:AB2517" si="738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22"/>
        <v>44078731.611185849</v>
      </c>
      <c r="AJ2454" s="19">
        <f t="shared" si="723"/>
        <v>5508173.2163771465</v>
      </c>
      <c r="AK2454" s="20">
        <f t="shared" si="730"/>
        <v>0.12496215328889679</v>
      </c>
      <c r="AL2454" s="17"/>
      <c r="AM2454" s="17"/>
      <c r="AN2454" s="17"/>
      <c r="AO2454" s="17"/>
      <c r="AP2454" s="28" t="str">
        <f t="shared" si="731"/>
        <v>202011</v>
      </c>
      <c r="AQ2454" s="28" t="str">
        <f t="shared" si="732"/>
        <v>202011RMB</v>
      </c>
      <c r="AR2454" s="206" t="str">
        <f t="shared" si="733"/>
        <v>YAMAHA_Mounter</v>
      </c>
      <c r="AS2454" s="22">
        <f t="shared" si="734"/>
        <v>0</v>
      </c>
      <c r="AT2454" s="24" t="str">
        <f t="shared" si="735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7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6"/>
        <v>122999.99799999999</v>
      </c>
      <c r="AA2455" s="13">
        <v>1.175</v>
      </c>
      <c r="AB2455" s="21">
        <f t="shared" si="738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22"/>
        <v>48763143.537654862</v>
      </c>
      <c r="AJ2455" s="19">
        <f t="shared" si="723"/>
        <v>5924029.9702154724</v>
      </c>
      <c r="AK2455" s="20">
        <f t="shared" si="730"/>
        <v>0.1214858095774925</v>
      </c>
      <c r="AL2455" s="17"/>
      <c r="AM2455" s="17"/>
      <c r="AN2455" s="17"/>
      <c r="AO2455" s="17"/>
      <c r="AP2455" s="28" t="str">
        <f t="shared" si="731"/>
        <v>202012</v>
      </c>
      <c r="AQ2455" s="28" t="str">
        <f t="shared" si="732"/>
        <v>202012RMB</v>
      </c>
      <c r="AR2455" s="206" t="str">
        <f t="shared" si="733"/>
        <v>YAMAHA_Mounter</v>
      </c>
      <c r="AS2455" s="22">
        <f t="shared" si="734"/>
        <v>1</v>
      </c>
      <c r="AT2455" s="24" t="str">
        <f t="shared" si="735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7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6"/>
        <v>630000</v>
      </c>
      <c r="AA2456" s="13">
        <v>1.175</v>
      </c>
      <c r="AB2456" s="21">
        <f t="shared" si="738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22"/>
        <v>499582152.5142017</v>
      </c>
      <c r="AJ2456" s="19">
        <f t="shared" si="723"/>
        <v>59520528.679470733</v>
      </c>
      <c r="AK2456" s="20">
        <f t="shared" si="730"/>
        <v>0.11914062257814291</v>
      </c>
      <c r="AL2456" s="17"/>
      <c r="AM2456" s="17"/>
      <c r="AN2456" s="17"/>
      <c r="AO2456" s="17"/>
      <c r="AP2456" s="28" t="str">
        <f t="shared" si="731"/>
        <v>CancelCANCEL</v>
      </c>
      <c r="AQ2456" s="28" t="str">
        <f t="shared" si="732"/>
        <v>CancelCANCELRMB</v>
      </c>
      <c r="AR2456" s="206" t="str">
        <f t="shared" si="733"/>
        <v>YAMAHA_Mounter</v>
      </c>
      <c r="AS2456" s="22" t="str">
        <f t="shared" si="734"/>
        <v/>
      </c>
      <c r="AT2456" s="24" t="str">
        <f t="shared" si="735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7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6"/>
        <v>636550</v>
      </c>
      <c r="AA2457" s="13">
        <v>1.105</v>
      </c>
      <c r="AB2457" s="21">
        <f t="shared" si="738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22"/>
        <v>37969334.083628319</v>
      </c>
      <c r="AJ2457" s="19">
        <f t="shared" si="723"/>
        <v>5097226.4551657084</v>
      </c>
      <c r="AK2457" s="20">
        <f t="shared" si="730"/>
        <v>0.13424587441904964</v>
      </c>
      <c r="AL2457" s="17"/>
      <c r="AM2457" s="17"/>
      <c r="AN2457" s="17"/>
      <c r="AO2457" s="17"/>
      <c r="AP2457" s="28" t="str">
        <f t="shared" si="731"/>
        <v>20208</v>
      </c>
      <c r="AQ2457" s="28" t="str">
        <f t="shared" si="732"/>
        <v>20208RMB</v>
      </c>
      <c r="AR2457" s="206" t="str">
        <f t="shared" si="733"/>
        <v>YAMAHA_Mounter</v>
      </c>
      <c r="AS2457" s="22">
        <f t="shared" si="734"/>
        <v>3</v>
      </c>
      <c r="AT2457" s="24" t="str">
        <f t="shared" si="735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7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6"/>
        <v>10100</v>
      </c>
      <c r="AA2458" s="13">
        <v>1.1299999999999999</v>
      </c>
      <c r="AB2458" s="21">
        <f t="shared" si="738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22"/>
        <v>47907808.356810622</v>
      </c>
      <c r="AJ2458" s="19">
        <f t="shared" si="723"/>
        <v>6027384.8806384448</v>
      </c>
      <c r="AK2458" s="20">
        <f t="shared" si="730"/>
        <v>0.12581216063459488</v>
      </c>
      <c r="AL2458" s="17"/>
      <c r="AM2458" s="17"/>
      <c r="AN2458" s="17"/>
      <c r="AO2458" s="17"/>
      <c r="AP2458" s="28" t="str">
        <f t="shared" si="731"/>
        <v>20209</v>
      </c>
      <c r="AQ2458" s="28" t="str">
        <f t="shared" si="732"/>
        <v>20209RMB</v>
      </c>
      <c r="AR2458" s="206" t="str">
        <f t="shared" si="733"/>
        <v>YAMAHA_Mounter</v>
      </c>
      <c r="AS2458" s="22">
        <f t="shared" si="734"/>
        <v>1</v>
      </c>
      <c r="AT2458" s="24" t="str">
        <f t="shared" si="735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7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6"/>
        <v>4960</v>
      </c>
      <c r="AA2459" s="13">
        <v>1.1299999999999999</v>
      </c>
      <c r="AB2459" s="21">
        <f t="shared" si="738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22"/>
        <v>47907808.356810622</v>
      </c>
      <c r="AJ2459" s="19">
        <f t="shared" si="723"/>
        <v>6027384.8806384448</v>
      </c>
      <c r="AK2459" s="20">
        <f t="shared" si="730"/>
        <v>0.12581216063459488</v>
      </c>
      <c r="AL2459" s="17"/>
      <c r="AM2459" s="17"/>
      <c r="AN2459" s="17"/>
      <c r="AO2459" s="17"/>
      <c r="AP2459" s="28" t="str">
        <f t="shared" si="731"/>
        <v>20209</v>
      </c>
      <c r="AQ2459" s="28" t="str">
        <f t="shared" si="732"/>
        <v>20209RMB</v>
      </c>
      <c r="AR2459" s="206" t="str">
        <f t="shared" si="733"/>
        <v>LOCAL SUPPLIER</v>
      </c>
      <c r="AS2459" s="22">
        <f t="shared" si="734"/>
        <v>1</v>
      </c>
      <c r="AT2459" s="24" t="str">
        <f t="shared" si="735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7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6"/>
        <v>1663450</v>
      </c>
      <c r="AA2460" s="13">
        <v>1.105</v>
      </c>
      <c r="AB2460" s="21">
        <f t="shared" si="738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22"/>
        <v>37969334.083628319</v>
      </c>
      <c r="AJ2460" s="19">
        <f t="shared" si="723"/>
        <v>5097226.4551657084</v>
      </c>
      <c r="AK2460" s="20">
        <f t="shared" si="730"/>
        <v>0.13424587441904964</v>
      </c>
      <c r="AL2460" s="17"/>
      <c r="AM2460" s="17"/>
      <c r="AN2460" s="17"/>
      <c r="AO2460" s="17"/>
      <c r="AP2460" s="28" t="str">
        <f t="shared" si="731"/>
        <v>20208</v>
      </c>
      <c r="AQ2460" s="28" t="str">
        <f t="shared" si="732"/>
        <v>20208RMB</v>
      </c>
      <c r="AR2460" s="206" t="str">
        <f t="shared" si="733"/>
        <v>HELLER</v>
      </c>
      <c r="AS2460" s="22">
        <f t="shared" si="734"/>
        <v>3</v>
      </c>
      <c r="AT2460" s="24" t="str">
        <f t="shared" si="735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7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6"/>
        <v>490000</v>
      </c>
      <c r="AA2461" s="13">
        <v>1.1299999999999999</v>
      </c>
      <c r="AB2461" s="21">
        <f t="shared" si="738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22"/>
        <v>33543315.897345133</v>
      </c>
      <c r="AJ2461" s="19">
        <f t="shared" si="723"/>
        <v>4706169.3252984071</v>
      </c>
      <c r="AK2461" s="20">
        <f t="shared" si="730"/>
        <v>0.14030125523967318</v>
      </c>
      <c r="AL2461" s="17"/>
      <c r="AM2461" s="17"/>
      <c r="AN2461" s="17"/>
      <c r="AO2461" s="17"/>
      <c r="AP2461" s="28" t="str">
        <f t="shared" si="731"/>
        <v>20233</v>
      </c>
      <c r="AQ2461" s="28" t="str">
        <f t="shared" si="732"/>
        <v>20233RMB</v>
      </c>
      <c r="AR2461" s="206" t="str">
        <f t="shared" si="733"/>
        <v>YAMAHA_Mounter</v>
      </c>
      <c r="AS2461" s="22">
        <f t="shared" si="734"/>
        <v>0</v>
      </c>
      <c r="AT2461" s="24" t="str">
        <f t="shared" si="735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7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6"/>
        <v>15000000</v>
      </c>
      <c r="AA2462" s="22">
        <v>4.9500000000000002E-2</v>
      </c>
      <c r="AB2462" s="197">
        <f t="shared" si="738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22"/>
        <v>25458266.694690265</v>
      </c>
      <c r="AJ2462" s="200">
        <f t="shared" si="723"/>
        <v>4116526.778578762</v>
      </c>
      <c r="AK2462" s="201">
        <f t="shared" si="730"/>
        <v>0.16169705612508689</v>
      </c>
      <c r="AL2462" s="24"/>
      <c r="AM2462" s="24"/>
      <c r="AN2462" s="24"/>
      <c r="AO2462" s="24"/>
      <c r="AP2462" s="105" t="str">
        <f t="shared" si="731"/>
        <v>20247</v>
      </c>
      <c r="AQ2462" s="28" t="str">
        <f t="shared" si="732"/>
        <v>20247JPY</v>
      </c>
      <c r="AR2462" s="206" t="str">
        <f t="shared" si="733"/>
        <v>YAMAHA_Mounter</v>
      </c>
      <c r="AS2462" s="22">
        <f t="shared" si="734"/>
        <v>1</v>
      </c>
      <c r="AT2462" s="24" t="str">
        <f t="shared" si="735"/>
        <v>0-3 months</v>
      </c>
      <c r="AU2462" s="22" t="s">
        <v>3745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7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6"/>
        <v>763500</v>
      </c>
      <c r="AA2463" s="13">
        <v>1.125</v>
      </c>
      <c r="AB2463" s="21">
        <f t="shared" si="738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22"/>
        <v>29840797.698275864</v>
      </c>
      <c r="AJ2463" s="19">
        <f t="shared" si="723"/>
        <v>3940167.6555448272</v>
      </c>
      <c r="AK2463" s="20">
        <f t="shared" si="730"/>
        <v>0.13203962224416277</v>
      </c>
      <c r="AL2463" s="17"/>
      <c r="AM2463" s="17"/>
      <c r="AN2463" s="17"/>
      <c r="AO2463" s="17"/>
      <c r="AP2463" s="28" t="str">
        <f t="shared" si="731"/>
        <v>201812</v>
      </c>
      <c r="AQ2463" s="28" t="str">
        <f t="shared" si="732"/>
        <v>201812RMB</v>
      </c>
      <c r="AR2463" s="206" t="str">
        <f t="shared" si="733"/>
        <v>YAMAHA_Mounter</v>
      </c>
      <c r="AS2463" s="22">
        <f t="shared" si="734"/>
        <v>2</v>
      </c>
      <c r="AT2463" s="24" t="str">
        <f t="shared" si="735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7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6"/>
        <v>1120652</v>
      </c>
      <c r="AA2464" s="13">
        <v>1.095</v>
      </c>
      <c r="AB2464" s="21">
        <f t="shared" si="738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22"/>
        <v>28065694.408805311</v>
      </c>
      <c r="AJ2464" s="19">
        <f t="shared" si="723"/>
        <v>4157433.2906989697</v>
      </c>
      <c r="AK2464" s="20">
        <f t="shared" si="730"/>
        <v>0.14813220831602228</v>
      </c>
      <c r="AL2464" s="17"/>
      <c r="AM2464" s="17"/>
      <c r="AN2464" s="17"/>
      <c r="AO2464" s="17"/>
      <c r="AP2464" s="28" t="str">
        <f t="shared" si="731"/>
        <v>20205</v>
      </c>
      <c r="AQ2464" s="28" t="str">
        <f t="shared" si="732"/>
        <v>20205RMB</v>
      </c>
      <c r="AR2464" s="206" t="str">
        <f t="shared" si="733"/>
        <v>YAMAHA_Mounter</v>
      </c>
      <c r="AS2464" s="22">
        <f t="shared" si="734"/>
        <v>0</v>
      </c>
      <c r="AT2464" s="24" t="str">
        <f t="shared" si="735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7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6"/>
        <v>1155000</v>
      </c>
      <c r="AA2465" s="13">
        <v>1.2150000000000001</v>
      </c>
      <c r="AB2465" s="21">
        <f t="shared" si="738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22"/>
        <v>25380121.402654871</v>
      </c>
      <c r="AJ2465" s="19">
        <f t="shared" si="723"/>
        <v>3850343.1237796471</v>
      </c>
      <c r="AK2465" s="20">
        <f t="shared" si="730"/>
        <v>0.1517070412191521</v>
      </c>
      <c r="AL2465" s="17"/>
      <c r="AM2465" s="17"/>
      <c r="AN2465" s="17"/>
      <c r="AO2465" s="17"/>
      <c r="AP2465" s="28" t="str">
        <f t="shared" si="731"/>
        <v>202112</v>
      </c>
      <c r="AQ2465" s="28" t="str">
        <f t="shared" si="732"/>
        <v>202112RMB</v>
      </c>
      <c r="AR2465" s="206" t="str">
        <f t="shared" si="733"/>
        <v>YAMAHA_Mounter</v>
      </c>
      <c r="AS2465" s="22">
        <f t="shared" si="734"/>
        <v>1</v>
      </c>
      <c r="AT2465" s="24" t="str">
        <f t="shared" si="735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7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6"/>
        <v>1155000</v>
      </c>
      <c r="AA2466" s="13">
        <v>1.22</v>
      </c>
      <c r="AB2466" s="21">
        <f t="shared" si="738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22"/>
        <v>26407088.359292038</v>
      </c>
      <c r="AJ2466" s="19">
        <f t="shared" si="723"/>
        <v>3424510.6998470789</v>
      </c>
      <c r="AK2466" s="20">
        <f t="shared" si="730"/>
        <v>0.12968149510667554</v>
      </c>
      <c r="AL2466" s="17"/>
      <c r="AM2466" s="17"/>
      <c r="AN2466" s="17"/>
      <c r="AO2466" s="17"/>
      <c r="AP2466" s="28" t="str">
        <f t="shared" si="731"/>
        <v>20221</v>
      </c>
      <c r="AQ2466" s="28" t="str">
        <f t="shared" si="732"/>
        <v>20221RMB</v>
      </c>
      <c r="AR2466" s="206" t="str">
        <f t="shared" si="733"/>
        <v>YAMAHA_Mounter</v>
      </c>
      <c r="AS2466" s="22">
        <f t="shared" si="734"/>
        <v>2</v>
      </c>
      <c r="AT2466" s="24" t="str">
        <f t="shared" si="735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7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6"/>
        <v>756000</v>
      </c>
      <c r="AA2467" s="13">
        <v>1.175</v>
      </c>
      <c r="AB2467" s="21">
        <f t="shared" si="738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22"/>
        <v>35682787.057522126</v>
      </c>
      <c r="AJ2467" s="19">
        <f t="shared" si="723"/>
        <v>5833368.3789623892</v>
      </c>
      <c r="AK2467" s="20">
        <f t="shared" si="730"/>
        <v>0.16347849649632912</v>
      </c>
      <c r="AL2467" s="17"/>
      <c r="AM2467" s="17"/>
      <c r="AN2467" s="17"/>
      <c r="AO2467" s="17"/>
      <c r="AP2467" s="28" t="str">
        <f t="shared" si="731"/>
        <v>20226</v>
      </c>
      <c r="AQ2467" s="28" t="str">
        <f t="shared" si="732"/>
        <v>20226RMB</v>
      </c>
      <c r="AR2467" s="206" t="str">
        <f t="shared" si="733"/>
        <v>YAMAHA_Mounter</v>
      </c>
      <c r="AS2467" s="22">
        <f t="shared" si="734"/>
        <v>9</v>
      </c>
      <c r="AT2467" s="24" t="str">
        <f t="shared" si="735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7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6"/>
        <v>532300</v>
      </c>
      <c r="AA2468" s="13">
        <v>1.125</v>
      </c>
      <c r="AB2468" s="21">
        <f t="shared" si="738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22"/>
        <v>29840797.698275864</v>
      </c>
      <c r="AJ2468" s="19">
        <f t="shared" si="723"/>
        <v>3940167.6555448272</v>
      </c>
      <c r="AK2468" s="20">
        <f t="shared" si="730"/>
        <v>0.13203962224416277</v>
      </c>
      <c r="AL2468" s="17"/>
      <c r="AM2468" s="17"/>
      <c r="AN2468" s="17"/>
      <c r="AO2468" s="17"/>
      <c r="AP2468" s="28" t="str">
        <f t="shared" si="731"/>
        <v>201812</v>
      </c>
      <c r="AQ2468" s="28" t="str">
        <f t="shared" si="732"/>
        <v>201812RMB</v>
      </c>
      <c r="AR2468" s="206" t="str">
        <f t="shared" si="733"/>
        <v>YAMAHA_Non_Mounter</v>
      </c>
      <c r="AS2468" s="22">
        <f t="shared" si="734"/>
        <v>2</v>
      </c>
      <c r="AT2468" s="24" t="str">
        <f t="shared" si="735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7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6"/>
        <v>420000</v>
      </c>
      <c r="AA2469" s="13">
        <v>1.125</v>
      </c>
      <c r="AB2469" s="21">
        <f t="shared" si="738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22"/>
        <v>29840797.698275864</v>
      </c>
      <c r="AJ2469" s="19">
        <f t="shared" si="723"/>
        <v>3940167.6555448272</v>
      </c>
      <c r="AK2469" s="20">
        <f t="shared" si="730"/>
        <v>0.13203962224416277</v>
      </c>
      <c r="AL2469" s="17"/>
      <c r="AM2469" s="17"/>
      <c r="AN2469" s="17"/>
      <c r="AO2469" s="17"/>
      <c r="AP2469" s="28" t="str">
        <f t="shared" si="731"/>
        <v>201812</v>
      </c>
      <c r="AQ2469" s="28" t="str">
        <f t="shared" si="732"/>
        <v>201812RMB</v>
      </c>
      <c r="AR2469" s="206" t="str">
        <f t="shared" si="733"/>
        <v>HELLER</v>
      </c>
      <c r="AS2469" s="22">
        <f t="shared" si="734"/>
        <v>2</v>
      </c>
      <c r="AT2469" s="24" t="str">
        <f t="shared" si="735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7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6"/>
        <v>465000</v>
      </c>
      <c r="AA2470" s="13">
        <v>1.22</v>
      </c>
      <c r="AB2470" s="21">
        <f t="shared" si="738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22"/>
        <v>26407088.359292038</v>
      </c>
      <c r="AJ2470" s="19">
        <f t="shared" si="723"/>
        <v>3424510.6998470789</v>
      </c>
      <c r="AK2470" s="20">
        <f t="shared" si="730"/>
        <v>0.12968149510667554</v>
      </c>
      <c r="AL2470" s="17"/>
      <c r="AM2470" s="17"/>
      <c r="AN2470" s="17"/>
      <c r="AO2470" s="17"/>
      <c r="AP2470" s="28" t="str">
        <f t="shared" si="731"/>
        <v>20221</v>
      </c>
      <c r="AQ2470" s="28" t="str">
        <f t="shared" si="732"/>
        <v>20221RMB</v>
      </c>
      <c r="AR2470" s="206" t="str">
        <f t="shared" si="733"/>
        <v>YAMAHA_Non_Mounter</v>
      </c>
      <c r="AS2470" s="22">
        <f t="shared" si="734"/>
        <v>2</v>
      </c>
      <c r="AT2470" s="24" t="str">
        <f t="shared" si="735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7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6"/>
        <v>360000</v>
      </c>
      <c r="AA2471" s="13">
        <v>1.22</v>
      </c>
      <c r="AB2471" s="21">
        <f t="shared" si="738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22"/>
        <v>26407088.359292038</v>
      </c>
      <c r="AJ2471" s="19">
        <f t="shared" si="723"/>
        <v>3424510.6998470789</v>
      </c>
      <c r="AK2471" s="20">
        <f t="shared" si="730"/>
        <v>0.12968149510667554</v>
      </c>
      <c r="AL2471" s="17"/>
      <c r="AM2471" s="17"/>
      <c r="AN2471" s="17"/>
      <c r="AO2471" s="17"/>
      <c r="AP2471" s="28" t="str">
        <f t="shared" si="731"/>
        <v>20221</v>
      </c>
      <c r="AQ2471" s="28" t="str">
        <f t="shared" si="732"/>
        <v>20221RMB</v>
      </c>
      <c r="AR2471" s="206" t="str">
        <f t="shared" si="733"/>
        <v>HELLER</v>
      </c>
      <c r="AS2471" s="22">
        <f t="shared" si="734"/>
        <v>2</v>
      </c>
      <c r="AT2471" s="24" t="str">
        <f t="shared" si="735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7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6"/>
        <v>100000</v>
      </c>
      <c r="AA2472" s="13">
        <v>1.1499999999999999</v>
      </c>
      <c r="AB2472" s="21">
        <f t="shared" si="738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22"/>
        <v>26492741.106427077</v>
      </c>
      <c r="AJ2472" s="19">
        <f t="shared" si="723"/>
        <v>3348032.1325698122</v>
      </c>
      <c r="AK2472" s="20">
        <f t="shared" si="730"/>
        <v>0.12637545201985867</v>
      </c>
      <c r="AL2472" s="17"/>
      <c r="AM2472" s="17"/>
      <c r="AN2472" s="17"/>
      <c r="AO2472" s="17"/>
      <c r="AP2472" s="28" t="str">
        <f t="shared" si="731"/>
        <v>20189</v>
      </c>
      <c r="AQ2472" s="28" t="str">
        <f t="shared" si="732"/>
        <v>20189RMB</v>
      </c>
      <c r="AR2472" s="206" t="str">
        <f t="shared" si="733"/>
        <v>LOCAL SUPPLIER</v>
      </c>
      <c r="AS2472" s="22">
        <f t="shared" si="734"/>
        <v>2</v>
      </c>
      <c r="AT2472" s="24" t="str">
        <f t="shared" si="735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7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6"/>
        <v>1000000</v>
      </c>
      <c r="AA2473" s="13">
        <v>1.2</v>
      </c>
      <c r="AB2473" s="21">
        <f t="shared" si="738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22"/>
        <v>41443303.53761062</v>
      </c>
      <c r="AJ2473" s="19">
        <f t="shared" si="723"/>
        <v>6194988.76643031</v>
      </c>
      <c r="AK2473" s="20">
        <f t="shared" si="730"/>
        <v>0.1494810557466355</v>
      </c>
      <c r="AL2473" s="17"/>
      <c r="AM2473" s="17"/>
      <c r="AN2473" s="17"/>
      <c r="AO2473" s="17"/>
      <c r="AP2473" s="28" t="str">
        <f t="shared" si="731"/>
        <v>20217</v>
      </c>
      <c r="AQ2473" s="28" t="str">
        <f t="shared" si="732"/>
        <v>20217RMB</v>
      </c>
      <c r="AR2473" s="206" t="str">
        <f t="shared" si="733"/>
        <v>YAMAHA_Mounter</v>
      </c>
      <c r="AS2473" s="22">
        <f t="shared" si="734"/>
        <v>3</v>
      </c>
      <c r="AT2473" s="24" t="str">
        <f t="shared" si="735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7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6"/>
        <v>1000000</v>
      </c>
      <c r="AA2474" s="13">
        <v>1.2</v>
      </c>
      <c r="AB2474" s="21">
        <f t="shared" si="738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22"/>
        <v>41443303.53761062</v>
      </c>
      <c r="AJ2474" s="19">
        <f t="shared" si="723"/>
        <v>6194988.76643031</v>
      </c>
      <c r="AK2474" s="20">
        <f t="shared" si="730"/>
        <v>0.1494810557466355</v>
      </c>
      <c r="AL2474" s="17"/>
      <c r="AM2474" s="17"/>
      <c r="AN2474" s="17"/>
      <c r="AO2474" s="17"/>
      <c r="AP2474" s="28" t="str">
        <f t="shared" si="731"/>
        <v>20217</v>
      </c>
      <c r="AQ2474" s="28" t="str">
        <f t="shared" si="732"/>
        <v>20217RMB</v>
      </c>
      <c r="AR2474" s="206" t="str">
        <f t="shared" si="733"/>
        <v>YAMAHA_Mounter</v>
      </c>
      <c r="AS2474" s="22">
        <f t="shared" si="734"/>
        <v>3</v>
      </c>
      <c r="AT2474" s="24" t="str">
        <f t="shared" si="735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7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39">IF(W2475="","",IF(W2475="RMB","1.13", "1"))</f>
        <v>1</v>
      </c>
      <c r="Z2475" s="196">
        <f t="shared" si="736"/>
        <v>10225000</v>
      </c>
      <c r="AA2475" s="22">
        <v>4.9500000000000002E-2</v>
      </c>
      <c r="AB2475" s="197">
        <f t="shared" si="738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22"/>
        <v>25458266.694690265</v>
      </c>
      <c r="AJ2475" s="200">
        <f t="shared" si="723"/>
        <v>4116526.778578762</v>
      </c>
      <c r="AK2475" s="201">
        <f t="shared" si="730"/>
        <v>0.16169705612508689</v>
      </c>
      <c r="AL2475" s="24"/>
      <c r="AM2475" s="24"/>
      <c r="AN2475" s="24"/>
      <c r="AO2475" s="24"/>
      <c r="AP2475" s="105" t="str">
        <f t="shared" si="731"/>
        <v>20247</v>
      </c>
      <c r="AQ2475" s="28" t="str">
        <f t="shared" si="732"/>
        <v>20247JPY</v>
      </c>
      <c r="AR2475" s="206" t="str">
        <f t="shared" si="733"/>
        <v>YAMAHA_Mounter</v>
      </c>
      <c r="AS2475" s="22">
        <f t="shared" si="734"/>
        <v>1</v>
      </c>
      <c r="AT2475" s="24" t="str">
        <f t="shared" si="735"/>
        <v>0-3 months</v>
      </c>
      <c r="AU2475" s="22" t="s">
        <v>3745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7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39"/>
        <v>1.13</v>
      </c>
      <c r="Z2476" s="196">
        <v>380666</v>
      </c>
      <c r="AA2476" s="22">
        <v>1.1080000000000001</v>
      </c>
      <c r="AB2476" s="197">
        <f t="shared" si="738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22"/>
        <v>22758096.38940867</v>
      </c>
      <c r="AJ2476" s="200">
        <f t="shared" si="723"/>
        <v>2469357.2298956565</v>
      </c>
      <c r="AK2476" s="201">
        <f t="shared" si="730"/>
        <v>0.10850455976822666</v>
      </c>
      <c r="AL2476" s="24"/>
      <c r="AM2476" s="24"/>
      <c r="AN2476" s="24"/>
      <c r="AO2476" s="24"/>
      <c r="AP2476" s="105" t="str">
        <f t="shared" si="731"/>
        <v>202410</v>
      </c>
      <c r="AQ2476" s="28" t="str">
        <f t="shared" si="732"/>
        <v>202410RMB</v>
      </c>
      <c r="AR2476" s="206" t="str">
        <f t="shared" si="733"/>
        <v>YAMAHA_Non_Mounter</v>
      </c>
      <c r="AS2476" s="22">
        <f t="shared" si="734"/>
        <v>3</v>
      </c>
      <c r="AT2476" s="24" t="str">
        <f t="shared" si="735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7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39"/>
        <v>1.13</v>
      </c>
      <c r="Z2477" s="196">
        <f t="shared" si="736"/>
        <v>729350</v>
      </c>
      <c r="AA2477" s="22">
        <v>1.075</v>
      </c>
      <c r="AB2477" s="197">
        <f t="shared" si="738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22"/>
        <v>25458266.694690265</v>
      </c>
      <c r="AJ2477" s="200">
        <f t="shared" si="723"/>
        <v>4116526.778578762</v>
      </c>
      <c r="AK2477" s="201">
        <f t="shared" si="730"/>
        <v>0.16169705612508689</v>
      </c>
      <c r="AL2477" s="24"/>
      <c r="AM2477" s="24"/>
      <c r="AN2477" s="24"/>
      <c r="AO2477" s="24"/>
      <c r="AP2477" s="105" t="str">
        <f t="shared" si="731"/>
        <v>20247</v>
      </c>
      <c r="AQ2477" s="28" t="str">
        <f t="shared" si="732"/>
        <v>20247RMB</v>
      </c>
      <c r="AR2477" s="206" t="str">
        <f t="shared" si="733"/>
        <v>YAMAHA_Mounter</v>
      </c>
      <c r="AS2477" s="22">
        <f t="shared" si="734"/>
        <v>1</v>
      </c>
      <c r="AT2477" s="24" t="str">
        <f t="shared" si="735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7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39"/>
        <v>1.13</v>
      </c>
      <c r="Z2478" s="196">
        <f t="shared" si="736"/>
        <v>729350</v>
      </c>
      <c r="AA2478" s="22">
        <v>1.075</v>
      </c>
      <c r="AB2478" s="197">
        <f t="shared" si="738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22"/>
        <v>25458266.694690265</v>
      </c>
      <c r="AJ2478" s="200">
        <f t="shared" si="723"/>
        <v>4116526.778578762</v>
      </c>
      <c r="AK2478" s="201">
        <f t="shared" si="730"/>
        <v>0.16169705612508689</v>
      </c>
      <c r="AL2478" s="24"/>
      <c r="AM2478" s="24"/>
      <c r="AN2478" s="24"/>
      <c r="AO2478" s="24"/>
      <c r="AP2478" s="105" t="str">
        <f t="shared" si="731"/>
        <v>20247</v>
      </c>
      <c r="AQ2478" s="28" t="str">
        <f t="shared" si="732"/>
        <v>20247RMB</v>
      </c>
      <c r="AR2478" s="206" t="str">
        <f t="shared" si="733"/>
        <v>YAMAHA_Mounter</v>
      </c>
      <c r="AS2478" s="22">
        <f t="shared" si="734"/>
        <v>1</v>
      </c>
      <c r="AT2478" s="24" t="str">
        <f t="shared" si="735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7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39"/>
        <v>1.13</v>
      </c>
      <c r="Z2479" s="196">
        <f t="shared" si="736"/>
        <v>330000</v>
      </c>
      <c r="AA2479" s="22">
        <v>1.075</v>
      </c>
      <c r="AB2479" s="197">
        <f t="shared" si="738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22"/>
        <v>25458266.694690265</v>
      </c>
      <c r="AJ2479" s="200">
        <f t="shared" si="723"/>
        <v>4116526.778578762</v>
      </c>
      <c r="AK2479" s="201">
        <f t="shared" si="730"/>
        <v>0.16169705612508689</v>
      </c>
      <c r="AL2479" s="24"/>
      <c r="AM2479" s="24"/>
      <c r="AN2479" s="24"/>
      <c r="AO2479" s="24"/>
      <c r="AP2479" s="105" t="str">
        <f t="shared" si="731"/>
        <v>20247</v>
      </c>
      <c r="AQ2479" s="28" t="str">
        <f t="shared" si="732"/>
        <v>20247RMB</v>
      </c>
      <c r="AR2479" s="206" t="str">
        <f t="shared" si="733"/>
        <v>YAMAHA_Non_Mounter</v>
      </c>
      <c r="AS2479" s="22">
        <f t="shared" si="734"/>
        <v>1</v>
      </c>
      <c r="AT2479" s="24" t="str">
        <f t="shared" si="735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7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39"/>
        <v>1</v>
      </c>
      <c r="Z2480" s="196">
        <f t="shared" si="736"/>
        <v>8080000</v>
      </c>
      <c r="AA2480" s="22">
        <v>4.9500000000000002E-2</v>
      </c>
      <c r="AB2480" s="197">
        <f t="shared" si="738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22"/>
        <v>25458266.694690265</v>
      </c>
      <c r="AJ2480" s="200">
        <f t="shared" si="723"/>
        <v>4116526.778578762</v>
      </c>
      <c r="AK2480" s="201">
        <f t="shared" si="730"/>
        <v>0.16169705612508689</v>
      </c>
      <c r="AL2480" s="24"/>
      <c r="AM2480" s="24"/>
      <c r="AN2480" s="24"/>
      <c r="AO2480" s="24"/>
      <c r="AP2480" s="105" t="str">
        <f t="shared" si="731"/>
        <v>20247</v>
      </c>
      <c r="AQ2480" s="28" t="str">
        <f t="shared" si="732"/>
        <v>20247JPY</v>
      </c>
      <c r="AR2480" s="206" t="str">
        <f t="shared" si="733"/>
        <v>YAMAHA_Non_Mounter</v>
      </c>
      <c r="AS2480" s="22">
        <f t="shared" si="734"/>
        <v>0</v>
      </c>
      <c r="AT2480" s="24" t="str">
        <f t="shared" si="735"/>
        <v>0-3 months</v>
      </c>
      <c r="AU2480" s="22" t="s">
        <v>3745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7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0">IF(W2481="RMB","1.13", "1")</f>
        <v>1.13</v>
      </c>
      <c r="Z2481" s="18">
        <f t="shared" si="736"/>
        <v>968760</v>
      </c>
      <c r="AA2481" s="13">
        <v>1.163</v>
      </c>
      <c r="AB2481" s="21">
        <f t="shared" si="738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22"/>
        <v>35073581.838938057</v>
      </c>
      <c r="AJ2481" s="19">
        <f t="shared" si="723"/>
        <v>5034113.9728989396</v>
      </c>
      <c r="AK2481" s="20">
        <f t="shared" si="730"/>
        <v>0.14353007902118958</v>
      </c>
      <c r="AL2481" s="17"/>
      <c r="AM2481" s="17"/>
      <c r="AN2481" s="17"/>
      <c r="AO2481" s="17"/>
      <c r="AP2481" s="28" t="str">
        <f t="shared" si="731"/>
        <v>20228</v>
      </c>
      <c r="AQ2481" s="28" t="str">
        <f t="shared" si="732"/>
        <v>20228RMB</v>
      </c>
      <c r="AR2481" s="206" t="str">
        <f t="shared" si="733"/>
        <v>YAMAHA_Mounter</v>
      </c>
      <c r="AS2481" s="22">
        <f t="shared" si="734"/>
        <v>3</v>
      </c>
      <c r="AT2481" s="24" t="str">
        <f t="shared" si="735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7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0"/>
        <v>1.13</v>
      </c>
      <c r="Z2482" s="18">
        <f t="shared" si="736"/>
        <v>968760</v>
      </c>
      <c r="AA2482" s="13">
        <v>1.163</v>
      </c>
      <c r="AB2482" s="21">
        <f t="shared" si="738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22"/>
        <v>35073581.838938057</v>
      </c>
      <c r="AJ2482" s="19">
        <f t="shared" si="723"/>
        <v>5034113.9728989396</v>
      </c>
      <c r="AK2482" s="20">
        <f t="shared" si="730"/>
        <v>0.14353007902118958</v>
      </c>
      <c r="AL2482" s="17"/>
      <c r="AM2482" s="17"/>
      <c r="AN2482" s="17"/>
      <c r="AO2482" s="17"/>
      <c r="AP2482" s="28" t="str">
        <f t="shared" si="731"/>
        <v>20228</v>
      </c>
      <c r="AQ2482" s="28" t="str">
        <f t="shared" si="732"/>
        <v>20228RMB</v>
      </c>
      <c r="AR2482" s="206" t="str">
        <f t="shared" si="733"/>
        <v>YAMAHA_Mounter</v>
      </c>
      <c r="AS2482" s="22">
        <f t="shared" si="734"/>
        <v>3</v>
      </c>
      <c r="AT2482" s="24" t="str">
        <f t="shared" si="735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7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0"/>
        <v>1.13</v>
      </c>
      <c r="Z2483" s="18">
        <f t="shared" si="736"/>
        <v>968760</v>
      </c>
      <c r="AA2483" s="13">
        <v>1.163</v>
      </c>
      <c r="AB2483" s="21">
        <f t="shared" si="738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22"/>
        <v>35073581.838938057</v>
      </c>
      <c r="AJ2483" s="19">
        <f t="shared" si="723"/>
        <v>5034113.9728989396</v>
      </c>
      <c r="AK2483" s="20">
        <f t="shared" si="730"/>
        <v>0.14353007902118958</v>
      </c>
      <c r="AL2483" s="17"/>
      <c r="AM2483" s="17"/>
      <c r="AN2483" s="17"/>
      <c r="AO2483" s="17"/>
      <c r="AP2483" s="28" t="str">
        <f t="shared" si="731"/>
        <v>20228</v>
      </c>
      <c r="AQ2483" s="28" t="str">
        <f t="shared" si="732"/>
        <v>20228RMB</v>
      </c>
      <c r="AR2483" s="206" t="str">
        <f t="shared" si="733"/>
        <v>YAMAHA_Mounter</v>
      </c>
      <c r="AS2483" s="22">
        <f t="shared" si="734"/>
        <v>3</v>
      </c>
      <c r="AT2483" s="24" t="str">
        <f t="shared" si="735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7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0"/>
        <v>1.13</v>
      </c>
      <c r="Z2484" s="18">
        <f t="shared" si="736"/>
        <v>621860</v>
      </c>
      <c r="AA2484" s="13">
        <v>1.163</v>
      </c>
      <c r="AB2484" s="21">
        <f t="shared" si="738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22"/>
        <v>35073581.838938057</v>
      </c>
      <c r="AJ2484" s="19">
        <f t="shared" si="723"/>
        <v>5034113.9728989396</v>
      </c>
      <c r="AK2484" s="20">
        <f t="shared" si="730"/>
        <v>0.14353007902118958</v>
      </c>
      <c r="AL2484" s="17"/>
      <c r="AM2484" s="17"/>
      <c r="AN2484" s="17"/>
      <c r="AO2484" s="17"/>
      <c r="AP2484" s="28" t="str">
        <f t="shared" si="731"/>
        <v>20228</v>
      </c>
      <c r="AQ2484" s="28" t="str">
        <f t="shared" si="732"/>
        <v>20228RMB</v>
      </c>
      <c r="AR2484" s="206" t="str">
        <f t="shared" si="733"/>
        <v>HELLER</v>
      </c>
      <c r="AS2484" s="22">
        <f t="shared" si="734"/>
        <v>3</v>
      </c>
      <c r="AT2484" s="24" t="str">
        <f t="shared" si="735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7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0"/>
        <v>1.13</v>
      </c>
      <c r="Z2485" s="18">
        <f t="shared" si="736"/>
        <v>621860</v>
      </c>
      <c r="AA2485" s="13">
        <v>1.163</v>
      </c>
      <c r="AB2485" s="21">
        <f t="shared" si="738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22"/>
        <v>35073581.838938057</v>
      </c>
      <c r="AJ2485" s="19">
        <f t="shared" si="723"/>
        <v>5034113.9728989396</v>
      </c>
      <c r="AK2485" s="20">
        <f t="shared" si="730"/>
        <v>0.14353007902118958</v>
      </c>
      <c r="AL2485" s="17"/>
      <c r="AM2485" s="17"/>
      <c r="AN2485" s="17"/>
      <c r="AO2485" s="17"/>
      <c r="AP2485" s="28" t="str">
        <f t="shared" si="731"/>
        <v>20228</v>
      </c>
      <c r="AQ2485" s="28" t="str">
        <f t="shared" si="732"/>
        <v>20228RMB</v>
      </c>
      <c r="AR2485" s="206" t="str">
        <f t="shared" si="733"/>
        <v>HELLER</v>
      </c>
      <c r="AS2485" s="22">
        <f t="shared" si="734"/>
        <v>3</v>
      </c>
      <c r="AT2485" s="24" t="str">
        <f t="shared" si="735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7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0"/>
        <v>1.13</v>
      </c>
      <c r="Z2486" s="18">
        <f t="shared" si="736"/>
        <v>1162603</v>
      </c>
      <c r="AA2486" s="13">
        <v>1.163</v>
      </c>
      <c r="AB2486" s="21">
        <f t="shared" si="738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22"/>
        <v>35073581.838938057</v>
      </c>
      <c r="AJ2486" s="19">
        <f t="shared" si="723"/>
        <v>5034113.9728989396</v>
      </c>
      <c r="AK2486" s="20">
        <f t="shared" si="730"/>
        <v>0.14353007902118958</v>
      </c>
      <c r="AL2486" s="17"/>
      <c r="AM2486" s="17"/>
      <c r="AN2486" s="17"/>
      <c r="AO2486" s="17"/>
      <c r="AP2486" s="28" t="str">
        <f t="shared" si="731"/>
        <v>20228</v>
      </c>
      <c r="AQ2486" s="28" t="str">
        <f t="shared" si="732"/>
        <v>20228RMB</v>
      </c>
      <c r="AR2486" s="206" t="str">
        <f t="shared" si="733"/>
        <v>YAMAHA_Mounter</v>
      </c>
      <c r="AS2486" s="22">
        <f t="shared" si="734"/>
        <v>0</v>
      </c>
      <c r="AT2486" s="24" t="str">
        <f t="shared" si="735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7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0"/>
        <v>1.13</v>
      </c>
      <c r="Z2487" s="18">
        <f t="shared" si="736"/>
        <v>1162603</v>
      </c>
      <c r="AA2487" s="13">
        <v>1.135</v>
      </c>
      <c r="AB2487" s="21">
        <f t="shared" si="738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22"/>
        <v>15948576.102654871</v>
      </c>
      <c r="AJ2487" s="19">
        <f t="shared" si="723"/>
        <v>2739848.7004853105</v>
      </c>
      <c r="AK2487" s="20">
        <f t="shared" si="730"/>
        <v>0.17179268436567344</v>
      </c>
      <c r="AL2487" s="17"/>
      <c r="AM2487" s="17"/>
      <c r="AN2487" s="17"/>
      <c r="AO2487" s="17"/>
      <c r="AP2487" s="28" t="str">
        <f t="shared" si="731"/>
        <v>20229</v>
      </c>
      <c r="AQ2487" s="28" t="str">
        <f t="shared" si="732"/>
        <v>20229RMB</v>
      </c>
      <c r="AR2487" s="206" t="str">
        <f t="shared" si="733"/>
        <v>YAMAHA_Mounter</v>
      </c>
      <c r="AS2487" s="22">
        <f t="shared" si="734"/>
        <v>1</v>
      </c>
      <c r="AT2487" s="24" t="str">
        <f t="shared" si="735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7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0"/>
        <v>1.13</v>
      </c>
      <c r="Z2488" s="18">
        <f t="shared" si="736"/>
        <v>1162603</v>
      </c>
      <c r="AA2488" s="13">
        <v>1.135</v>
      </c>
      <c r="AB2488" s="21">
        <f t="shared" si="738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22"/>
        <v>15948576.102654871</v>
      </c>
      <c r="AJ2488" s="19">
        <f t="shared" si="723"/>
        <v>2739848.7004853105</v>
      </c>
      <c r="AK2488" s="20">
        <f t="shared" si="730"/>
        <v>0.17179268436567344</v>
      </c>
      <c r="AL2488" s="17"/>
      <c r="AM2488" s="17"/>
      <c r="AN2488" s="17"/>
      <c r="AO2488" s="17"/>
      <c r="AP2488" s="28" t="str">
        <f t="shared" si="731"/>
        <v>20229</v>
      </c>
      <c r="AQ2488" s="28" t="str">
        <f t="shared" si="732"/>
        <v>20229RMB</v>
      </c>
      <c r="AR2488" s="206" t="str">
        <f t="shared" si="733"/>
        <v>YAMAHA_Mounter</v>
      </c>
      <c r="AS2488" s="22">
        <f t="shared" si="734"/>
        <v>1</v>
      </c>
      <c r="AT2488" s="24" t="str">
        <f t="shared" si="735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7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0"/>
        <v>1.13</v>
      </c>
      <c r="Z2489" s="18">
        <f t="shared" si="736"/>
        <v>1162603</v>
      </c>
      <c r="AA2489" s="13">
        <v>1.135</v>
      </c>
      <c r="AB2489" s="21">
        <f t="shared" si="738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22"/>
        <v>15948576.102654871</v>
      </c>
      <c r="AJ2489" s="19">
        <f t="shared" si="723"/>
        <v>2739848.7004853105</v>
      </c>
      <c r="AK2489" s="20">
        <f t="shared" si="730"/>
        <v>0.17179268436567344</v>
      </c>
      <c r="AL2489" s="17"/>
      <c r="AM2489" s="17"/>
      <c r="AN2489" s="17"/>
      <c r="AO2489" s="17"/>
      <c r="AP2489" s="28" t="str">
        <f t="shared" si="731"/>
        <v>20229</v>
      </c>
      <c r="AQ2489" s="28" t="str">
        <f t="shared" si="732"/>
        <v>20229RMB</v>
      </c>
      <c r="AR2489" s="206" t="str">
        <f t="shared" si="733"/>
        <v>YAMAHA_Mounter</v>
      </c>
      <c r="AS2489" s="22">
        <f t="shared" si="734"/>
        <v>1</v>
      </c>
      <c r="AT2489" s="24" t="str">
        <f t="shared" si="735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7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0"/>
        <v>1.13</v>
      </c>
      <c r="Z2490" s="18">
        <f t="shared" si="736"/>
        <v>971079</v>
      </c>
      <c r="AA2490" s="13">
        <v>1.135</v>
      </c>
      <c r="AB2490" s="21">
        <f t="shared" si="738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22"/>
        <v>15948576.102654871</v>
      </c>
      <c r="AJ2490" s="19">
        <f t="shared" si="723"/>
        <v>2739848.7004853105</v>
      </c>
      <c r="AK2490" s="20">
        <f t="shared" si="730"/>
        <v>0.17179268436567344</v>
      </c>
      <c r="AL2490" s="17"/>
      <c r="AM2490" s="17"/>
      <c r="AN2490" s="17"/>
      <c r="AO2490" s="17"/>
      <c r="AP2490" s="28" t="str">
        <f t="shared" si="731"/>
        <v>20229</v>
      </c>
      <c r="AQ2490" s="28" t="str">
        <f t="shared" si="732"/>
        <v>20229RMB</v>
      </c>
      <c r="AR2490" s="206" t="str">
        <f t="shared" si="733"/>
        <v>YAMAHA_Mounter</v>
      </c>
      <c r="AS2490" s="22">
        <f t="shared" si="734"/>
        <v>1</v>
      </c>
      <c r="AT2490" s="24" t="str">
        <f t="shared" si="735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7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6"/>
        <v>852780</v>
      </c>
      <c r="AA2491" s="13">
        <v>1.23</v>
      </c>
      <c r="AB2491" s="21">
        <f t="shared" si="738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22"/>
        <v>29288201.603076916</v>
      </c>
      <c r="AJ2491" s="19">
        <f t="shared" si="723"/>
        <v>3870159.1769246152</v>
      </c>
      <c r="AK2491" s="20">
        <f t="shared" si="730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1"/>
        <v>20184</v>
      </c>
      <c r="AQ2491" s="28" t="str">
        <f t="shared" si="732"/>
        <v>20184RMB</v>
      </c>
      <c r="AR2491" s="206" t="str">
        <f t="shared" si="733"/>
        <v>YAMAHA_Mounter</v>
      </c>
      <c r="AS2491" s="22">
        <f t="shared" si="734"/>
        <v>5</v>
      </c>
      <c r="AT2491" s="24" t="str">
        <f t="shared" si="735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7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6"/>
        <v>1000000</v>
      </c>
      <c r="AA2492" s="13">
        <v>1.2</v>
      </c>
      <c r="AB2492" s="21">
        <f t="shared" si="738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22"/>
        <v>47458373.787610628</v>
      </c>
      <c r="AJ2492" s="19">
        <f t="shared" si="723"/>
        <v>7436880.1411522133</v>
      </c>
      <c r="AK2492" s="20">
        <f t="shared" si="730"/>
        <v>0.15670322321692506</v>
      </c>
      <c r="AL2492" s="17"/>
      <c r="AM2492" s="17"/>
      <c r="AN2492" s="17"/>
      <c r="AO2492" s="17"/>
      <c r="AP2492" s="28" t="str">
        <f t="shared" si="731"/>
        <v>20218</v>
      </c>
      <c r="AQ2492" s="28" t="str">
        <f t="shared" si="732"/>
        <v>20218RMB</v>
      </c>
      <c r="AR2492" s="206" t="str">
        <f t="shared" si="733"/>
        <v>YAMAHA_Mounter</v>
      </c>
      <c r="AS2492" s="22">
        <f t="shared" si="734"/>
        <v>7</v>
      </c>
      <c r="AT2492" s="24" t="str">
        <f t="shared" si="735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7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6"/>
        <v>626000</v>
      </c>
      <c r="AA2493" s="13">
        <v>1.17</v>
      </c>
      <c r="AB2493" s="21">
        <f t="shared" si="738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22"/>
        <v>36480247.665929198</v>
      </c>
      <c r="AJ2493" s="19">
        <f t="shared" si="723"/>
        <v>5330996.6372757526</v>
      </c>
      <c r="AK2493" s="20">
        <f t="shared" si="730"/>
        <v>0.14613378412599562</v>
      </c>
      <c r="AL2493" s="17"/>
      <c r="AM2493" s="17"/>
      <c r="AN2493" s="17"/>
      <c r="AO2493" s="17"/>
      <c r="AP2493" s="28" t="str">
        <f t="shared" si="731"/>
        <v>20227</v>
      </c>
      <c r="AQ2493" s="28" t="str">
        <f t="shared" si="732"/>
        <v>20227RMB</v>
      </c>
      <c r="AR2493" s="206" t="str">
        <f t="shared" si="733"/>
        <v>YAMAHA_Mounter</v>
      </c>
      <c r="AS2493" s="22">
        <f t="shared" si="734"/>
        <v>18</v>
      </c>
      <c r="AT2493" s="24" t="str">
        <f t="shared" si="735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7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6"/>
        <v>358000</v>
      </c>
      <c r="AA2494" s="22">
        <v>1.0900000000000001</v>
      </c>
      <c r="AB2494" s="21">
        <f t="shared" si="738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22"/>
        <v>21241742.157380536</v>
      </c>
      <c r="AJ2494" s="27">
        <f t="shared" si="723"/>
        <v>2987081.1613773629</v>
      </c>
      <c r="AK2494" s="28">
        <f t="shared" si="730"/>
        <v>0.14062317201884914</v>
      </c>
      <c r="AL2494" s="24"/>
      <c r="AM2494" s="24"/>
      <c r="AN2494" s="24"/>
      <c r="AO2494" s="24"/>
      <c r="AP2494" s="28" t="str">
        <f t="shared" si="731"/>
        <v>20243</v>
      </c>
      <c r="AQ2494" s="28" t="str">
        <f t="shared" si="732"/>
        <v>20243RMB</v>
      </c>
      <c r="AR2494" s="206" t="str">
        <f t="shared" si="733"/>
        <v>YAMAHA_Non_Mounter</v>
      </c>
      <c r="AS2494" s="22">
        <f t="shared" si="734"/>
        <v>3</v>
      </c>
      <c r="AT2494" s="24" t="str">
        <f t="shared" si="735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7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1">IF(W2495="RMB","1.13", "1")</f>
        <v>1</v>
      </c>
      <c r="Z2495" s="18">
        <f t="shared" si="736"/>
        <v>98000</v>
      </c>
      <c r="AA2495" s="13">
        <v>7.8</v>
      </c>
      <c r="AB2495" s="21">
        <f t="shared" si="738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22"/>
        <v>22717528.991150443</v>
      </c>
      <c r="AJ2495" s="19">
        <f t="shared" si="723"/>
        <v>3947747.192555753</v>
      </c>
      <c r="AK2495" s="20">
        <f t="shared" si="730"/>
        <v>0.1737753782153679</v>
      </c>
      <c r="AL2495" s="17"/>
      <c r="AM2495" s="17"/>
      <c r="AN2495" s="17"/>
      <c r="AO2495" s="17"/>
      <c r="AP2495" s="28" t="str">
        <f t="shared" si="731"/>
        <v>202210</v>
      </c>
      <c r="AQ2495" s="28" t="str">
        <f t="shared" si="732"/>
        <v>202210USD</v>
      </c>
      <c r="AR2495" s="206" t="str">
        <f t="shared" si="733"/>
        <v>YAMAHA_Mounter</v>
      </c>
      <c r="AS2495" s="22">
        <f t="shared" si="734"/>
        <v>1</v>
      </c>
      <c r="AT2495" s="24" t="str">
        <f t="shared" si="735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7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1"/>
        <v>1</v>
      </c>
      <c r="Z2496" s="18">
        <f t="shared" si="736"/>
        <v>126000</v>
      </c>
      <c r="AA2496" s="13">
        <v>7.8</v>
      </c>
      <c r="AB2496" s="21">
        <f t="shared" si="738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22"/>
        <v>22717528.991150443</v>
      </c>
      <c r="AJ2496" s="19">
        <f t="shared" si="723"/>
        <v>3947747.192555753</v>
      </c>
      <c r="AK2496" s="20">
        <f t="shared" si="730"/>
        <v>0.1737753782153679</v>
      </c>
      <c r="AL2496" s="17"/>
      <c r="AM2496" s="17"/>
      <c r="AN2496" s="17"/>
      <c r="AO2496" s="17"/>
      <c r="AP2496" s="28" t="str">
        <f t="shared" si="731"/>
        <v>202210</v>
      </c>
      <c r="AQ2496" s="28" t="str">
        <f t="shared" si="732"/>
        <v>202210USD</v>
      </c>
      <c r="AR2496" s="206" t="str">
        <f t="shared" si="733"/>
        <v>YAMAHA_Mounter</v>
      </c>
      <c r="AS2496" s="22">
        <f t="shared" si="734"/>
        <v>1</v>
      </c>
      <c r="AT2496" s="24" t="str">
        <f t="shared" si="735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7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1"/>
        <v>1</v>
      </c>
      <c r="Z2497" s="18">
        <f t="shared" si="736"/>
        <v>85000</v>
      </c>
      <c r="AA2497" s="13">
        <v>7.8</v>
      </c>
      <c r="AB2497" s="21">
        <f t="shared" si="738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22"/>
        <v>22717528.991150443</v>
      </c>
      <c r="AJ2497" s="19">
        <f t="shared" si="723"/>
        <v>3947747.192555753</v>
      </c>
      <c r="AK2497" s="20">
        <f t="shared" si="730"/>
        <v>0.1737753782153679</v>
      </c>
      <c r="AL2497" s="17"/>
      <c r="AM2497" s="17"/>
      <c r="AN2497" s="17"/>
      <c r="AO2497" s="17"/>
      <c r="AP2497" s="28" t="str">
        <f t="shared" si="731"/>
        <v>202210</v>
      </c>
      <c r="AQ2497" s="28" t="str">
        <f t="shared" si="732"/>
        <v>202210USD</v>
      </c>
      <c r="AR2497" s="206" t="str">
        <f t="shared" si="733"/>
        <v>YAMAHA_Non_Mounter</v>
      </c>
      <c r="AS2497" s="22">
        <f t="shared" si="734"/>
        <v>1</v>
      </c>
      <c r="AT2497" s="24" t="str">
        <f t="shared" si="735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7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1"/>
        <v>1</v>
      </c>
      <c r="Z2498" s="18">
        <f t="shared" si="736"/>
        <v>58000</v>
      </c>
      <c r="AA2498" s="13">
        <v>7.8</v>
      </c>
      <c r="AB2498" s="21">
        <f t="shared" si="738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42">IF(P2498="C66 SERVICE","",SUMIFS(AB:AB,F:F,F2498,G:G,G2498,E:E,E2498))</f>
        <v>22717528.991150443</v>
      </c>
      <c r="AJ2498" s="19">
        <f t="shared" ref="AJ2498:AJ2561" si="743">IF(P2498="C66 SERVICE","",SUMIFS(AC:AC,F:F,F2498,G:G,G2498,E:E,E2498))</f>
        <v>3947747.192555753</v>
      </c>
      <c r="AK2498" s="20">
        <f t="shared" si="730"/>
        <v>0.1737753782153679</v>
      </c>
      <c r="AL2498" s="17"/>
      <c r="AM2498" s="17"/>
      <c r="AN2498" s="17"/>
      <c r="AO2498" s="17"/>
      <c r="AP2498" s="28" t="str">
        <f t="shared" si="731"/>
        <v>202210</v>
      </c>
      <c r="AQ2498" s="28" t="str">
        <f t="shared" si="732"/>
        <v>202210USD</v>
      </c>
      <c r="AR2498" s="206" t="str">
        <f t="shared" si="733"/>
        <v>YAMAHA_Non_Mounter</v>
      </c>
      <c r="AS2498" s="22">
        <f t="shared" si="734"/>
        <v>1</v>
      </c>
      <c r="AT2498" s="24" t="str">
        <f t="shared" si="735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7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1"/>
        <v>1</v>
      </c>
      <c r="Z2499" s="18">
        <f t="shared" si="736"/>
        <v>51000</v>
      </c>
      <c r="AA2499" s="13">
        <v>7.8</v>
      </c>
      <c r="AB2499" s="21">
        <f t="shared" si="738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42"/>
        <v>22717528.991150443</v>
      </c>
      <c r="AJ2499" s="19">
        <f t="shared" si="743"/>
        <v>3947747.192555753</v>
      </c>
      <c r="AK2499" s="20">
        <f t="shared" si="730"/>
        <v>0.1737753782153679</v>
      </c>
      <c r="AL2499" s="17"/>
      <c r="AM2499" s="17"/>
      <c r="AN2499" s="17"/>
      <c r="AO2499" s="17"/>
      <c r="AP2499" s="28" t="str">
        <f t="shared" si="731"/>
        <v>202210</v>
      </c>
      <c r="AQ2499" s="28" t="str">
        <f t="shared" si="732"/>
        <v>202210USD</v>
      </c>
      <c r="AR2499" s="206" t="str">
        <f t="shared" si="733"/>
        <v>HELLER</v>
      </c>
      <c r="AS2499" s="22">
        <f t="shared" si="734"/>
        <v>1</v>
      </c>
      <c r="AT2499" s="24" t="str">
        <f t="shared" si="735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7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1"/>
        <v>1</v>
      </c>
      <c r="Z2500" s="18">
        <f t="shared" si="736"/>
        <v>7500</v>
      </c>
      <c r="AA2500" s="13">
        <v>7.8</v>
      </c>
      <c r="AB2500" s="21">
        <f t="shared" si="738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42"/>
        <v>22717528.991150443</v>
      </c>
      <c r="AJ2500" s="19">
        <f t="shared" si="743"/>
        <v>3947747.192555753</v>
      </c>
      <c r="AK2500" s="20">
        <f t="shared" si="730"/>
        <v>0.1737753782153679</v>
      </c>
      <c r="AL2500" s="17"/>
      <c r="AM2500" s="17"/>
      <c r="AN2500" s="17"/>
      <c r="AO2500" s="17"/>
      <c r="AP2500" s="28" t="str">
        <f t="shared" si="731"/>
        <v>202210</v>
      </c>
      <c r="AQ2500" s="28" t="str">
        <f t="shared" si="732"/>
        <v>202210USD</v>
      </c>
      <c r="AR2500" s="206" t="str">
        <f t="shared" si="733"/>
        <v>LOCAL SUPPLIER</v>
      </c>
      <c r="AS2500" s="22">
        <f t="shared" si="734"/>
        <v>1</v>
      </c>
      <c r="AT2500" s="24" t="str">
        <f t="shared" si="735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7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1"/>
        <v>1</v>
      </c>
      <c r="Z2501" s="18">
        <f t="shared" si="736"/>
        <v>2500</v>
      </c>
      <c r="AA2501" s="13">
        <v>7.8</v>
      </c>
      <c r="AB2501" s="21">
        <f t="shared" si="738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42"/>
        <v>22717528.991150443</v>
      </c>
      <c r="AJ2501" s="19">
        <f t="shared" si="743"/>
        <v>3947747.192555753</v>
      </c>
      <c r="AK2501" s="20">
        <f t="shared" si="730"/>
        <v>0.1737753782153679</v>
      </c>
      <c r="AL2501" s="17"/>
      <c r="AM2501" s="17"/>
      <c r="AN2501" s="17"/>
      <c r="AO2501" s="17"/>
      <c r="AP2501" s="28" t="str">
        <f t="shared" si="731"/>
        <v>202210</v>
      </c>
      <c r="AQ2501" s="28" t="str">
        <f t="shared" si="732"/>
        <v>202210USD</v>
      </c>
      <c r="AR2501" s="206" t="str">
        <f t="shared" si="733"/>
        <v>LOCAL SUPPLIER</v>
      </c>
      <c r="AS2501" s="22">
        <f t="shared" si="734"/>
        <v>1</v>
      </c>
      <c r="AT2501" s="24" t="str">
        <f t="shared" si="735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7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1"/>
        <v>1</v>
      </c>
      <c r="Z2502" s="18">
        <f t="shared" si="736"/>
        <v>2500</v>
      </c>
      <c r="AA2502" s="13">
        <v>7.8</v>
      </c>
      <c r="AB2502" s="21">
        <f t="shared" si="738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42"/>
        <v>22717528.991150443</v>
      </c>
      <c r="AJ2502" s="19">
        <f t="shared" si="743"/>
        <v>3947747.192555753</v>
      </c>
      <c r="AK2502" s="20">
        <f t="shared" ref="AK2502:AK2565" si="74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0">IF(F2502="","",F2502&amp;G2502)</f>
        <v>202210</v>
      </c>
      <c r="AQ2502" s="28" t="str">
        <f t="shared" ref="AQ2502:AQ2565" si="751">IF(W2502="","",F2502&amp;G2502&amp;W2502)</f>
        <v>202210USD</v>
      </c>
      <c r="AR2502" s="206" t="str">
        <f t="shared" ref="AR2502:AR2565" si="752">IFERROR(IF(AND(M2502="YAMAHA", R2502="C28"), "YAMAHA_Non_Mounter", IF(AND(M2502="YAMAHA", R2502="C49"), "YAMAHA_Mounter", M2502)),"")</f>
        <v>LOCAL SUPPLIER</v>
      </c>
      <c r="AS2502" s="22">
        <f t="shared" ref="AS2502:AS2565" si="753">IFERROR(IF(OR(G2502="TBA", G2502=""), "", DATEDIF(DATE(B2502, C2502, 1), DATE(F2502, G2502, 1), "M")),"")</f>
        <v>1</v>
      </c>
      <c r="AT2502" s="24" t="str">
        <f t="shared" ref="AT2502:AT2565" si="75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7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1"/>
        <v>1</v>
      </c>
      <c r="Z2503" s="18">
        <f t="shared" si="736"/>
        <v>8500</v>
      </c>
      <c r="AA2503" s="13">
        <v>7.8</v>
      </c>
      <c r="AB2503" s="21">
        <f t="shared" si="738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2"/>
        <v>22717528.991150443</v>
      </c>
      <c r="AJ2503" s="19">
        <f t="shared" si="743"/>
        <v>3947747.192555753</v>
      </c>
      <c r="AK2503" s="20">
        <f t="shared" si="749"/>
        <v>0.1737753782153679</v>
      </c>
      <c r="AL2503" s="17"/>
      <c r="AM2503" s="17"/>
      <c r="AN2503" s="17"/>
      <c r="AO2503" s="17"/>
      <c r="AP2503" s="28" t="str">
        <f t="shared" si="750"/>
        <v>202210</v>
      </c>
      <c r="AQ2503" s="28" t="str">
        <f t="shared" si="751"/>
        <v>202210USD</v>
      </c>
      <c r="AR2503" s="206" t="str">
        <f t="shared" si="752"/>
        <v>LOCAL SUPPLIER</v>
      </c>
      <c r="AS2503" s="22">
        <f t="shared" si="753"/>
        <v>1</v>
      </c>
      <c r="AT2503" s="24" t="str">
        <f t="shared" si="754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7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1"/>
        <v>1</v>
      </c>
      <c r="Z2504" s="18">
        <f t="shared" si="736"/>
        <v>4500</v>
      </c>
      <c r="AA2504" s="13">
        <v>7.8</v>
      </c>
      <c r="AB2504" s="21">
        <f t="shared" si="738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2"/>
        <v>22717528.991150443</v>
      </c>
      <c r="AJ2504" s="19">
        <f t="shared" si="743"/>
        <v>3947747.192555753</v>
      </c>
      <c r="AK2504" s="20">
        <f t="shared" si="749"/>
        <v>0.1737753782153679</v>
      </c>
      <c r="AL2504" s="17"/>
      <c r="AM2504" s="17"/>
      <c r="AN2504" s="17"/>
      <c r="AO2504" s="17"/>
      <c r="AP2504" s="28" t="str">
        <f t="shared" si="750"/>
        <v>202210</v>
      </c>
      <c r="AQ2504" s="28" t="str">
        <f t="shared" si="751"/>
        <v>202210USD</v>
      </c>
      <c r="AR2504" s="206" t="str">
        <f t="shared" si="752"/>
        <v>LOCAL SUPPLIER</v>
      </c>
      <c r="AS2504" s="22">
        <f t="shared" si="753"/>
        <v>1</v>
      </c>
      <c r="AT2504" s="24" t="str">
        <f t="shared" si="754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7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6"/>
        <v>4500</v>
      </c>
      <c r="AA2505" s="13">
        <v>7.8</v>
      </c>
      <c r="AB2505" s="21">
        <f t="shared" si="738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2"/>
        <v>22717528.991150443</v>
      </c>
      <c r="AJ2505" s="19">
        <f t="shared" si="743"/>
        <v>3947747.192555753</v>
      </c>
      <c r="AK2505" s="20">
        <f t="shared" si="749"/>
        <v>0.1737753782153679</v>
      </c>
      <c r="AL2505" s="17"/>
      <c r="AM2505" s="17"/>
      <c r="AN2505" s="17"/>
      <c r="AO2505" s="17"/>
      <c r="AP2505" s="28" t="str">
        <f t="shared" si="750"/>
        <v>202210</v>
      </c>
      <c r="AQ2505" s="28" t="str">
        <f t="shared" si="751"/>
        <v>202210USD</v>
      </c>
      <c r="AR2505" s="206" t="str">
        <f t="shared" si="752"/>
        <v>LOCAL SUPPLIER</v>
      </c>
      <c r="AS2505" s="22">
        <f t="shared" si="753"/>
        <v>1</v>
      </c>
      <c r="AT2505" s="24" t="str">
        <f t="shared" si="754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7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5">IF(X2506="","",X2506*MAX(O2506,N2506))</f>
        <v>52000</v>
      </c>
      <c r="AA2506" s="13">
        <v>7.8</v>
      </c>
      <c r="AB2506" s="21">
        <f t="shared" si="738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2"/>
        <v>22717528.991150443</v>
      </c>
      <c r="AJ2506" s="19">
        <f t="shared" si="743"/>
        <v>3947747.192555753</v>
      </c>
      <c r="AK2506" s="20">
        <f t="shared" si="749"/>
        <v>0.1737753782153679</v>
      </c>
      <c r="AL2506" s="17"/>
      <c r="AM2506" s="17"/>
      <c r="AN2506" s="17"/>
      <c r="AO2506" s="17"/>
      <c r="AP2506" s="28" t="str">
        <f t="shared" si="750"/>
        <v>202210</v>
      </c>
      <c r="AQ2506" s="28" t="str">
        <f t="shared" si="751"/>
        <v>202210USD</v>
      </c>
      <c r="AR2506" s="206" t="str">
        <f t="shared" si="752"/>
        <v>PEMTRON</v>
      </c>
      <c r="AS2506" s="22">
        <f t="shared" si="753"/>
        <v>1</v>
      </c>
      <c r="AT2506" s="24" t="str">
        <f t="shared" si="754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7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5"/>
        <v>990000</v>
      </c>
      <c r="AA2507" s="13">
        <v>1.0920000000000001</v>
      </c>
      <c r="AB2507" s="21">
        <f t="shared" si="738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2"/>
        <v>22953677.784070797</v>
      </c>
      <c r="AJ2507" s="19">
        <f t="shared" si="743"/>
        <v>4168706.6744155753</v>
      </c>
      <c r="AK2507" s="20">
        <f t="shared" si="749"/>
        <v>0.18161388835511752</v>
      </c>
      <c r="AL2507" s="17"/>
      <c r="AM2507" s="17"/>
      <c r="AN2507" s="17"/>
      <c r="AO2507" s="17"/>
      <c r="AP2507" s="28" t="str">
        <f t="shared" si="750"/>
        <v>20238</v>
      </c>
      <c r="AQ2507" s="28" t="str">
        <f t="shared" si="751"/>
        <v>20238RMB</v>
      </c>
      <c r="AR2507" s="206" t="str">
        <f t="shared" si="752"/>
        <v>YAMAHA_Mounter</v>
      </c>
      <c r="AS2507" s="22">
        <f t="shared" si="753"/>
        <v>16</v>
      </c>
      <c r="AT2507" s="24" t="str">
        <f t="shared" si="754"/>
        <v>&gt; 6 months</v>
      </c>
      <c r="AU2507" s="22" t="s">
        <v>3751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7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6"/>
        <v>1.13</v>
      </c>
      <c r="Z2508" s="18">
        <f t="shared" si="755"/>
        <v>990000</v>
      </c>
      <c r="AA2508" s="13">
        <v>1.0920000000000001</v>
      </c>
      <c r="AB2508" s="21">
        <f t="shared" si="738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2"/>
        <v>22953677.784070797</v>
      </c>
      <c r="AJ2508" s="19">
        <f t="shared" si="743"/>
        <v>4168706.6744155753</v>
      </c>
      <c r="AK2508" s="20">
        <f t="shared" si="749"/>
        <v>0.18161388835511752</v>
      </c>
      <c r="AL2508" s="17"/>
      <c r="AM2508" s="17"/>
      <c r="AN2508" s="17"/>
      <c r="AO2508" s="17"/>
      <c r="AP2508" s="28" t="str">
        <f t="shared" si="750"/>
        <v>20238</v>
      </c>
      <c r="AQ2508" s="28" t="str">
        <f t="shared" si="751"/>
        <v>20238RMB</v>
      </c>
      <c r="AR2508" s="206" t="str">
        <f t="shared" si="752"/>
        <v>YAMAHA_Mounter</v>
      </c>
      <c r="AS2508" s="22">
        <f t="shared" si="753"/>
        <v>16</v>
      </c>
      <c r="AT2508" s="24" t="str">
        <f t="shared" si="754"/>
        <v>&gt; 6 months</v>
      </c>
      <c r="AU2508" s="22" t="s">
        <v>3751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7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6"/>
        <v>1.13</v>
      </c>
      <c r="Z2509" s="18">
        <f t="shared" si="755"/>
        <v>990000</v>
      </c>
      <c r="AA2509" s="13">
        <v>1.0920000000000001</v>
      </c>
      <c r="AB2509" s="21">
        <f t="shared" si="738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2"/>
        <v>22953677.784070797</v>
      </c>
      <c r="AJ2509" s="19">
        <f t="shared" si="743"/>
        <v>4168706.6744155753</v>
      </c>
      <c r="AK2509" s="20">
        <f t="shared" si="749"/>
        <v>0.18161388835511752</v>
      </c>
      <c r="AL2509" s="17"/>
      <c r="AM2509" s="17"/>
      <c r="AN2509" s="17"/>
      <c r="AO2509" s="17"/>
      <c r="AP2509" s="28" t="str">
        <f t="shared" si="750"/>
        <v>20238</v>
      </c>
      <c r="AQ2509" s="28" t="str">
        <f t="shared" si="751"/>
        <v>20238RMB</v>
      </c>
      <c r="AR2509" s="206" t="str">
        <f t="shared" si="752"/>
        <v>YAMAHA_Mounter</v>
      </c>
      <c r="AS2509" s="22">
        <f t="shared" si="753"/>
        <v>16</v>
      </c>
      <c r="AT2509" s="24" t="str">
        <f t="shared" si="754"/>
        <v>&gt; 6 months</v>
      </c>
      <c r="AU2509" s="22" t="s">
        <v>3751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7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6"/>
        <v>1.13</v>
      </c>
      <c r="Z2510" s="18">
        <f t="shared" si="755"/>
        <v>990000</v>
      </c>
      <c r="AA2510" s="13">
        <v>1.0920000000000001</v>
      </c>
      <c r="AB2510" s="21">
        <f t="shared" si="738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2"/>
        <v>22953677.784070797</v>
      </c>
      <c r="AJ2510" s="19">
        <f t="shared" si="743"/>
        <v>4168706.6744155753</v>
      </c>
      <c r="AK2510" s="20">
        <f t="shared" si="749"/>
        <v>0.18161388835511752</v>
      </c>
      <c r="AL2510" s="17"/>
      <c r="AM2510" s="17"/>
      <c r="AN2510" s="17"/>
      <c r="AO2510" s="17"/>
      <c r="AP2510" s="28" t="str">
        <f t="shared" si="750"/>
        <v>20238</v>
      </c>
      <c r="AQ2510" s="28" t="str">
        <f t="shared" si="751"/>
        <v>20238RMB</v>
      </c>
      <c r="AR2510" s="206" t="str">
        <f t="shared" si="752"/>
        <v>YAMAHA_Mounter</v>
      </c>
      <c r="AS2510" s="22">
        <f t="shared" si="753"/>
        <v>16</v>
      </c>
      <c r="AT2510" s="24" t="str">
        <f t="shared" si="754"/>
        <v>&gt; 6 months</v>
      </c>
      <c r="AU2510" s="22" t="s">
        <v>3751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7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6"/>
        <v>1.13</v>
      </c>
      <c r="Z2511" s="18">
        <f t="shared" si="755"/>
        <v>990000</v>
      </c>
      <c r="AA2511" s="13">
        <v>1.0920000000000001</v>
      </c>
      <c r="AB2511" s="21">
        <f t="shared" si="738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2"/>
        <v>22953677.784070797</v>
      </c>
      <c r="AJ2511" s="19">
        <f t="shared" si="743"/>
        <v>4168706.6744155753</v>
      </c>
      <c r="AK2511" s="20">
        <f t="shared" si="749"/>
        <v>0.18161388835511752</v>
      </c>
      <c r="AL2511" s="17"/>
      <c r="AM2511" s="17"/>
      <c r="AN2511" s="17"/>
      <c r="AO2511" s="17"/>
      <c r="AP2511" s="28" t="str">
        <f t="shared" si="750"/>
        <v>20238</v>
      </c>
      <c r="AQ2511" s="28" t="str">
        <f t="shared" si="751"/>
        <v>20238RMB</v>
      </c>
      <c r="AR2511" s="206" t="str">
        <f t="shared" si="752"/>
        <v>YAMAHA_Mounter</v>
      </c>
      <c r="AS2511" s="22">
        <f t="shared" si="753"/>
        <v>16</v>
      </c>
      <c r="AT2511" s="24" t="str">
        <f t="shared" si="754"/>
        <v>&gt; 6 months</v>
      </c>
      <c r="AU2511" s="22" t="s">
        <v>3751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7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6"/>
        <v>1.13</v>
      </c>
      <c r="Z2512" s="18">
        <f t="shared" si="755"/>
        <v>990000</v>
      </c>
      <c r="AA2512" s="13">
        <v>1.0920000000000001</v>
      </c>
      <c r="AB2512" s="21">
        <f t="shared" si="738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2"/>
        <v>22953677.784070797</v>
      </c>
      <c r="AJ2512" s="19">
        <f t="shared" si="743"/>
        <v>4168706.6744155753</v>
      </c>
      <c r="AK2512" s="20">
        <f t="shared" si="749"/>
        <v>0.18161388835511752</v>
      </c>
      <c r="AL2512" s="17"/>
      <c r="AM2512" s="17"/>
      <c r="AN2512" s="17"/>
      <c r="AO2512" s="17"/>
      <c r="AP2512" s="28" t="str">
        <f t="shared" si="750"/>
        <v>20238</v>
      </c>
      <c r="AQ2512" s="28" t="str">
        <f t="shared" si="751"/>
        <v>20238RMB</v>
      </c>
      <c r="AR2512" s="206" t="str">
        <f t="shared" si="752"/>
        <v>YAMAHA_Mounter</v>
      </c>
      <c r="AS2512" s="22">
        <f t="shared" si="753"/>
        <v>16</v>
      </c>
      <c r="AT2512" s="24" t="str">
        <f t="shared" si="754"/>
        <v>&gt; 6 months</v>
      </c>
      <c r="AU2512" s="22" t="s">
        <v>3751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7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6"/>
        <v>1.13</v>
      </c>
      <c r="Z2513" s="18">
        <f t="shared" si="755"/>
        <v>650000</v>
      </c>
      <c r="AA2513" s="13">
        <v>1.0920000000000001</v>
      </c>
      <c r="AB2513" s="21">
        <f t="shared" si="738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2"/>
        <v>22953677.784070797</v>
      </c>
      <c r="AJ2513" s="19">
        <f t="shared" si="743"/>
        <v>4168706.6744155753</v>
      </c>
      <c r="AK2513" s="20">
        <f t="shared" si="749"/>
        <v>0.18161388835511752</v>
      </c>
      <c r="AL2513" s="17"/>
      <c r="AM2513" s="17"/>
      <c r="AN2513" s="17"/>
      <c r="AO2513" s="17"/>
      <c r="AP2513" s="28" t="str">
        <f t="shared" si="750"/>
        <v>20238</v>
      </c>
      <c r="AQ2513" s="28" t="str">
        <f t="shared" si="751"/>
        <v>20238RMB</v>
      </c>
      <c r="AR2513" s="206" t="str">
        <f t="shared" si="752"/>
        <v>YAMAHA_Mounter</v>
      </c>
      <c r="AS2513" s="22">
        <f t="shared" si="753"/>
        <v>16</v>
      </c>
      <c r="AT2513" s="24" t="str">
        <f t="shared" si="754"/>
        <v>&gt; 6 months</v>
      </c>
      <c r="AU2513" s="22" t="s">
        <v>3751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7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6"/>
        <v>1.13</v>
      </c>
      <c r="Z2514" s="18">
        <f t="shared" si="755"/>
        <v>650000</v>
      </c>
      <c r="AA2514" s="13">
        <v>1.0920000000000001</v>
      </c>
      <c r="AB2514" s="21">
        <f t="shared" si="738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2"/>
        <v>22953677.784070797</v>
      </c>
      <c r="AJ2514" s="19">
        <f t="shared" si="743"/>
        <v>4168706.6744155753</v>
      </c>
      <c r="AK2514" s="20">
        <f t="shared" si="749"/>
        <v>0.18161388835511752</v>
      </c>
      <c r="AL2514" s="17"/>
      <c r="AM2514" s="17"/>
      <c r="AN2514" s="17"/>
      <c r="AO2514" s="17"/>
      <c r="AP2514" s="28" t="str">
        <f t="shared" si="750"/>
        <v>20238</v>
      </c>
      <c r="AQ2514" s="28" t="str">
        <f t="shared" si="751"/>
        <v>20238RMB</v>
      </c>
      <c r="AR2514" s="206" t="str">
        <f t="shared" si="752"/>
        <v>YAMAHA_Mounter</v>
      </c>
      <c r="AS2514" s="22">
        <f t="shared" si="753"/>
        <v>16</v>
      </c>
      <c r="AT2514" s="24" t="str">
        <f t="shared" si="754"/>
        <v>&gt; 6 months</v>
      </c>
      <c r="AU2514" s="22" t="s">
        <v>3751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7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6"/>
        <v>1.13</v>
      </c>
      <c r="Z2515" s="18">
        <f t="shared" si="755"/>
        <v>0</v>
      </c>
      <c r="AA2515" s="13">
        <v>1.2</v>
      </c>
      <c r="AB2515" s="21">
        <f t="shared" si="738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2"/>
        <v>47458373.787610628</v>
      </c>
      <c r="AJ2515" s="19">
        <f t="shared" si="743"/>
        <v>7436880.1411522133</v>
      </c>
      <c r="AK2515" s="20">
        <f t="shared" si="749"/>
        <v>0.15670322321692506</v>
      </c>
      <c r="AL2515" s="17"/>
      <c r="AM2515" s="17"/>
      <c r="AN2515" s="17"/>
      <c r="AO2515" s="17"/>
      <c r="AP2515" s="28" t="str">
        <f t="shared" si="750"/>
        <v>20218</v>
      </c>
      <c r="AQ2515" s="28" t="str">
        <f t="shared" si="751"/>
        <v>20218RMB</v>
      </c>
      <c r="AR2515" s="206">
        <f t="shared" si="752"/>
        <v>0</v>
      </c>
      <c r="AS2515" s="22" t="str">
        <f t="shared" si="753"/>
        <v/>
      </c>
      <c r="AT2515" s="24" t="str">
        <f t="shared" si="754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7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5"/>
        <v>10500000</v>
      </c>
      <c r="AA2516" s="13">
        <v>7.2300000000000003E-2</v>
      </c>
      <c r="AB2516" s="21">
        <f t="shared" si="738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2"/>
        <v>499582152.5142017</v>
      </c>
      <c r="AJ2516" s="19">
        <f t="shared" si="743"/>
        <v>59520528.679470733</v>
      </c>
      <c r="AK2516" s="20">
        <f t="shared" si="749"/>
        <v>0.11914062257814291</v>
      </c>
      <c r="AL2516" s="17"/>
      <c r="AM2516" s="17"/>
      <c r="AN2516" s="17"/>
      <c r="AO2516" s="17"/>
      <c r="AP2516" s="28" t="str">
        <f t="shared" si="750"/>
        <v>CancelCancel</v>
      </c>
      <c r="AQ2516" s="28" t="str">
        <f t="shared" si="751"/>
        <v>CancelCancelJPY</v>
      </c>
      <c r="AR2516" s="206" t="str">
        <f t="shared" si="752"/>
        <v>YAMAHA_Mounter</v>
      </c>
      <c r="AS2516" s="22" t="str">
        <f t="shared" si="753"/>
        <v/>
      </c>
      <c r="AT2516" s="24" t="str">
        <f t="shared" si="754"/>
        <v/>
      </c>
      <c r="AU2516" s="22" t="s">
        <v>3746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7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5"/>
        <v>31500000</v>
      </c>
      <c r="AA2517" s="13">
        <v>7.22E-2</v>
      </c>
      <c r="AB2517" s="21">
        <f t="shared" si="738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2"/>
        <v>499582152.5142017</v>
      </c>
      <c r="AJ2517" s="19">
        <f t="shared" si="743"/>
        <v>59520528.679470733</v>
      </c>
      <c r="AK2517" s="20">
        <f t="shared" si="749"/>
        <v>0.11914062257814291</v>
      </c>
      <c r="AL2517" s="17"/>
      <c r="AM2517" s="17"/>
      <c r="AN2517" s="17"/>
      <c r="AO2517" s="17"/>
      <c r="AP2517" s="28" t="str">
        <f t="shared" si="750"/>
        <v>CancelCancel</v>
      </c>
      <c r="AQ2517" s="28" t="str">
        <f t="shared" si="751"/>
        <v>CancelCancelJPY</v>
      </c>
      <c r="AR2517" s="206" t="str">
        <f t="shared" si="752"/>
        <v>YAMAHA_Mounter</v>
      </c>
      <c r="AS2517" s="22" t="str">
        <f t="shared" si="753"/>
        <v/>
      </c>
      <c r="AT2517" s="24" t="str">
        <f t="shared" si="754"/>
        <v/>
      </c>
      <c r="AU2517" s="22" t="s">
        <v>3746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5"/>
        <v>28000000</v>
      </c>
      <c r="AA2518" s="13">
        <v>7.22E-2</v>
      </c>
      <c r="AB2518" s="21">
        <f t="shared" ref="AB2518:AB2581" si="758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2"/>
        <v>499582152.5142017</v>
      </c>
      <c r="AJ2518" s="19">
        <f t="shared" si="743"/>
        <v>59520528.679470733</v>
      </c>
      <c r="AK2518" s="20">
        <f t="shared" si="749"/>
        <v>0.11914062257814291</v>
      </c>
      <c r="AL2518" s="17"/>
      <c r="AM2518" s="17"/>
      <c r="AN2518" s="17"/>
      <c r="AO2518" s="17"/>
      <c r="AP2518" s="28" t="str">
        <f t="shared" si="750"/>
        <v>CancelCancel</v>
      </c>
      <c r="AQ2518" s="28" t="str">
        <f t="shared" si="751"/>
        <v>CancelCancelJPY</v>
      </c>
      <c r="AR2518" s="206" t="str">
        <f t="shared" si="752"/>
        <v>YAMAHA_Mounter</v>
      </c>
      <c r="AS2518" s="22" t="str">
        <f t="shared" si="753"/>
        <v/>
      </c>
      <c r="AT2518" s="24" t="str">
        <f t="shared" si="754"/>
        <v/>
      </c>
      <c r="AU2518" s="22" t="s">
        <v>3746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5"/>
        <v>56000000</v>
      </c>
      <c r="AA2519" s="13">
        <v>7.22E-2</v>
      </c>
      <c r="AB2519" s="21">
        <f t="shared" si="758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2"/>
        <v>499582152.5142017</v>
      </c>
      <c r="AJ2519" s="19">
        <f t="shared" si="743"/>
        <v>59520528.679470733</v>
      </c>
      <c r="AK2519" s="20">
        <f t="shared" si="749"/>
        <v>0.11914062257814291</v>
      </c>
      <c r="AL2519" s="17"/>
      <c r="AM2519" s="17"/>
      <c r="AN2519" s="17"/>
      <c r="AO2519" s="17"/>
      <c r="AP2519" s="28" t="str">
        <f t="shared" si="750"/>
        <v>CancelCancel</v>
      </c>
      <c r="AQ2519" s="28" t="str">
        <f t="shared" si="751"/>
        <v>CancelCancelJPY</v>
      </c>
      <c r="AR2519" s="206" t="str">
        <f t="shared" si="752"/>
        <v>YAMAHA_Mounter</v>
      </c>
      <c r="AS2519" s="22" t="str">
        <f t="shared" si="753"/>
        <v/>
      </c>
      <c r="AT2519" s="24" t="str">
        <f t="shared" si="754"/>
        <v/>
      </c>
      <c r="AU2519" s="22" t="s">
        <v>3746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5"/>
        <v>21000000</v>
      </c>
      <c r="AA2520" s="13">
        <v>7.0699999999999999E-2</v>
      </c>
      <c r="AB2520" s="21">
        <f t="shared" si="758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2"/>
        <v>499582152.5142017</v>
      </c>
      <c r="AJ2520" s="19">
        <f t="shared" si="743"/>
        <v>59520528.679470733</v>
      </c>
      <c r="AK2520" s="20">
        <f t="shared" si="749"/>
        <v>0.11914062257814291</v>
      </c>
      <c r="AL2520" s="17"/>
      <c r="AM2520" s="17"/>
      <c r="AN2520" s="17"/>
      <c r="AO2520" s="17"/>
      <c r="AP2520" s="28" t="str">
        <f t="shared" si="750"/>
        <v>CancelCancel</v>
      </c>
      <c r="AQ2520" s="28" t="str">
        <f t="shared" si="751"/>
        <v>CancelCancelJPY</v>
      </c>
      <c r="AR2520" s="206" t="str">
        <f t="shared" si="752"/>
        <v>YAMAHA_Mounter</v>
      </c>
      <c r="AS2520" s="22" t="str">
        <f t="shared" si="753"/>
        <v/>
      </c>
      <c r="AT2520" s="24" t="str">
        <f t="shared" si="754"/>
        <v/>
      </c>
      <c r="AU2520" s="22" t="s">
        <v>3746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5"/>
        <v>56000000</v>
      </c>
      <c r="AA2521" s="13">
        <v>7.0699999999999999E-2</v>
      </c>
      <c r="AB2521" s="21">
        <f t="shared" si="758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2"/>
        <v>499582152.5142017</v>
      </c>
      <c r="AJ2521" s="19">
        <f t="shared" si="743"/>
        <v>59520528.679470733</v>
      </c>
      <c r="AK2521" s="20">
        <f t="shared" si="749"/>
        <v>0.11914062257814291</v>
      </c>
      <c r="AL2521" s="17"/>
      <c r="AM2521" s="17"/>
      <c r="AN2521" s="17"/>
      <c r="AO2521" s="17"/>
      <c r="AP2521" s="28" t="str">
        <f t="shared" si="750"/>
        <v>CancelCancel</v>
      </c>
      <c r="AQ2521" s="28" t="str">
        <f t="shared" si="751"/>
        <v>CancelCancelJPY</v>
      </c>
      <c r="AR2521" s="206" t="str">
        <f t="shared" si="752"/>
        <v>YAMAHA_Mounter</v>
      </c>
      <c r="AS2521" s="22" t="str">
        <f t="shared" si="753"/>
        <v/>
      </c>
      <c r="AT2521" s="24" t="str">
        <f t="shared" si="754"/>
        <v/>
      </c>
      <c r="AU2521" s="22" t="s">
        <v>3746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5"/>
        <v>28000000</v>
      </c>
      <c r="AA2522" s="13">
        <v>7.0699999999999999E-2</v>
      </c>
      <c r="AB2522" s="21">
        <f t="shared" si="758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2"/>
        <v>499582152.5142017</v>
      </c>
      <c r="AJ2522" s="19">
        <f t="shared" si="743"/>
        <v>59520528.679470733</v>
      </c>
      <c r="AK2522" s="20">
        <f t="shared" si="749"/>
        <v>0.11914062257814291</v>
      </c>
      <c r="AL2522" s="17"/>
      <c r="AM2522" s="17"/>
      <c r="AN2522" s="17"/>
      <c r="AO2522" s="17"/>
      <c r="AP2522" s="28" t="str">
        <f t="shared" si="750"/>
        <v>CancelCancel</v>
      </c>
      <c r="AQ2522" s="28" t="str">
        <f t="shared" si="751"/>
        <v>CancelCancelJPY</v>
      </c>
      <c r="AR2522" s="206" t="str">
        <f t="shared" si="752"/>
        <v>YAMAHA_Mounter</v>
      </c>
      <c r="AS2522" s="22" t="str">
        <f t="shared" si="753"/>
        <v/>
      </c>
      <c r="AT2522" s="24" t="str">
        <f t="shared" si="754"/>
        <v/>
      </c>
      <c r="AU2522" s="22" t="s">
        <v>3746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5"/>
        <v>28000000</v>
      </c>
      <c r="AA2523" s="13">
        <v>7.0699999999999999E-2</v>
      </c>
      <c r="AB2523" s="21">
        <f t="shared" si="758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2"/>
        <v>499582152.5142017</v>
      </c>
      <c r="AJ2523" s="19">
        <f t="shared" si="743"/>
        <v>59520528.679470733</v>
      </c>
      <c r="AK2523" s="20">
        <f t="shared" si="749"/>
        <v>0.11914062257814291</v>
      </c>
      <c r="AL2523" s="17"/>
      <c r="AM2523" s="17"/>
      <c r="AN2523" s="17"/>
      <c r="AO2523" s="17" t="s">
        <v>1622</v>
      </c>
      <c r="AP2523" s="28" t="str">
        <f t="shared" si="750"/>
        <v>CancelCancel</v>
      </c>
      <c r="AQ2523" s="28" t="str">
        <f t="shared" si="751"/>
        <v>CancelCancelJPY</v>
      </c>
      <c r="AR2523" s="206" t="str">
        <f t="shared" si="752"/>
        <v>YAMAHA_Mounter</v>
      </c>
      <c r="AS2523" s="22" t="str">
        <f t="shared" si="753"/>
        <v/>
      </c>
      <c r="AT2523" s="24" t="str">
        <f t="shared" si="754"/>
        <v/>
      </c>
      <c r="AU2523" s="22" t="s">
        <v>3746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5"/>
        <v>21000000</v>
      </c>
      <c r="AA2524" s="13">
        <v>7.0699999999999999E-2</v>
      </c>
      <c r="AB2524" s="21">
        <f t="shared" si="758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2"/>
        <v>499582152.5142017</v>
      </c>
      <c r="AJ2524" s="19">
        <f t="shared" si="743"/>
        <v>59520528.679470733</v>
      </c>
      <c r="AK2524" s="20">
        <f t="shared" si="749"/>
        <v>0.11914062257814291</v>
      </c>
      <c r="AL2524" s="17"/>
      <c r="AM2524" s="17"/>
      <c r="AN2524" s="17"/>
      <c r="AO2524" s="17"/>
      <c r="AP2524" s="28" t="str">
        <f t="shared" si="750"/>
        <v>CancelCancel</v>
      </c>
      <c r="AQ2524" s="28" t="str">
        <f t="shared" si="751"/>
        <v>CancelCancelJPY</v>
      </c>
      <c r="AR2524" s="206" t="str">
        <f t="shared" si="752"/>
        <v>YAMAHA_Mounter</v>
      </c>
      <c r="AS2524" s="22" t="str">
        <f t="shared" si="753"/>
        <v/>
      </c>
      <c r="AT2524" s="24" t="str">
        <f t="shared" si="754"/>
        <v/>
      </c>
      <c r="AU2524" s="22" t="s">
        <v>3746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5"/>
        <v>700000</v>
      </c>
      <c r="AA2525" s="13">
        <v>1.0920000000000001</v>
      </c>
      <c r="AB2525" s="21">
        <f t="shared" si="758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2"/>
        <v>22953677.784070797</v>
      </c>
      <c r="AJ2525" s="19">
        <f t="shared" si="743"/>
        <v>4168706.6744155753</v>
      </c>
      <c r="AK2525" s="20">
        <f t="shared" si="749"/>
        <v>0.18161388835511752</v>
      </c>
      <c r="AL2525" s="17"/>
      <c r="AM2525" s="17"/>
      <c r="AN2525" s="17"/>
      <c r="AO2525" s="17"/>
      <c r="AP2525" s="28" t="str">
        <f t="shared" si="750"/>
        <v>20238</v>
      </c>
      <c r="AQ2525" s="28" t="str">
        <f t="shared" si="751"/>
        <v>20238RMB</v>
      </c>
      <c r="AR2525" s="206" t="str">
        <f t="shared" si="752"/>
        <v>YAMAHA_Non_Mounter</v>
      </c>
      <c r="AS2525" s="22">
        <f t="shared" si="753"/>
        <v>15</v>
      </c>
      <c r="AT2525" s="24" t="str">
        <f t="shared" si="754"/>
        <v>&gt; 6 months</v>
      </c>
      <c r="AU2525" s="22" t="s">
        <v>3751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5"/>
        <v>700000</v>
      </c>
      <c r="AA2526" s="13">
        <v>1.0920000000000001</v>
      </c>
      <c r="AB2526" s="21">
        <f t="shared" si="758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2"/>
        <v>22953677.784070797</v>
      </c>
      <c r="AJ2526" s="19">
        <f t="shared" si="743"/>
        <v>4168706.6744155753</v>
      </c>
      <c r="AK2526" s="20">
        <f t="shared" si="749"/>
        <v>0.18161388835511752</v>
      </c>
      <c r="AL2526" s="17"/>
      <c r="AM2526" s="17"/>
      <c r="AN2526" s="17"/>
      <c r="AO2526" s="17"/>
      <c r="AP2526" s="28" t="str">
        <f t="shared" si="750"/>
        <v>20238</v>
      </c>
      <c r="AQ2526" s="28" t="str">
        <f t="shared" si="751"/>
        <v>20238RMB</v>
      </c>
      <c r="AR2526" s="206" t="str">
        <f t="shared" si="752"/>
        <v>YAMAHA_Non_Mounter</v>
      </c>
      <c r="AS2526" s="22">
        <f t="shared" si="753"/>
        <v>15</v>
      </c>
      <c r="AT2526" s="24" t="str">
        <f t="shared" si="754"/>
        <v>&gt; 6 months</v>
      </c>
      <c r="AU2526" s="22" t="s">
        <v>3751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5"/>
        <v>700000</v>
      </c>
      <c r="AA2527" s="13">
        <v>1.0920000000000001</v>
      </c>
      <c r="AB2527" s="21">
        <f t="shared" si="758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2"/>
        <v>22953677.784070797</v>
      </c>
      <c r="AJ2527" s="19">
        <f t="shared" si="743"/>
        <v>4168706.6744155753</v>
      </c>
      <c r="AK2527" s="20">
        <f t="shared" si="749"/>
        <v>0.18161388835511752</v>
      </c>
      <c r="AL2527" s="17"/>
      <c r="AM2527" s="17"/>
      <c r="AN2527" s="17"/>
      <c r="AO2527" s="17"/>
      <c r="AP2527" s="28" t="str">
        <f t="shared" si="750"/>
        <v>20238</v>
      </c>
      <c r="AQ2527" s="28" t="str">
        <f t="shared" si="751"/>
        <v>20238RMB</v>
      </c>
      <c r="AR2527" s="206" t="str">
        <f t="shared" si="752"/>
        <v>YAMAHA_Non_Mounter</v>
      </c>
      <c r="AS2527" s="22">
        <f t="shared" si="753"/>
        <v>15</v>
      </c>
      <c r="AT2527" s="24" t="str">
        <f t="shared" si="754"/>
        <v>&gt; 6 months</v>
      </c>
      <c r="AU2527" s="22" t="s">
        <v>3751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5"/>
        <v>700000</v>
      </c>
      <c r="AA2528" s="13">
        <v>1.0920000000000001</v>
      </c>
      <c r="AB2528" s="21">
        <f t="shared" si="758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2"/>
        <v>22953677.784070797</v>
      </c>
      <c r="AJ2528" s="19">
        <f t="shared" si="743"/>
        <v>4168706.6744155753</v>
      </c>
      <c r="AK2528" s="20">
        <f t="shared" si="749"/>
        <v>0.18161388835511752</v>
      </c>
      <c r="AL2528" s="17"/>
      <c r="AM2528" s="17"/>
      <c r="AN2528" s="17"/>
      <c r="AO2528" s="17"/>
      <c r="AP2528" s="28" t="str">
        <f t="shared" si="750"/>
        <v>20238</v>
      </c>
      <c r="AQ2528" s="28" t="str">
        <f t="shared" si="751"/>
        <v>20238RMB</v>
      </c>
      <c r="AR2528" s="206" t="str">
        <f t="shared" si="752"/>
        <v>YAMAHA_Non_Mounter</v>
      </c>
      <c r="AS2528" s="22">
        <f t="shared" si="753"/>
        <v>15</v>
      </c>
      <c r="AT2528" s="24" t="str">
        <f t="shared" si="754"/>
        <v>&gt; 6 months</v>
      </c>
      <c r="AU2528" s="22" t="s">
        <v>3751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5"/>
        <v>700000</v>
      </c>
      <c r="AA2529" s="22">
        <v>1.075</v>
      </c>
      <c r="AB2529" s="197">
        <f t="shared" si="758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2"/>
        <v>25458266.694690265</v>
      </c>
      <c r="AJ2529" s="200">
        <f t="shared" si="743"/>
        <v>4116526.778578762</v>
      </c>
      <c r="AK2529" s="201">
        <f t="shared" si="749"/>
        <v>0.16169705612508689</v>
      </c>
      <c r="AL2529" s="24"/>
      <c r="AM2529" s="24"/>
      <c r="AN2529" s="24"/>
      <c r="AO2529" s="24"/>
      <c r="AP2529" s="105" t="str">
        <f t="shared" si="750"/>
        <v>20247</v>
      </c>
      <c r="AQ2529" s="28" t="str">
        <f t="shared" si="751"/>
        <v>20247RMB</v>
      </c>
      <c r="AR2529" s="206" t="str">
        <f t="shared" si="752"/>
        <v>YAMAHA_Mounter</v>
      </c>
      <c r="AS2529" s="22">
        <f t="shared" si="753"/>
        <v>0</v>
      </c>
      <c r="AT2529" s="24" t="str">
        <f t="shared" si="754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5"/>
        <v>690000</v>
      </c>
      <c r="AA2530" s="13">
        <v>1.095</v>
      </c>
      <c r="AB2530" s="21">
        <f t="shared" si="758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2"/>
        <v>35384300.169380538</v>
      </c>
      <c r="AJ2530" s="19">
        <f t="shared" si="743"/>
        <v>5044538.8896988509</v>
      </c>
      <c r="AK2530" s="20">
        <f t="shared" si="749"/>
        <v>0.14256432557804533</v>
      </c>
      <c r="AL2530" s="17"/>
      <c r="AM2530" s="17"/>
      <c r="AN2530" s="17"/>
      <c r="AO2530" s="17"/>
      <c r="AP2530" s="28" t="str">
        <f t="shared" si="750"/>
        <v>20207</v>
      </c>
      <c r="AQ2530" s="28" t="str">
        <f t="shared" si="751"/>
        <v>20207RMB</v>
      </c>
      <c r="AR2530" s="206" t="str">
        <f t="shared" si="752"/>
        <v>YAMAHA_Mounter</v>
      </c>
      <c r="AS2530" s="22">
        <f t="shared" si="753"/>
        <v>1</v>
      </c>
      <c r="AT2530" s="24" t="str">
        <f t="shared" si="754"/>
        <v>0-3 months</v>
      </c>
      <c r="AU2530" s="22" t="s">
        <v>3744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5"/>
        <v>11344000</v>
      </c>
      <c r="AA2531" s="13">
        <v>7.4300000000000005E-2</v>
      </c>
      <c r="AB2531" s="21">
        <f t="shared" si="758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2"/>
        <v>28065694.408805311</v>
      </c>
      <c r="AJ2531" s="19">
        <f t="shared" si="743"/>
        <v>4157433.2906989697</v>
      </c>
      <c r="AK2531" s="20">
        <f t="shared" si="749"/>
        <v>0.14813220831602228</v>
      </c>
      <c r="AL2531" s="17"/>
      <c r="AM2531" s="17"/>
      <c r="AN2531" s="17"/>
      <c r="AO2531" s="17"/>
      <c r="AP2531" s="28" t="str">
        <f t="shared" si="750"/>
        <v>20205</v>
      </c>
      <c r="AQ2531" s="28" t="str">
        <f t="shared" si="751"/>
        <v>20205JPY</v>
      </c>
      <c r="AR2531" s="206" t="str">
        <f t="shared" si="752"/>
        <v>YAMAHA_Mounter</v>
      </c>
      <c r="AS2531" s="22">
        <f t="shared" si="753"/>
        <v>4</v>
      </c>
      <c r="AT2531" s="24" t="str">
        <f t="shared" si="754"/>
        <v>4-6 months</v>
      </c>
      <c r="AU2531" s="22" t="s">
        <v>3745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5"/>
        <v>722750</v>
      </c>
      <c r="AA2532" s="13">
        <v>1.1499999999999999</v>
      </c>
      <c r="AB2532" s="21">
        <f t="shared" si="758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2"/>
        <v>26754147.763010349</v>
      </c>
      <c r="AJ2532" s="19">
        <f t="shared" si="743"/>
        <v>3429137.9965357962</v>
      </c>
      <c r="AK2532" s="20">
        <f t="shared" si="749"/>
        <v>0.12817220069617921</v>
      </c>
      <c r="AL2532" s="17"/>
      <c r="AM2532" s="17"/>
      <c r="AN2532" s="17"/>
      <c r="AO2532" s="17"/>
      <c r="AP2532" s="28" t="str">
        <f t="shared" si="750"/>
        <v>20188</v>
      </c>
      <c r="AQ2532" s="28" t="str">
        <f t="shared" si="751"/>
        <v>20188RMB</v>
      </c>
      <c r="AR2532" s="206" t="str">
        <f t="shared" si="752"/>
        <v>YAMAHA_Mounter</v>
      </c>
      <c r="AS2532" s="22">
        <f t="shared" si="753"/>
        <v>1</v>
      </c>
      <c r="AT2532" s="24" t="str">
        <f t="shared" si="754"/>
        <v>0-3 months</v>
      </c>
      <c r="AU2532" s="22" t="s">
        <v>3744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5"/>
        <v>722750</v>
      </c>
      <c r="AA2533" s="13">
        <v>1.1499999999999999</v>
      </c>
      <c r="AB2533" s="21">
        <f t="shared" si="758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2"/>
        <v>26754147.763010349</v>
      </c>
      <c r="AJ2533" s="19">
        <f t="shared" si="743"/>
        <v>3429137.9965357962</v>
      </c>
      <c r="AK2533" s="20">
        <f t="shared" si="749"/>
        <v>0.12817220069617921</v>
      </c>
      <c r="AL2533" s="17"/>
      <c r="AM2533" s="17"/>
      <c r="AN2533" s="17"/>
      <c r="AO2533" s="17"/>
      <c r="AP2533" s="28" t="str">
        <f t="shared" si="750"/>
        <v>20188</v>
      </c>
      <c r="AQ2533" s="28" t="str">
        <f t="shared" si="751"/>
        <v>20188RMB</v>
      </c>
      <c r="AR2533" s="206" t="str">
        <f t="shared" si="752"/>
        <v>YAMAHA_Mounter</v>
      </c>
      <c r="AS2533" s="22">
        <f t="shared" si="753"/>
        <v>1</v>
      </c>
      <c r="AT2533" s="24" t="str">
        <f t="shared" si="754"/>
        <v>0-3 months</v>
      </c>
      <c r="AU2533" s="22" t="s">
        <v>3744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5"/>
        <v>490000</v>
      </c>
      <c r="AA2534" s="13">
        <v>1.23</v>
      </c>
      <c r="AB2534" s="21">
        <f t="shared" si="758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2"/>
        <v>24398045.86045352</v>
      </c>
      <c r="AJ2534" s="19">
        <f t="shared" si="743"/>
        <v>3478417.4064663448</v>
      </c>
      <c r="AK2534" s="20">
        <f t="shared" si="749"/>
        <v>0.14256950849102498</v>
      </c>
      <c r="AL2534" s="17"/>
      <c r="AM2534" s="17"/>
      <c r="AN2534" s="17"/>
      <c r="AO2534" s="17"/>
      <c r="AP2534" s="28" t="str">
        <f t="shared" si="750"/>
        <v>20186</v>
      </c>
      <c r="AQ2534" s="28" t="str">
        <f t="shared" si="751"/>
        <v>20186RMB</v>
      </c>
      <c r="AR2534" s="206" t="str">
        <f t="shared" si="752"/>
        <v>HELLER</v>
      </c>
      <c r="AS2534" s="22">
        <f t="shared" si="753"/>
        <v>2</v>
      </c>
      <c r="AT2534" s="24" t="str">
        <f t="shared" si="754"/>
        <v>0-3 months</v>
      </c>
      <c r="AU2534" s="22" t="s">
        <v>3744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5"/>
        <v>76000</v>
      </c>
      <c r="AA2535" s="13">
        <v>7.8</v>
      </c>
      <c r="AB2535" s="21">
        <f t="shared" si="758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2"/>
        <v>499582152.5142017</v>
      </c>
      <c r="AJ2535" s="19">
        <f t="shared" si="743"/>
        <v>59520528.679470733</v>
      </c>
      <c r="AK2535" s="20">
        <f t="shared" si="749"/>
        <v>0.11914062257814291</v>
      </c>
      <c r="AL2535" s="17"/>
      <c r="AM2535" s="17"/>
      <c r="AN2535" s="17"/>
      <c r="AO2535" s="17"/>
      <c r="AP2535" s="28" t="str">
        <f t="shared" si="750"/>
        <v>CancelCancel</v>
      </c>
      <c r="AQ2535" s="28" t="str">
        <f t="shared" si="751"/>
        <v>CancelCancelUSD</v>
      </c>
      <c r="AR2535" s="206" t="str">
        <f t="shared" si="752"/>
        <v>HELLER</v>
      </c>
      <c r="AS2535" s="22" t="str">
        <f t="shared" si="753"/>
        <v/>
      </c>
      <c r="AT2535" s="24" t="str">
        <f t="shared" si="754"/>
        <v/>
      </c>
      <c r="AU2535" s="22" t="s">
        <v>3746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5"/>
        <v>15000000</v>
      </c>
      <c r="AA2536" s="13">
        <v>7.2400000000000006E-2</v>
      </c>
      <c r="AB2536" s="21">
        <f t="shared" si="758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2"/>
        <v>47458373.787610628</v>
      </c>
      <c r="AJ2536" s="19">
        <f t="shared" si="743"/>
        <v>7436880.1411522133</v>
      </c>
      <c r="AK2536" s="20">
        <f t="shared" si="749"/>
        <v>0.15670322321692506</v>
      </c>
      <c r="AL2536" s="17"/>
      <c r="AM2536" s="17"/>
      <c r="AN2536" s="17"/>
      <c r="AO2536" s="17"/>
      <c r="AP2536" s="28" t="str">
        <f t="shared" si="750"/>
        <v>20218</v>
      </c>
      <c r="AQ2536" s="28" t="str">
        <f t="shared" si="751"/>
        <v>20218JPY</v>
      </c>
      <c r="AR2536" s="206" t="str">
        <f t="shared" si="752"/>
        <v>YAMAHA_Mounter</v>
      </c>
      <c r="AS2536" s="22">
        <f t="shared" si="753"/>
        <v>4</v>
      </c>
      <c r="AT2536" s="24" t="str">
        <f t="shared" si="754"/>
        <v>4-6 months</v>
      </c>
      <c r="AU2536" s="22" t="s">
        <v>3745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5"/>
        <v>891000</v>
      </c>
      <c r="AA2537" s="13">
        <v>1.1100000000000001</v>
      </c>
      <c r="AB2537" s="21">
        <f t="shared" si="758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2"/>
        <v>26147030.909862842</v>
      </c>
      <c r="AJ2537" s="19">
        <f t="shared" si="743"/>
        <v>2743862.8630715334</v>
      </c>
      <c r="AK2537" s="20">
        <f t="shared" si="749"/>
        <v>0.10493974908778378</v>
      </c>
      <c r="AL2537" s="17"/>
      <c r="AM2537" s="17"/>
      <c r="AN2537" s="17"/>
      <c r="AO2537" s="17"/>
      <c r="AP2537" s="28" t="str">
        <f t="shared" si="750"/>
        <v>201911</v>
      </c>
      <c r="AQ2537" s="28" t="str">
        <f t="shared" si="751"/>
        <v>201911RMB</v>
      </c>
      <c r="AR2537" s="206" t="str">
        <f t="shared" si="752"/>
        <v>YAMAHA_Mounter</v>
      </c>
      <c r="AS2537" s="22">
        <f t="shared" si="753"/>
        <v>1</v>
      </c>
      <c r="AT2537" s="24" t="str">
        <f t="shared" si="754"/>
        <v>0-3 months</v>
      </c>
      <c r="AU2537" s="22" t="s">
        <v>3744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59">IF(W2538="RMB","1.13", "1")</f>
        <v>1</v>
      </c>
      <c r="Z2538" s="18">
        <f t="shared" si="755"/>
        <v>10500000</v>
      </c>
      <c r="AA2538" s="13">
        <v>7.4899999999999994E-2</v>
      </c>
      <c r="AB2538" s="21">
        <f t="shared" si="758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2"/>
        <v>28011162.254106201</v>
      </c>
      <c r="AJ2538" s="19">
        <f t="shared" si="743"/>
        <v>3401347.1124888416</v>
      </c>
      <c r="AK2538" s="20">
        <f t="shared" si="749"/>
        <v>0.12142827497242578</v>
      </c>
      <c r="AL2538" s="17"/>
      <c r="AM2538" s="17"/>
      <c r="AN2538" s="17"/>
      <c r="AO2538" s="17"/>
      <c r="AP2538" s="28" t="str">
        <f t="shared" si="750"/>
        <v>202010</v>
      </c>
      <c r="AQ2538" s="28" t="str">
        <f t="shared" si="751"/>
        <v>202010JPY</v>
      </c>
      <c r="AR2538" s="206" t="str">
        <f t="shared" si="752"/>
        <v>YAMAHA_Mounter</v>
      </c>
      <c r="AS2538" s="22">
        <f t="shared" si="753"/>
        <v>3</v>
      </c>
      <c r="AT2538" s="24" t="str">
        <f t="shared" si="754"/>
        <v>0-3 months</v>
      </c>
      <c r="AU2538" s="22" t="s">
        <v>3745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59"/>
        <v>1</v>
      </c>
      <c r="Z2539" s="18">
        <f t="shared" si="755"/>
        <v>12310000</v>
      </c>
      <c r="AA2539" s="13">
        <v>7.6100000000000001E-2</v>
      </c>
      <c r="AB2539" s="21">
        <f t="shared" si="758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2"/>
        <v>48763143.537654862</v>
      </c>
      <c r="AJ2539" s="19">
        <f t="shared" si="743"/>
        <v>5924029.9702154724</v>
      </c>
      <c r="AK2539" s="20">
        <f t="shared" si="749"/>
        <v>0.1214858095774925</v>
      </c>
      <c r="AL2539" s="17"/>
      <c r="AM2539" s="17"/>
      <c r="AN2539" s="17"/>
      <c r="AO2539" s="17" t="s">
        <v>1440</v>
      </c>
      <c r="AP2539" s="28" t="str">
        <f t="shared" si="750"/>
        <v>202012</v>
      </c>
      <c r="AQ2539" s="28" t="str">
        <f t="shared" si="751"/>
        <v>202012JPY</v>
      </c>
      <c r="AR2539" s="206" t="str">
        <f t="shared" si="752"/>
        <v>YAMAHA_Mounter</v>
      </c>
      <c r="AS2539" s="22">
        <f t="shared" si="753"/>
        <v>1</v>
      </c>
      <c r="AT2539" s="24" t="str">
        <f t="shared" si="754"/>
        <v>0-3 months</v>
      </c>
      <c r="AU2539" s="22" t="s">
        <v>3745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59"/>
        <v>1</v>
      </c>
      <c r="Z2540" s="18">
        <f t="shared" si="755"/>
        <v>11555000</v>
      </c>
      <c r="AA2540" s="13">
        <v>7.2400000000000006E-2</v>
      </c>
      <c r="AB2540" s="21">
        <f t="shared" si="758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2"/>
        <v>499582152.5142017</v>
      </c>
      <c r="AJ2540" s="19">
        <f t="shared" si="743"/>
        <v>59520528.679470733</v>
      </c>
      <c r="AK2540" s="20">
        <f t="shared" si="749"/>
        <v>0.11914062257814291</v>
      </c>
      <c r="AL2540" s="17"/>
      <c r="AM2540" s="17"/>
      <c r="AN2540" s="17"/>
      <c r="AO2540" s="17"/>
      <c r="AP2540" s="28" t="str">
        <f t="shared" si="750"/>
        <v>CancelCancel</v>
      </c>
      <c r="AQ2540" s="28" t="str">
        <f t="shared" si="751"/>
        <v>CancelCancelJPY</v>
      </c>
      <c r="AR2540" s="206" t="str">
        <f t="shared" si="752"/>
        <v>YAMAHA_Mounter</v>
      </c>
      <c r="AS2540" s="22" t="str">
        <f t="shared" si="753"/>
        <v/>
      </c>
      <c r="AT2540" s="24" t="str">
        <f t="shared" si="754"/>
        <v/>
      </c>
      <c r="AU2540" s="22" t="s">
        <v>3745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59"/>
        <v>1</v>
      </c>
      <c r="Z2541" s="18">
        <f t="shared" si="755"/>
        <v>11555000</v>
      </c>
      <c r="AA2541" s="13">
        <v>7.2400000000000006E-2</v>
      </c>
      <c r="AB2541" s="21">
        <f t="shared" si="758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2"/>
        <v>499582152.5142017</v>
      </c>
      <c r="AJ2541" s="19">
        <f t="shared" si="743"/>
        <v>59520528.679470733</v>
      </c>
      <c r="AK2541" s="20">
        <f t="shared" si="749"/>
        <v>0.11914062257814291</v>
      </c>
      <c r="AL2541" s="17"/>
      <c r="AM2541" s="17"/>
      <c r="AN2541" s="17"/>
      <c r="AO2541" s="17"/>
      <c r="AP2541" s="28" t="str">
        <f t="shared" si="750"/>
        <v>CancelCancel</v>
      </c>
      <c r="AQ2541" s="28" t="str">
        <f t="shared" si="751"/>
        <v>CancelCancelJPY</v>
      </c>
      <c r="AR2541" s="206" t="str">
        <f t="shared" si="752"/>
        <v>YAMAHA_Mounter</v>
      </c>
      <c r="AS2541" s="22" t="str">
        <f t="shared" si="753"/>
        <v/>
      </c>
      <c r="AT2541" s="24" t="str">
        <f t="shared" si="754"/>
        <v/>
      </c>
      <c r="AU2541" s="22" t="s">
        <v>3745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59"/>
        <v>1</v>
      </c>
      <c r="Z2542" s="18">
        <f t="shared" si="755"/>
        <v>11570000</v>
      </c>
      <c r="AA2542" s="13">
        <v>7.4499999999999997E-2</v>
      </c>
      <c r="AB2542" s="21">
        <f t="shared" si="758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2"/>
        <v>57778307.282035396</v>
      </c>
      <c r="AJ2542" s="19">
        <f t="shared" si="743"/>
        <v>7259860.7225420559</v>
      </c>
      <c r="AK2542" s="20">
        <f t="shared" si="749"/>
        <v>0.12565028406083667</v>
      </c>
      <c r="AL2542" s="17"/>
      <c r="AM2542" s="17"/>
      <c r="AN2542" s="17"/>
      <c r="AO2542" s="17"/>
      <c r="AP2542" s="28" t="str">
        <f t="shared" si="750"/>
        <v>20213</v>
      </c>
      <c r="AQ2542" s="28" t="str">
        <f t="shared" si="751"/>
        <v>20213JPY</v>
      </c>
      <c r="AR2542" s="206" t="str">
        <f t="shared" si="752"/>
        <v>YAMAHA_Mounter</v>
      </c>
      <c r="AS2542" s="22">
        <f t="shared" si="753"/>
        <v>2</v>
      </c>
      <c r="AT2542" s="24" t="str">
        <f t="shared" si="754"/>
        <v>0-3 months</v>
      </c>
      <c r="AU2542" s="22" t="s">
        <v>3745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59"/>
        <v>1</v>
      </c>
      <c r="Z2543" s="18">
        <f t="shared" si="755"/>
        <v>11570000</v>
      </c>
      <c r="AA2543" s="13">
        <v>7.4499999999999997E-2</v>
      </c>
      <c r="AB2543" s="21">
        <f t="shared" si="758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2"/>
        <v>57778307.282035396</v>
      </c>
      <c r="AJ2543" s="19">
        <f t="shared" si="743"/>
        <v>7259860.7225420559</v>
      </c>
      <c r="AK2543" s="20">
        <f t="shared" si="749"/>
        <v>0.12565028406083667</v>
      </c>
      <c r="AL2543" s="17"/>
      <c r="AM2543" s="17"/>
      <c r="AN2543" s="17"/>
      <c r="AO2543" s="17"/>
      <c r="AP2543" s="28" t="str">
        <f t="shared" si="750"/>
        <v>20213</v>
      </c>
      <c r="AQ2543" s="28" t="str">
        <f t="shared" si="751"/>
        <v>20213JPY</v>
      </c>
      <c r="AR2543" s="206" t="str">
        <f t="shared" si="752"/>
        <v>YAMAHA_Mounter</v>
      </c>
      <c r="AS2543" s="22">
        <f t="shared" si="753"/>
        <v>2</v>
      </c>
      <c r="AT2543" s="24" t="str">
        <f t="shared" si="754"/>
        <v>0-3 months</v>
      </c>
      <c r="AU2543" s="22" t="s">
        <v>3745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59"/>
        <v>1</v>
      </c>
      <c r="Z2544" s="18">
        <f t="shared" si="755"/>
        <v>11570000</v>
      </c>
      <c r="AA2544" s="13">
        <v>7.5700000000000003E-2</v>
      </c>
      <c r="AB2544" s="21">
        <f t="shared" si="758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2"/>
        <v>31097187.02948761</v>
      </c>
      <c r="AJ2544" s="19">
        <f t="shared" si="743"/>
        <v>3892353.6644401965</v>
      </c>
      <c r="AK2544" s="20">
        <f t="shared" si="749"/>
        <v>0.12516738767237401</v>
      </c>
      <c r="AL2544" s="17"/>
      <c r="AM2544" s="17"/>
      <c r="AN2544" s="17"/>
      <c r="AO2544" s="17"/>
      <c r="AP2544" s="28" t="str">
        <f t="shared" si="750"/>
        <v>20212</v>
      </c>
      <c r="AQ2544" s="28" t="str">
        <f t="shared" si="751"/>
        <v>20212JPY</v>
      </c>
      <c r="AR2544" s="206" t="str">
        <f t="shared" si="752"/>
        <v>YAMAHA_Mounter</v>
      </c>
      <c r="AS2544" s="22">
        <f t="shared" si="753"/>
        <v>1</v>
      </c>
      <c r="AT2544" s="24" t="str">
        <f t="shared" si="754"/>
        <v>0-3 months</v>
      </c>
      <c r="AU2544" s="22" t="s">
        <v>3745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59"/>
        <v>1</v>
      </c>
      <c r="Z2545" s="18">
        <f t="shared" si="755"/>
        <v>8150000</v>
      </c>
      <c r="AA2545" s="13">
        <v>7.5700000000000003E-2</v>
      </c>
      <c r="AB2545" s="21">
        <f t="shared" si="758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2"/>
        <v>31097187.02948761</v>
      </c>
      <c r="AJ2545" s="19">
        <f t="shared" si="743"/>
        <v>3892353.6644401965</v>
      </c>
      <c r="AK2545" s="20">
        <f t="shared" si="749"/>
        <v>0.12516738767237401</v>
      </c>
      <c r="AL2545" s="17"/>
      <c r="AM2545" s="17"/>
      <c r="AN2545" s="17"/>
      <c r="AO2545" s="17"/>
      <c r="AP2545" s="28" t="str">
        <f t="shared" si="750"/>
        <v>20212</v>
      </c>
      <c r="AQ2545" s="28" t="str">
        <f t="shared" si="751"/>
        <v>20212JPY</v>
      </c>
      <c r="AR2545" s="206" t="str">
        <f t="shared" si="752"/>
        <v>YAMAHA_Mounter</v>
      </c>
      <c r="AS2545" s="22">
        <f t="shared" si="753"/>
        <v>1</v>
      </c>
      <c r="AT2545" s="24" t="str">
        <f t="shared" si="754"/>
        <v>0-3 months</v>
      </c>
      <c r="AU2545" s="22" t="s">
        <v>3745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59"/>
        <v>1</v>
      </c>
      <c r="Z2546" s="18">
        <f t="shared" si="755"/>
        <v>11570000</v>
      </c>
      <c r="AA2546" s="13">
        <v>7.2400000000000006E-2</v>
      </c>
      <c r="AB2546" s="21">
        <f t="shared" si="758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2"/>
        <v>499582152.5142017</v>
      </c>
      <c r="AJ2546" s="19">
        <f t="shared" si="743"/>
        <v>59520528.679470733</v>
      </c>
      <c r="AK2546" s="20">
        <f t="shared" si="749"/>
        <v>0.11914062257814291</v>
      </c>
      <c r="AL2546" s="17"/>
      <c r="AM2546" s="17"/>
      <c r="AN2546" s="17"/>
      <c r="AO2546" s="17"/>
      <c r="AP2546" s="28" t="str">
        <f t="shared" si="750"/>
        <v>CancelCancel</v>
      </c>
      <c r="AQ2546" s="28" t="str">
        <f t="shared" si="751"/>
        <v>CancelCancelJPY</v>
      </c>
      <c r="AR2546" s="206" t="str">
        <f t="shared" si="752"/>
        <v>YAMAHA_Mounter</v>
      </c>
      <c r="AS2546" s="22" t="str">
        <f t="shared" si="753"/>
        <v/>
      </c>
      <c r="AT2546" s="24" t="str">
        <f t="shared" si="754"/>
        <v/>
      </c>
      <c r="AU2546" s="22" t="s">
        <v>3745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59"/>
        <v>1</v>
      </c>
      <c r="Z2547" s="18">
        <f t="shared" si="755"/>
        <v>11570000</v>
      </c>
      <c r="AA2547" s="13">
        <v>7.2400000000000006E-2</v>
      </c>
      <c r="AB2547" s="21">
        <f t="shared" si="758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2"/>
        <v>499582152.5142017</v>
      </c>
      <c r="AJ2547" s="19">
        <f t="shared" si="743"/>
        <v>59520528.679470733</v>
      </c>
      <c r="AK2547" s="20">
        <f t="shared" si="749"/>
        <v>0.11914062257814291</v>
      </c>
      <c r="AL2547" s="17"/>
      <c r="AM2547" s="17"/>
      <c r="AN2547" s="17"/>
      <c r="AO2547" s="17"/>
      <c r="AP2547" s="28" t="str">
        <f t="shared" si="750"/>
        <v>CancelCancel</v>
      </c>
      <c r="AQ2547" s="28" t="str">
        <f t="shared" si="751"/>
        <v>CancelCancelJPY</v>
      </c>
      <c r="AR2547" s="206" t="str">
        <f t="shared" si="752"/>
        <v>YAMAHA_Mounter</v>
      </c>
      <c r="AS2547" s="22" t="str">
        <f t="shared" si="753"/>
        <v/>
      </c>
      <c r="AT2547" s="24" t="str">
        <f t="shared" si="754"/>
        <v/>
      </c>
      <c r="AU2547" s="22" t="s">
        <v>3745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59"/>
        <v>1</v>
      </c>
      <c r="Z2548" s="18">
        <f t="shared" si="755"/>
        <v>11570000</v>
      </c>
      <c r="AA2548" s="13">
        <v>7.2400000000000006E-2</v>
      </c>
      <c r="AB2548" s="21">
        <f t="shared" si="758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2"/>
        <v>499582152.5142017</v>
      </c>
      <c r="AJ2548" s="19">
        <f t="shared" si="743"/>
        <v>59520528.679470733</v>
      </c>
      <c r="AK2548" s="20">
        <f t="shared" si="749"/>
        <v>0.11914062257814291</v>
      </c>
      <c r="AL2548" s="17"/>
      <c r="AM2548" s="17"/>
      <c r="AN2548" s="17"/>
      <c r="AO2548" s="17"/>
      <c r="AP2548" s="28" t="str">
        <f t="shared" si="750"/>
        <v>CancelCancel</v>
      </c>
      <c r="AQ2548" s="28" t="str">
        <f t="shared" si="751"/>
        <v>CancelCancelJPY</v>
      </c>
      <c r="AR2548" s="206" t="str">
        <f t="shared" si="752"/>
        <v>YAMAHA_Mounter</v>
      </c>
      <c r="AS2548" s="22" t="str">
        <f t="shared" si="753"/>
        <v/>
      </c>
      <c r="AT2548" s="24" t="str">
        <f t="shared" si="754"/>
        <v/>
      </c>
      <c r="AU2548" s="22" t="s">
        <v>3745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59"/>
        <v>1</v>
      </c>
      <c r="Z2549" s="18">
        <f t="shared" si="755"/>
        <v>8150000</v>
      </c>
      <c r="AA2549" s="13">
        <v>7.2400000000000006E-2</v>
      </c>
      <c r="AB2549" s="21">
        <f t="shared" si="758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2"/>
        <v>499582152.5142017</v>
      </c>
      <c r="AJ2549" s="19">
        <f t="shared" si="743"/>
        <v>59520528.679470733</v>
      </c>
      <c r="AK2549" s="20">
        <f t="shared" si="749"/>
        <v>0.11914062257814291</v>
      </c>
      <c r="AL2549" s="17"/>
      <c r="AM2549" s="17"/>
      <c r="AN2549" s="17"/>
      <c r="AO2549" s="17"/>
      <c r="AP2549" s="28" t="str">
        <f t="shared" si="750"/>
        <v>CancelCancel</v>
      </c>
      <c r="AQ2549" s="28" t="str">
        <f t="shared" si="751"/>
        <v>CancelCancelJPY</v>
      </c>
      <c r="AR2549" s="206" t="str">
        <f t="shared" si="752"/>
        <v>YAMAHA_Mounter</v>
      </c>
      <c r="AS2549" s="22" t="str">
        <f t="shared" si="753"/>
        <v/>
      </c>
      <c r="AT2549" s="24" t="str">
        <f t="shared" si="754"/>
        <v/>
      </c>
      <c r="AU2549" s="22" t="s">
        <v>3745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59"/>
        <v>1</v>
      </c>
      <c r="Z2550" s="18">
        <f t="shared" si="755"/>
        <v>14390000</v>
      </c>
      <c r="AA2550" s="13">
        <v>6.9199999999999998E-2</v>
      </c>
      <c r="AB2550" s="21">
        <f t="shared" si="758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2"/>
        <v>31750699.113741599</v>
      </c>
      <c r="AJ2550" s="19">
        <f t="shared" si="743"/>
        <v>4396077.3195289988</v>
      </c>
      <c r="AK2550" s="20">
        <f t="shared" si="749"/>
        <v>0.13845607946397598</v>
      </c>
      <c r="AL2550" s="17"/>
      <c r="AM2550" s="17"/>
      <c r="AN2550" s="17"/>
      <c r="AO2550" s="17"/>
      <c r="AP2550" s="28" t="str">
        <f t="shared" si="750"/>
        <v>20222</v>
      </c>
      <c r="AQ2550" s="28" t="str">
        <f t="shared" si="751"/>
        <v>20222JPY</v>
      </c>
      <c r="AR2550" s="206" t="str">
        <f t="shared" si="752"/>
        <v>YAMAHA_Mounter</v>
      </c>
      <c r="AS2550" s="22">
        <f t="shared" si="753"/>
        <v>1</v>
      </c>
      <c r="AT2550" s="24" t="str">
        <f t="shared" si="754"/>
        <v>0-3 months</v>
      </c>
      <c r="AU2550" s="22" t="s">
        <v>3745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59"/>
        <v>1</v>
      </c>
      <c r="Z2551" s="18">
        <f t="shared" si="755"/>
        <v>14390000</v>
      </c>
      <c r="AA2551" s="13">
        <v>6.54E-2</v>
      </c>
      <c r="AB2551" s="21">
        <f t="shared" si="758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2"/>
        <v>46600814.041769907</v>
      </c>
      <c r="AJ2551" s="19">
        <f t="shared" si="743"/>
        <v>5956366.3435927071</v>
      </c>
      <c r="AK2551" s="20">
        <f t="shared" si="749"/>
        <v>0.1278167874546958</v>
      </c>
      <c r="AL2551" s="17"/>
      <c r="AM2551" s="17"/>
      <c r="AN2551" s="17"/>
      <c r="AO2551" s="17"/>
      <c r="AP2551" s="28" t="str">
        <f t="shared" si="750"/>
        <v>20224</v>
      </c>
      <c r="AQ2551" s="28" t="str">
        <f t="shared" si="751"/>
        <v>20224JPY</v>
      </c>
      <c r="AR2551" s="206" t="str">
        <f t="shared" si="752"/>
        <v>YAMAHA_Mounter</v>
      </c>
      <c r="AS2551" s="22">
        <f t="shared" si="753"/>
        <v>3</v>
      </c>
      <c r="AT2551" s="24" t="str">
        <f t="shared" si="754"/>
        <v>0-3 months</v>
      </c>
      <c r="AU2551" s="22" t="s">
        <v>3745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5"/>
        <v>25448000</v>
      </c>
      <c r="AA2552" s="13">
        <v>7.2099999999999997E-2</v>
      </c>
      <c r="AB2552" s="21">
        <f t="shared" si="758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2"/>
        <v>499582152.5142017</v>
      </c>
      <c r="AJ2552" s="19">
        <f t="shared" si="743"/>
        <v>59520528.679470733</v>
      </c>
      <c r="AK2552" s="20">
        <f t="shared" si="749"/>
        <v>0.11914062257814291</v>
      </c>
      <c r="AL2552" s="17"/>
      <c r="AM2552" s="17"/>
      <c r="AN2552" s="17"/>
      <c r="AO2552" s="17"/>
      <c r="AP2552" s="28" t="str">
        <f t="shared" si="750"/>
        <v>CancelCancel</v>
      </c>
      <c r="AQ2552" s="28" t="str">
        <f t="shared" si="751"/>
        <v>CancelCancelJPY</v>
      </c>
      <c r="AR2552" s="206" t="str">
        <f t="shared" si="752"/>
        <v>YAMAHA_Mounter</v>
      </c>
      <c r="AS2552" s="22" t="str">
        <f t="shared" si="753"/>
        <v/>
      </c>
      <c r="AT2552" s="24" t="str">
        <f t="shared" si="754"/>
        <v/>
      </c>
      <c r="AU2552" s="22" t="s">
        <v>3745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5"/>
        <v>12724000</v>
      </c>
      <c r="AA2553" s="13">
        <v>7.2099999999999997E-2</v>
      </c>
      <c r="AB2553" s="21">
        <f t="shared" si="758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2"/>
        <v>499582152.5142017</v>
      </c>
      <c r="AJ2553" s="19">
        <f t="shared" si="743"/>
        <v>59520528.679470733</v>
      </c>
      <c r="AK2553" s="20">
        <f t="shared" si="749"/>
        <v>0.11914062257814291</v>
      </c>
      <c r="AL2553" s="17"/>
      <c r="AM2553" s="17"/>
      <c r="AN2553" s="17"/>
      <c r="AO2553" s="17"/>
      <c r="AP2553" s="28" t="str">
        <f t="shared" si="750"/>
        <v>CancelCancel</v>
      </c>
      <c r="AQ2553" s="28" t="str">
        <f t="shared" si="751"/>
        <v>CancelCancelJPY</v>
      </c>
      <c r="AR2553" s="206" t="str">
        <f t="shared" si="752"/>
        <v>YAMAHA_Mounter</v>
      </c>
      <c r="AS2553" s="22" t="str">
        <f t="shared" si="753"/>
        <v/>
      </c>
      <c r="AT2553" s="24" t="str">
        <f t="shared" si="754"/>
        <v/>
      </c>
      <c r="AU2553" s="22" t="s">
        <v>3745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5"/>
        <v>1000000</v>
      </c>
      <c r="AA2554" s="13">
        <v>1.105</v>
      </c>
      <c r="AB2554" s="21">
        <f t="shared" si="758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2"/>
        <v>37969334.083628319</v>
      </c>
      <c r="AJ2554" s="19">
        <f t="shared" si="743"/>
        <v>5097226.4551657084</v>
      </c>
      <c r="AK2554" s="20">
        <f t="shared" si="749"/>
        <v>0.13424587441904964</v>
      </c>
      <c r="AL2554" s="17"/>
      <c r="AM2554" s="17"/>
      <c r="AN2554" s="17"/>
      <c r="AO2554" s="17"/>
      <c r="AP2554" s="28" t="str">
        <f t="shared" si="750"/>
        <v>20208</v>
      </c>
      <c r="AQ2554" s="28" t="str">
        <f t="shared" si="751"/>
        <v>20208RMB</v>
      </c>
      <c r="AR2554" s="206" t="str">
        <f t="shared" si="752"/>
        <v>YAMAHA_Mounter</v>
      </c>
      <c r="AS2554" s="22">
        <f t="shared" si="753"/>
        <v>2</v>
      </c>
      <c r="AT2554" s="24" t="str">
        <f t="shared" si="754"/>
        <v>0-3 months</v>
      </c>
      <c r="AU2554" s="22" t="s">
        <v>3744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5"/>
        <v>800000</v>
      </c>
      <c r="AA2555" s="13">
        <v>1.095</v>
      </c>
      <c r="AB2555" s="21">
        <f t="shared" si="758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2"/>
        <v>35384300.169380538</v>
      </c>
      <c r="AJ2555" s="19">
        <f t="shared" si="743"/>
        <v>5044538.8896988509</v>
      </c>
      <c r="AK2555" s="20">
        <f t="shared" si="749"/>
        <v>0.14256432557804533</v>
      </c>
      <c r="AL2555" s="17"/>
      <c r="AM2555" s="17"/>
      <c r="AN2555" s="17"/>
      <c r="AO2555" s="17"/>
      <c r="AP2555" s="28" t="str">
        <f t="shared" si="750"/>
        <v>20207</v>
      </c>
      <c r="AQ2555" s="28" t="str">
        <f t="shared" si="751"/>
        <v>20207RMB</v>
      </c>
      <c r="AR2555" s="206" t="str">
        <f t="shared" si="752"/>
        <v>YAMAHA_Mounter</v>
      </c>
      <c r="AS2555" s="22">
        <f t="shared" si="753"/>
        <v>1</v>
      </c>
      <c r="AT2555" s="24" t="str">
        <f t="shared" si="754"/>
        <v>0-3 months</v>
      </c>
      <c r="AU2555" s="22" t="s">
        <v>3744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5"/>
        <v>140000</v>
      </c>
      <c r="AA2556" s="13">
        <v>7.8</v>
      </c>
      <c r="AB2556" s="21">
        <f t="shared" si="758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2"/>
        <v>28011162.254106201</v>
      </c>
      <c r="AJ2556" s="19">
        <f t="shared" si="743"/>
        <v>3401347.1124888416</v>
      </c>
      <c r="AK2556" s="20">
        <f t="shared" si="749"/>
        <v>0.12142827497242578</v>
      </c>
      <c r="AL2556" s="17"/>
      <c r="AM2556" s="17"/>
      <c r="AN2556" s="17"/>
      <c r="AO2556" s="17"/>
      <c r="AP2556" s="28" t="str">
        <f t="shared" si="750"/>
        <v>202010</v>
      </c>
      <c r="AQ2556" s="28" t="str">
        <f t="shared" si="751"/>
        <v>202010USD</v>
      </c>
      <c r="AR2556" s="206" t="str">
        <f t="shared" si="752"/>
        <v>YAMAHA_Mounter</v>
      </c>
      <c r="AS2556" s="22">
        <f t="shared" si="753"/>
        <v>0</v>
      </c>
      <c r="AT2556" s="24" t="str">
        <f t="shared" si="754"/>
        <v>0-3 months</v>
      </c>
      <c r="AU2556" s="22" t="s">
        <v>3745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5"/>
        <v>15000000</v>
      </c>
      <c r="AA2557" s="13">
        <v>6.9199999999999998E-2</v>
      </c>
      <c r="AB2557" s="21">
        <f t="shared" si="758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2"/>
        <v>31750699.113741599</v>
      </c>
      <c r="AJ2557" s="19">
        <f t="shared" si="743"/>
        <v>4396077.3195289988</v>
      </c>
      <c r="AK2557" s="20">
        <f t="shared" si="749"/>
        <v>0.13845607946397598</v>
      </c>
      <c r="AL2557" s="17"/>
      <c r="AM2557" s="17"/>
      <c r="AN2557" s="17"/>
      <c r="AO2557" s="17"/>
      <c r="AP2557" s="28" t="str">
        <f t="shared" si="750"/>
        <v>20222</v>
      </c>
      <c r="AQ2557" s="28" t="str">
        <f t="shared" si="751"/>
        <v>20222JPY</v>
      </c>
      <c r="AR2557" s="206" t="str">
        <f t="shared" si="752"/>
        <v>YAMAHA_Mounter</v>
      </c>
      <c r="AS2557" s="22">
        <f t="shared" si="753"/>
        <v>8</v>
      </c>
      <c r="AT2557" s="24" t="str">
        <f t="shared" si="754"/>
        <v>&gt; 6 months</v>
      </c>
      <c r="AU2557" s="22" t="s">
        <v>3745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5"/>
        <v>15000000</v>
      </c>
      <c r="AA2558" s="13">
        <v>6.9199999999999998E-2</v>
      </c>
      <c r="AB2558" s="21">
        <f t="shared" si="758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2"/>
        <v>31750699.113741599</v>
      </c>
      <c r="AJ2558" s="19">
        <f t="shared" si="743"/>
        <v>4396077.3195289988</v>
      </c>
      <c r="AK2558" s="20">
        <f t="shared" si="749"/>
        <v>0.13845607946397598</v>
      </c>
      <c r="AL2558" s="17"/>
      <c r="AM2558" s="17"/>
      <c r="AN2558" s="17"/>
      <c r="AO2558" s="17"/>
      <c r="AP2558" s="28" t="str">
        <f t="shared" si="750"/>
        <v>20222</v>
      </c>
      <c r="AQ2558" s="28" t="str">
        <f t="shared" si="751"/>
        <v>20222JPY</v>
      </c>
      <c r="AR2558" s="206" t="str">
        <f t="shared" si="752"/>
        <v>YAMAHA_Mounter</v>
      </c>
      <c r="AS2558" s="22">
        <f t="shared" si="753"/>
        <v>8</v>
      </c>
      <c r="AT2558" s="24" t="str">
        <f t="shared" si="754"/>
        <v>&gt; 6 months</v>
      </c>
      <c r="AU2558" s="22" t="s">
        <v>3745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5"/>
        <v>7689768</v>
      </c>
      <c r="AA2559" s="13">
        <v>6.9199999999999998E-2</v>
      </c>
      <c r="AB2559" s="21">
        <f t="shared" si="758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2"/>
        <v>31750699.113741599</v>
      </c>
      <c r="AJ2559" s="19">
        <f t="shared" si="743"/>
        <v>4396077.3195289988</v>
      </c>
      <c r="AK2559" s="20">
        <f t="shared" si="749"/>
        <v>0.13845607946397598</v>
      </c>
      <c r="AL2559" s="17"/>
      <c r="AM2559" s="17"/>
      <c r="AN2559" s="17"/>
      <c r="AO2559" s="17"/>
      <c r="AP2559" s="28" t="str">
        <f t="shared" si="750"/>
        <v>20222</v>
      </c>
      <c r="AQ2559" s="28" t="str">
        <f t="shared" si="751"/>
        <v>20222JPY</v>
      </c>
      <c r="AR2559" s="206" t="str">
        <f t="shared" si="752"/>
        <v>YAMAHA_Mounter</v>
      </c>
      <c r="AS2559" s="22">
        <f t="shared" si="753"/>
        <v>8</v>
      </c>
      <c r="AT2559" s="24" t="str">
        <f t="shared" si="754"/>
        <v>&gt; 6 months</v>
      </c>
      <c r="AU2559" s="22" t="s">
        <v>3745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5"/>
        <v>406243</v>
      </c>
      <c r="AA2560" s="13">
        <v>1.22</v>
      </c>
      <c r="AB2560" s="21">
        <f t="shared" si="758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2"/>
        <v>31750699.113741599</v>
      </c>
      <c r="AJ2560" s="19">
        <f t="shared" si="743"/>
        <v>4396077.3195289988</v>
      </c>
      <c r="AK2560" s="20">
        <f t="shared" si="749"/>
        <v>0.13845607946397598</v>
      </c>
      <c r="AL2560" s="17"/>
      <c r="AM2560" s="17"/>
      <c r="AN2560" s="17"/>
      <c r="AO2560" s="17"/>
      <c r="AP2560" s="28" t="str">
        <f t="shared" si="750"/>
        <v>20222</v>
      </c>
      <c r="AQ2560" s="28" t="str">
        <f t="shared" si="751"/>
        <v>20222RMB</v>
      </c>
      <c r="AR2560" s="206" t="str">
        <f t="shared" si="752"/>
        <v>HELLER</v>
      </c>
      <c r="AS2560" s="22">
        <f t="shared" si="753"/>
        <v>2</v>
      </c>
      <c r="AT2560" s="24" t="str">
        <f t="shared" si="754"/>
        <v>0-3 months</v>
      </c>
      <c r="AU2560" s="22" t="s">
        <v>3751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5"/>
        <v>750000</v>
      </c>
      <c r="AA2561" s="22">
        <v>1.0900000000000001</v>
      </c>
      <c r="AB2561" s="21">
        <f t="shared" si="758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2"/>
        <v>21241742.157380536</v>
      </c>
      <c r="AJ2561" s="27">
        <f t="shared" si="743"/>
        <v>2987081.1613773629</v>
      </c>
      <c r="AK2561" s="28">
        <f t="shared" si="749"/>
        <v>0.14062317201884914</v>
      </c>
      <c r="AL2561" s="24"/>
      <c r="AM2561" s="24"/>
      <c r="AN2561" s="24"/>
      <c r="AO2561" s="24"/>
      <c r="AP2561" s="28" t="str">
        <f t="shared" si="750"/>
        <v>20243</v>
      </c>
      <c r="AQ2561" s="28" t="str">
        <f t="shared" si="751"/>
        <v>20243RMB</v>
      </c>
      <c r="AR2561" s="206" t="str">
        <f t="shared" si="752"/>
        <v>YAMAHA_Mounter</v>
      </c>
      <c r="AS2561" s="22">
        <f t="shared" si="753"/>
        <v>0</v>
      </c>
      <c r="AT2561" s="24" t="str">
        <f t="shared" si="754"/>
        <v>0-3 months</v>
      </c>
      <c r="AU2561" s="22" t="s">
        <v>3751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5"/>
        <v>13350000</v>
      </c>
      <c r="AA2562" s="13">
        <v>7.3999999999999996E-2</v>
      </c>
      <c r="AB2562" s="21">
        <f t="shared" si="758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60">IF(P2562="C66 SERVICE","",SUMIFS(AB:AB,F:F,F2562,G:G,G2562,E:E,E2562))</f>
        <v>34015877.71150443</v>
      </c>
      <c r="AJ2562" s="19">
        <f t="shared" ref="AJ2562:AJ2625" si="761">IF(P2562="C66 SERVICE","",SUMIFS(AC:AC,F:F,F2562,G:G,G2562,E:E,E2562))</f>
        <v>4446292.375441948</v>
      </c>
      <c r="AK2562" s="20">
        <f t="shared" si="749"/>
        <v>0.13071226364205143</v>
      </c>
      <c r="AL2562" s="17"/>
      <c r="AM2562" s="17"/>
      <c r="AN2562" s="17"/>
      <c r="AO2562" s="17"/>
      <c r="AP2562" s="28" t="str">
        <f t="shared" si="750"/>
        <v>20197</v>
      </c>
      <c r="AQ2562" s="28" t="str">
        <f t="shared" si="751"/>
        <v>20197JPY</v>
      </c>
      <c r="AR2562" s="206" t="str">
        <f t="shared" si="752"/>
        <v>YAMAHA_Mounter</v>
      </c>
      <c r="AS2562" s="22">
        <f t="shared" si="753"/>
        <v>2</v>
      </c>
      <c r="AT2562" s="24" t="str">
        <f t="shared" si="754"/>
        <v>0-3 months</v>
      </c>
      <c r="AU2562" s="22" t="s">
        <v>3745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5"/>
        <v>13350000</v>
      </c>
      <c r="AA2563" s="13">
        <v>7.3999999999999996E-2</v>
      </c>
      <c r="AB2563" s="21">
        <f t="shared" si="758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60"/>
        <v>34015877.71150443</v>
      </c>
      <c r="AJ2563" s="19">
        <f t="shared" si="761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6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  <c r="AU2563" s="22" t="s">
        <v>3745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5"/>
        <v>811500</v>
      </c>
      <c r="AA2564" s="13">
        <v>1.1499999999999999</v>
      </c>
      <c r="AB2564" s="21">
        <f t="shared" si="758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60"/>
        <v>16455710.386637932</v>
      </c>
      <c r="AJ2564" s="19">
        <f t="shared" si="761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6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5"/>
        <v>1298000</v>
      </c>
      <c r="AA2565" s="13">
        <v>1.22</v>
      </c>
      <c r="AB2565" s="21">
        <f t="shared" si="758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60"/>
        <v>26407088.359292038</v>
      </c>
      <c r="AJ2565" s="19">
        <f t="shared" si="761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6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  <c r="AU2565" s="22" t="s">
        <v>3751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5"/>
        <v>780000</v>
      </c>
      <c r="AA2566" s="13">
        <v>1.095</v>
      </c>
      <c r="AB2566" s="21">
        <f t="shared" si="758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60"/>
        <v>28647263.974455759</v>
      </c>
      <c r="AJ2566" s="19">
        <f t="shared" si="761"/>
        <v>3219855.6912513468</v>
      </c>
      <c r="AK2566" s="20">
        <f t="shared" ref="AK2566:AK2629" si="767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68">IF(F2566="","",F2566&amp;G2566)</f>
        <v>201910</v>
      </c>
      <c r="AQ2566" s="28" t="str">
        <f t="shared" ref="AQ2566:AQ2629" si="769">IF(W2566="","",F2566&amp;G2566&amp;W2566)</f>
        <v>201910RMB</v>
      </c>
      <c r="AR2566" s="206" t="str">
        <f t="shared" ref="AR2566:AR2629" si="770">IFERROR(IF(AND(M2566="YAMAHA", R2566="C28"), "YAMAHA_Non_Mounter", IF(AND(M2566="YAMAHA", R2566="C49"), "YAMAHA_Mounter", M2566)),"")</f>
        <v>YAMAHA_Mounter</v>
      </c>
      <c r="AS2566" s="22">
        <f t="shared" ref="AS2566:AS2629" si="771">IFERROR(IF(OR(G2566="TBA", G2566=""), "", DATEDIF(DATE(B2566, C2566, 1), DATE(F2566, G2566, 1), "M")),"")</f>
        <v>0</v>
      </c>
      <c r="AT2566" s="24" t="str">
        <f t="shared" ref="AT2566:AT2629" si="772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5"/>
        <v>780000</v>
      </c>
      <c r="AA2567" s="13">
        <v>1.095</v>
      </c>
      <c r="AB2567" s="21">
        <f t="shared" si="758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0"/>
        <v>28647263.974455759</v>
      </c>
      <c r="AJ2567" s="19">
        <f t="shared" si="761"/>
        <v>3219855.6912513468</v>
      </c>
      <c r="AK2567" s="20">
        <f t="shared" si="767"/>
        <v>0.11239662168514358</v>
      </c>
      <c r="AL2567" s="17"/>
      <c r="AM2567" s="17"/>
      <c r="AN2567" s="17"/>
      <c r="AO2567" s="17"/>
      <c r="AP2567" s="28" t="str">
        <f t="shared" si="768"/>
        <v>201910</v>
      </c>
      <c r="AQ2567" s="28" t="str">
        <f t="shared" si="769"/>
        <v>201910RMB</v>
      </c>
      <c r="AR2567" s="206" t="str">
        <f t="shared" si="770"/>
        <v>YAMAHA_Mounter</v>
      </c>
      <c r="AS2567" s="22">
        <f t="shared" si="771"/>
        <v>0</v>
      </c>
      <c r="AT2567" s="24" t="str">
        <f t="shared" si="772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5"/>
        <v>610000</v>
      </c>
      <c r="AA2568" s="13">
        <v>1.095</v>
      </c>
      <c r="AB2568" s="21">
        <f t="shared" si="758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0"/>
        <v>28647263.974455759</v>
      </c>
      <c r="AJ2568" s="19">
        <f t="shared" si="761"/>
        <v>3219855.6912513468</v>
      </c>
      <c r="AK2568" s="20">
        <f t="shared" si="767"/>
        <v>0.11239662168514358</v>
      </c>
      <c r="AL2568" s="17"/>
      <c r="AM2568" s="17"/>
      <c r="AN2568" s="17"/>
      <c r="AO2568" s="17"/>
      <c r="AP2568" s="28" t="str">
        <f t="shared" si="768"/>
        <v>201910</v>
      </c>
      <c r="AQ2568" s="28" t="str">
        <f t="shared" si="769"/>
        <v>201910RMB</v>
      </c>
      <c r="AR2568" s="206" t="str">
        <f t="shared" si="770"/>
        <v>YAMAHA_Mounter</v>
      </c>
      <c r="AS2568" s="22">
        <f t="shared" si="771"/>
        <v>0</v>
      </c>
      <c r="AT2568" s="24" t="str">
        <f t="shared" si="772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5"/>
        <v>17600000</v>
      </c>
      <c r="AA2569" s="13">
        <v>7.0199999999999999E-2</v>
      </c>
      <c r="AB2569" s="21">
        <f t="shared" si="758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0"/>
        <v>499582152.5142017</v>
      </c>
      <c r="AJ2569" s="19">
        <f t="shared" si="761"/>
        <v>59520528.679470733</v>
      </c>
      <c r="AK2569" s="20">
        <f t="shared" si="767"/>
        <v>0.11914062257814291</v>
      </c>
      <c r="AL2569" s="17"/>
      <c r="AM2569" s="17"/>
      <c r="AN2569" s="17"/>
      <c r="AO2569" s="17"/>
      <c r="AP2569" s="28" t="str">
        <f t="shared" si="768"/>
        <v>CancelCancel</v>
      </c>
      <c r="AQ2569" s="28" t="str">
        <f t="shared" si="769"/>
        <v>CancelCancelJPY</v>
      </c>
      <c r="AR2569" s="206" t="str">
        <f t="shared" si="770"/>
        <v>YAMAHA_Mounter</v>
      </c>
      <c r="AS2569" s="22" t="str">
        <f t="shared" si="771"/>
        <v/>
      </c>
      <c r="AT2569" s="24" t="str">
        <f t="shared" si="772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3">IF(W2570="RMB","1.13", "1")</f>
        <v>1.13</v>
      </c>
      <c r="Z2570" s="18">
        <f t="shared" ref="Z2570:Z2633" si="774">IF(X2570="","",X2570*MAX(O2570,N2570))</f>
        <v>800000</v>
      </c>
      <c r="AA2570" s="13">
        <v>1.1399999999999999</v>
      </c>
      <c r="AB2570" s="21">
        <f t="shared" si="758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0"/>
        <v>30573205.452778768</v>
      </c>
      <c r="AJ2570" s="19">
        <f t="shared" si="761"/>
        <v>3790930.1683151261</v>
      </c>
      <c r="AK2570" s="20">
        <f t="shared" si="767"/>
        <v>0.12399518179964254</v>
      </c>
      <c r="AL2570" s="17"/>
      <c r="AM2570" s="17"/>
      <c r="AN2570" s="17"/>
      <c r="AO2570" s="17"/>
      <c r="AP2570" s="28" t="str">
        <f t="shared" si="768"/>
        <v>20234</v>
      </c>
      <c r="AQ2570" s="28" t="str">
        <f t="shared" si="769"/>
        <v>20234RMB</v>
      </c>
      <c r="AR2570" s="206" t="str">
        <f t="shared" si="770"/>
        <v>YAMAHA_Mounter</v>
      </c>
      <c r="AS2570" s="22">
        <f t="shared" si="771"/>
        <v>0</v>
      </c>
      <c r="AT2570" s="24" t="str">
        <f t="shared" si="772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3"/>
        <v>1.13</v>
      </c>
      <c r="Z2571" s="18">
        <f t="shared" si="774"/>
        <v>442500</v>
      </c>
      <c r="AA2571" s="13">
        <v>1.1399999999999999</v>
      </c>
      <c r="AB2571" s="21">
        <f t="shared" si="758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0"/>
        <v>30573205.452778768</v>
      </c>
      <c r="AJ2571" s="19">
        <f t="shared" si="761"/>
        <v>3790930.1683151261</v>
      </c>
      <c r="AK2571" s="20">
        <f t="shared" si="767"/>
        <v>0.12399518179964254</v>
      </c>
      <c r="AL2571" s="17"/>
      <c r="AM2571" s="17"/>
      <c r="AN2571" s="17"/>
      <c r="AO2571" s="17"/>
      <c r="AP2571" s="28" t="str">
        <f t="shared" si="768"/>
        <v>20234</v>
      </c>
      <c r="AQ2571" s="28" t="str">
        <f t="shared" si="769"/>
        <v>20234RMB</v>
      </c>
      <c r="AR2571" s="206" t="str">
        <f t="shared" si="770"/>
        <v>YAMAHA_Mounter</v>
      </c>
      <c r="AS2571" s="22">
        <f t="shared" si="771"/>
        <v>0</v>
      </c>
      <c r="AT2571" s="24" t="str">
        <f t="shared" si="772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3"/>
        <v>1.13</v>
      </c>
      <c r="Z2572" s="18">
        <f t="shared" si="774"/>
        <v>442500</v>
      </c>
      <c r="AA2572" s="13">
        <v>1.1399999999999999</v>
      </c>
      <c r="AB2572" s="21">
        <f t="shared" si="758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0"/>
        <v>30573205.452778768</v>
      </c>
      <c r="AJ2572" s="19">
        <f t="shared" si="761"/>
        <v>3790930.1683151261</v>
      </c>
      <c r="AK2572" s="20">
        <f t="shared" si="767"/>
        <v>0.12399518179964254</v>
      </c>
      <c r="AL2572" s="17"/>
      <c r="AM2572" s="17"/>
      <c r="AN2572" s="17"/>
      <c r="AO2572" s="17"/>
      <c r="AP2572" s="28" t="str">
        <f t="shared" si="768"/>
        <v>20234</v>
      </c>
      <c r="AQ2572" s="28" t="str">
        <f t="shared" si="769"/>
        <v>20234RMB</v>
      </c>
      <c r="AR2572" s="206" t="str">
        <f t="shared" si="770"/>
        <v>YAMAHA_Mounter</v>
      </c>
      <c r="AS2572" s="22">
        <f t="shared" si="771"/>
        <v>0</v>
      </c>
      <c r="AT2572" s="24" t="str">
        <f t="shared" si="772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3"/>
        <v>1.13</v>
      </c>
      <c r="Z2573" s="18">
        <f t="shared" si="774"/>
        <v>465000</v>
      </c>
      <c r="AA2573" s="13">
        <v>1.1399999999999999</v>
      </c>
      <c r="AB2573" s="21">
        <f t="shared" si="758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0"/>
        <v>30573205.452778768</v>
      </c>
      <c r="AJ2573" s="19">
        <f t="shared" si="761"/>
        <v>3790930.1683151261</v>
      </c>
      <c r="AK2573" s="20">
        <f t="shared" si="767"/>
        <v>0.12399518179964254</v>
      </c>
      <c r="AL2573" s="17"/>
      <c r="AM2573" s="17"/>
      <c r="AN2573" s="17"/>
      <c r="AO2573" s="17"/>
      <c r="AP2573" s="28" t="str">
        <f t="shared" si="768"/>
        <v>20234</v>
      </c>
      <c r="AQ2573" s="28" t="str">
        <f t="shared" si="769"/>
        <v>20234RMB</v>
      </c>
      <c r="AR2573" s="206" t="str">
        <f t="shared" si="770"/>
        <v>YAMAHA_Mounter</v>
      </c>
      <c r="AS2573" s="22">
        <f t="shared" si="771"/>
        <v>1</v>
      </c>
      <c r="AT2573" s="24" t="str">
        <f t="shared" si="772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3"/>
        <v>1.13</v>
      </c>
      <c r="Z2574" s="18">
        <f t="shared" si="774"/>
        <v>800000</v>
      </c>
      <c r="AA2574" s="13">
        <v>1.1399999999999999</v>
      </c>
      <c r="AB2574" s="21">
        <f t="shared" si="758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0"/>
        <v>30573205.452778768</v>
      </c>
      <c r="AJ2574" s="19">
        <f t="shared" si="761"/>
        <v>3790930.1683151261</v>
      </c>
      <c r="AK2574" s="20">
        <f t="shared" si="767"/>
        <v>0.12399518179964254</v>
      </c>
      <c r="AL2574" s="17"/>
      <c r="AM2574" s="17"/>
      <c r="AN2574" s="17"/>
      <c r="AO2574" s="17"/>
      <c r="AP2574" s="28" t="str">
        <f t="shared" si="768"/>
        <v>20234</v>
      </c>
      <c r="AQ2574" s="28" t="str">
        <f t="shared" si="769"/>
        <v>20234RMB</v>
      </c>
      <c r="AR2574" s="206" t="str">
        <f t="shared" si="770"/>
        <v>YAMAHA_Mounter</v>
      </c>
      <c r="AS2574" s="22">
        <f t="shared" si="771"/>
        <v>1</v>
      </c>
      <c r="AT2574" s="24" t="str">
        <f t="shared" si="772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3"/>
        <v>1.13</v>
      </c>
      <c r="Z2575" s="18">
        <f t="shared" si="774"/>
        <v>1310000</v>
      </c>
      <c r="AA2575" s="13">
        <v>1.22</v>
      </c>
      <c r="AB2575" s="21">
        <f t="shared" si="758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0"/>
        <v>26407088.359292038</v>
      </c>
      <c r="AJ2575" s="19">
        <f t="shared" si="761"/>
        <v>3424510.6998470789</v>
      </c>
      <c r="AK2575" s="20">
        <f t="shared" si="767"/>
        <v>0.12968149510667554</v>
      </c>
      <c r="AL2575" s="17"/>
      <c r="AM2575" s="17"/>
      <c r="AN2575" s="17"/>
      <c r="AO2575" s="17"/>
      <c r="AP2575" s="28" t="str">
        <f t="shared" si="768"/>
        <v>20221</v>
      </c>
      <c r="AQ2575" s="28" t="str">
        <f t="shared" si="769"/>
        <v>20221RMB</v>
      </c>
      <c r="AR2575" s="206" t="str">
        <f t="shared" si="770"/>
        <v>YAMAHA_Mounter</v>
      </c>
      <c r="AS2575" s="22">
        <f t="shared" si="771"/>
        <v>1</v>
      </c>
      <c r="AT2575" s="24" t="str">
        <f t="shared" si="772"/>
        <v>0-3 months</v>
      </c>
      <c r="AU2575" s="22" t="s">
        <v>3751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3"/>
        <v>1.13</v>
      </c>
      <c r="Z2576" s="18">
        <f t="shared" si="774"/>
        <v>1475000</v>
      </c>
      <c r="AA2576" s="13">
        <v>1.135</v>
      </c>
      <c r="AB2576" s="21">
        <f t="shared" si="758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0"/>
        <v>28177779.013274338</v>
      </c>
      <c r="AJ2576" s="19">
        <f t="shared" si="761"/>
        <v>4727216.6376190251</v>
      </c>
      <c r="AK2576" s="20">
        <f t="shared" si="767"/>
        <v>0.1677639900359808</v>
      </c>
      <c r="AL2576" s="17"/>
      <c r="AM2576" s="17"/>
      <c r="AN2576" s="17"/>
      <c r="AO2576" s="17"/>
      <c r="AP2576" s="28" t="str">
        <f t="shared" si="768"/>
        <v>20235</v>
      </c>
      <c r="AQ2576" s="28" t="str">
        <f t="shared" si="769"/>
        <v>20235RMB</v>
      </c>
      <c r="AR2576" s="206" t="str">
        <f t="shared" si="770"/>
        <v>YAMAHA_Mounter</v>
      </c>
      <c r="AS2576" s="22">
        <f t="shared" si="771"/>
        <v>3</v>
      </c>
      <c r="AT2576" s="24" t="str">
        <f t="shared" si="772"/>
        <v>0-3 months</v>
      </c>
      <c r="AU2576" s="22" t="s">
        <v>3751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3"/>
        <v>1</v>
      </c>
      <c r="Z2577" s="18">
        <f t="shared" si="774"/>
        <v>13500000</v>
      </c>
      <c r="AA2577" s="13">
        <v>7.4499999999999997E-2</v>
      </c>
      <c r="AB2577" s="21">
        <f t="shared" si="758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0"/>
        <v>57778307.282035396</v>
      </c>
      <c r="AJ2577" s="19">
        <f t="shared" si="761"/>
        <v>7259860.7225420559</v>
      </c>
      <c r="AK2577" s="20">
        <f t="shared" si="767"/>
        <v>0.12565028406083667</v>
      </c>
      <c r="AL2577" s="17"/>
      <c r="AM2577" s="17"/>
      <c r="AN2577" s="17"/>
      <c r="AO2577" s="17"/>
      <c r="AP2577" s="28" t="str">
        <f t="shared" si="768"/>
        <v>20213</v>
      </c>
      <c r="AQ2577" s="28" t="str">
        <f t="shared" si="769"/>
        <v>20213JPY</v>
      </c>
      <c r="AR2577" s="206" t="str">
        <f t="shared" si="770"/>
        <v>YAMAHA_Mounter</v>
      </c>
      <c r="AS2577" s="22">
        <f t="shared" si="771"/>
        <v>4</v>
      </c>
      <c r="AT2577" s="24" t="str">
        <f t="shared" si="772"/>
        <v>4-6 months</v>
      </c>
      <c r="AU2577" s="22" t="s">
        <v>3745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3"/>
        <v>1</v>
      </c>
      <c r="Z2578" s="18">
        <f t="shared" si="774"/>
        <v>14500000</v>
      </c>
      <c r="AA2578" s="13">
        <v>7.0999999999999994E-2</v>
      </c>
      <c r="AB2578" s="21">
        <f t="shared" si="758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0"/>
        <v>15533177.71460177</v>
      </c>
      <c r="AJ2578" s="19">
        <f t="shared" si="761"/>
        <v>1819298.5437526547</v>
      </c>
      <c r="AK2578" s="20">
        <f t="shared" si="767"/>
        <v>0.11712339723265033</v>
      </c>
      <c r="AL2578" s="17"/>
      <c r="AM2578" s="17"/>
      <c r="AN2578" s="17"/>
      <c r="AO2578" s="17"/>
      <c r="AP2578" s="28" t="str">
        <f t="shared" si="768"/>
        <v>202110</v>
      </c>
      <c r="AQ2578" s="28" t="str">
        <f t="shared" si="769"/>
        <v>202110JPY</v>
      </c>
      <c r="AR2578" s="206" t="str">
        <f t="shared" si="770"/>
        <v>YAMAHA_Mounter</v>
      </c>
      <c r="AS2578" s="22">
        <f t="shared" si="771"/>
        <v>6</v>
      </c>
      <c r="AT2578" s="24" t="str">
        <f t="shared" si="772"/>
        <v>4-6 months</v>
      </c>
      <c r="AU2578" s="22" t="s">
        <v>3745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3"/>
        <v>1</v>
      </c>
      <c r="Z2579" s="18">
        <f t="shared" si="774"/>
        <v>14500000</v>
      </c>
      <c r="AA2579" s="13">
        <v>7.0999999999999994E-2</v>
      </c>
      <c r="AB2579" s="21">
        <f t="shared" si="758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0"/>
        <v>15533177.71460177</v>
      </c>
      <c r="AJ2579" s="19">
        <f t="shared" si="761"/>
        <v>1819298.5437526547</v>
      </c>
      <c r="AK2579" s="20">
        <f t="shared" si="767"/>
        <v>0.11712339723265033</v>
      </c>
      <c r="AL2579" s="17"/>
      <c r="AM2579" s="17"/>
      <c r="AN2579" s="17"/>
      <c r="AO2579" s="17"/>
      <c r="AP2579" s="28" t="str">
        <f t="shared" si="768"/>
        <v>202110</v>
      </c>
      <c r="AQ2579" s="28" t="str">
        <f t="shared" si="769"/>
        <v>202110JPY</v>
      </c>
      <c r="AR2579" s="206" t="str">
        <f t="shared" si="770"/>
        <v>YAMAHA_Mounter</v>
      </c>
      <c r="AS2579" s="22">
        <f t="shared" si="771"/>
        <v>6</v>
      </c>
      <c r="AT2579" s="24" t="str">
        <f t="shared" si="772"/>
        <v>4-6 months</v>
      </c>
      <c r="AU2579" s="22" t="s">
        <v>3745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3"/>
        <v>1.13</v>
      </c>
      <c r="Z2580" s="18">
        <f t="shared" si="774"/>
        <v>1000000</v>
      </c>
      <c r="AA2580" s="13">
        <v>1.08</v>
      </c>
      <c r="AB2580" s="21">
        <f t="shared" si="758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0"/>
        <v>31017966.201968137</v>
      </c>
      <c r="AJ2580" s="19">
        <f t="shared" si="761"/>
        <v>4704250.3347305888</v>
      </c>
      <c r="AK2580" s="20">
        <f t="shared" si="767"/>
        <v>0.15166211427595458</v>
      </c>
      <c r="AL2580" s="17"/>
      <c r="AM2580" s="17"/>
      <c r="AN2580" s="17"/>
      <c r="AO2580" s="17"/>
      <c r="AP2580" s="28" t="str">
        <f t="shared" si="768"/>
        <v>202211</v>
      </c>
      <c r="AQ2580" s="28" t="str">
        <f t="shared" si="769"/>
        <v>202211RMB</v>
      </c>
      <c r="AR2580" s="206" t="str">
        <f t="shared" si="770"/>
        <v>YAMAHA_Mounter</v>
      </c>
      <c r="AS2580" s="22">
        <f t="shared" si="771"/>
        <v>0</v>
      </c>
      <c r="AT2580" s="24" t="str">
        <f t="shared" si="772"/>
        <v>0-3 months</v>
      </c>
      <c r="AU2580" s="22" t="s">
        <v>3751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4"/>
        <v>455000</v>
      </c>
      <c r="AA2581" s="22">
        <v>1.075</v>
      </c>
      <c r="AB2581" s="197">
        <f t="shared" si="758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0"/>
        <v>25458266.694690265</v>
      </c>
      <c r="AJ2581" s="200">
        <f t="shared" si="761"/>
        <v>4116526.778578762</v>
      </c>
      <c r="AK2581" s="201">
        <f t="shared" si="767"/>
        <v>0.16169705612508689</v>
      </c>
      <c r="AL2581" s="24"/>
      <c r="AM2581" s="24"/>
      <c r="AN2581" s="24"/>
      <c r="AO2581" s="24"/>
      <c r="AP2581" s="105" t="str">
        <f t="shared" si="768"/>
        <v>20247</v>
      </c>
      <c r="AQ2581" s="28" t="str">
        <f t="shared" si="769"/>
        <v>20247RMB</v>
      </c>
      <c r="AR2581" s="206" t="str">
        <f t="shared" si="770"/>
        <v>YAMAHA_Mounter</v>
      </c>
      <c r="AS2581" s="22">
        <f t="shared" si="771"/>
        <v>0</v>
      </c>
      <c r="AT2581" s="24" t="str">
        <f t="shared" si="772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5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6">IF(W2582="RMB","1.13", "1")</f>
        <v>1.13</v>
      </c>
      <c r="Z2582" s="18">
        <f t="shared" si="774"/>
        <v>822900</v>
      </c>
      <c r="AA2582" s="13">
        <v>1.1399999999999999</v>
      </c>
      <c r="AB2582" s="21">
        <f t="shared" ref="AB2582:AB2617" si="777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0"/>
        <v>30573205.452778768</v>
      </c>
      <c r="AJ2582" s="19">
        <f t="shared" si="761"/>
        <v>3790930.1683151261</v>
      </c>
      <c r="AK2582" s="20">
        <f t="shared" si="767"/>
        <v>0.12399518179964254</v>
      </c>
      <c r="AL2582" s="17"/>
      <c r="AM2582" s="17"/>
      <c r="AN2582" s="17"/>
      <c r="AO2582" s="17"/>
      <c r="AP2582" s="28" t="str">
        <f t="shared" si="768"/>
        <v>20234</v>
      </c>
      <c r="AQ2582" s="28" t="str">
        <f t="shared" si="769"/>
        <v>20234RMB</v>
      </c>
      <c r="AR2582" s="206" t="str">
        <f t="shared" si="770"/>
        <v>YAMAHA_Mounter</v>
      </c>
      <c r="AS2582" s="22">
        <f t="shared" si="771"/>
        <v>0</v>
      </c>
      <c r="AT2582" s="24" t="str">
        <f t="shared" si="772"/>
        <v>0-3 months</v>
      </c>
      <c r="AU2582" s="22" t="s">
        <v>3751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5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6"/>
        <v>1.13</v>
      </c>
      <c r="Z2583" s="18">
        <f t="shared" si="774"/>
        <v>822900</v>
      </c>
      <c r="AA2583" s="13">
        <v>1.1399999999999999</v>
      </c>
      <c r="AB2583" s="21">
        <f t="shared" si="777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0"/>
        <v>30573205.452778768</v>
      </c>
      <c r="AJ2583" s="19">
        <f t="shared" si="761"/>
        <v>3790930.1683151261</v>
      </c>
      <c r="AK2583" s="20">
        <f t="shared" si="767"/>
        <v>0.12399518179964254</v>
      </c>
      <c r="AL2583" s="17"/>
      <c r="AM2583" s="17"/>
      <c r="AN2583" s="17"/>
      <c r="AO2583" s="17"/>
      <c r="AP2583" s="28" t="str">
        <f t="shared" si="768"/>
        <v>20234</v>
      </c>
      <c r="AQ2583" s="28" t="str">
        <f t="shared" si="769"/>
        <v>20234RMB</v>
      </c>
      <c r="AR2583" s="206" t="str">
        <f t="shared" si="770"/>
        <v>YAMAHA_Mounter</v>
      </c>
      <c r="AS2583" s="22">
        <f t="shared" si="771"/>
        <v>0</v>
      </c>
      <c r="AT2583" s="24" t="str">
        <f t="shared" si="772"/>
        <v>0-3 months</v>
      </c>
      <c r="AU2583" s="22" t="s">
        <v>3751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5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6"/>
        <v>1.13</v>
      </c>
      <c r="Z2584" s="18">
        <f t="shared" si="774"/>
        <v>601000</v>
      </c>
      <c r="AA2584" s="13">
        <v>1.1399999999999999</v>
      </c>
      <c r="AB2584" s="21">
        <f t="shared" si="777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0"/>
        <v>30573205.452778768</v>
      </c>
      <c r="AJ2584" s="19">
        <f t="shared" si="761"/>
        <v>3790930.1683151261</v>
      </c>
      <c r="AK2584" s="20">
        <f t="shared" si="767"/>
        <v>0.12399518179964254</v>
      </c>
      <c r="AL2584" s="17"/>
      <c r="AM2584" s="17"/>
      <c r="AN2584" s="17"/>
      <c r="AO2584" s="17"/>
      <c r="AP2584" s="28" t="str">
        <f t="shared" si="768"/>
        <v>20234</v>
      </c>
      <c r="AQ2584" s="28" t="str">
        <f t="shared" si="769"/>
        <v>20234RMB</v>
      </c>
      <c r="AR2584" s="206" t="str">
        <f t="shared" si="770"/>
        <v>YAMAHA_Mounter</v>
      </c>
      <c r="AS2584" s="22">
        <f t="shared" si="771"/>
        <v>0</v>
      </c>
      <c r="AT2584" s="24" t="str">
        <f t="shared" si="772"/>
        <v>0-3 months</v>
      </c>
      <c r="AU2584" s="22" t="s">
        <v>3751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5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6"/>
        <v>1.13</v>
      </c>
      <c r="Z2585" s="18">
        <f t="shared" si="774"/>
        <v>601000</v>
      </c>
      <c r="AA2585" s="13">
        <v>1.1399999999999999</v>
      </c>
      <c r="AB2585" s="21">
        <f t="shared" si="777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0"/>
        <v>30573205.452778768</v>
      </c>
      <c r="AJ2585" s="19">
        <f t="shared" si="761"/>
        <v>3790930.1683151261</v>
      </c>
      <c r="AK2585" s="20">
        <f t="shared" si="767"/>
        <v>0.12399518179964254</v>
      </c>
      <c r="AL2585" s="17"/>
      <c r="AM2585" s="17"/>
      <c r="AN2585" s="17"/>
      <c r="AO2585" s="17"/>
      <c r="AP2585" s="28" t="str">
        <f t="shared" si="768"/>
        <v>20234</v>
      </c>
      <c r="AQ2585" s="28" t="str">
        <f t="shared" si="769"/>
        <v>20234RMB</v>
      </c>
      <c r="AR2585" s="206" t="str">
        <f t="shared" si="770"/>
        <v>YAMAHA_Mounter</v>
      </c>
      <c r="AS2585" s="22">
        <f t="shared" si="771"/>
        <v>0</v>
      </c>
      <c r="AT2585" s="24" t="str">
        <f t="shared" si="772"/>
        <v>0-3 months</v>
      </c>
      <c r="AU2585" s="22" t="s">
        <v>3751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5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6"/>
        <v>1.13</v>
      </c>
      <c r="Z2586" s="18">
        <f t="shared" si="774"/>
        <v>529000</v>
      </c>
      <c r="AA2586" s="13">
        <v>1.22</v>
      </c>
      <c r="AB2586" s="21">
        <f t="shared" si="777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0"/>
        <v>46600814.041769907</v>
      </c>
      <c r="AJ2586" s="19">
        <f t="shared" si="761"/>
        <v>5956366.3435927071</v>
      </c>
      <c r="AK2586" s="20">
        <f t="shared" si="767"/>
        <v>0.1278167874546958</v>
      </c>
      <c r="AL2586" s="17"/>
      <c r="AM2586" s="17"/>
      <c r="AN2586" s="17"/>
      <c r="AO2586" s="17"/>
      <c r="AP2586" s="28" t="str">
        <f t="shared" si="768"/>
        <v>20224</v>
      </c>
      <c r="AQ2586" s="28" t="str">
        <f t="shared" si="769"/>
        <v>20224RMB</v>
      </c>
      <c r="AR2586" s="206" t="str">
        <f t="shared" si="770"/>
        <v>YAMAHA_Mounter</v>
      </c>
      <c r="AS2586" s="22">
        <f t="shared" si="771"/>
        <v>10</v>
      </c>
      <c r="AT2586" s="24" t="str">
        <f t="shared" si="772"/>
        <v>&gt; 6 months</v>
      </c>
      <c r="AU2586" s="22" t="s">
        <v>3751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5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6"/>
        <v>1.13</v>
      </c>
      <c r="Z2587" s="18">
        <f t="shared" si="774"/>
        <v>460000</v>
      </c>
      <c r="AA2587" s="13">
        <v>1.1299999999999999</v>
      </c>
      <c r="AB2587" s="21">
        <f t="shared" si="777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0"/>
        <v>33543315.897345133</v>
      </c>
      <c r="AJ2587" s="19">
        <f t="shared" si="761"/>
        <v>4706169.3252984071</v>
      </c>
      <c r="AK2587" s="20">
        <f t="shared" si="767"/>
        <v>0.14030125523967318</v>
      </c>
      <c r="AL2587" s="17"/>
      <c r="AM2587" s="17"/>
      <c r="AN2587" s="17"/>
      <c r="AO2587" s="17"/>
      <c r="AP2587" s="28" t="str">
        <f t="shared" si="768"/>
        <v>20233</v>
      </c>
      <c r="AQ2587" s="28" t="str">
        <f t="shared" si="769"/>
        <v>20233RMB</v>
      </c>
      <c r="AR2587" s="206" t="str">
        <f t="shared" si="770"/>
        <v>YAMAHA_Mounter</v>
      </c>
      <c r="AS2587" s="22">
        <f t="shared" si="771"/>
        <v>0</v>
      </c>
      <c r="AT2587" s="24" t="str">
        <f t="shared" si="772"/>
        <v>0-3 months</v>
      </c>
      <c r="AU2587" s="22" t="s">
        <v>3751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5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6"/>
        <v>1.13</v>
      </c>
      <c r="Z2588" s="18">
        <f t="shared" si="774"/>
        <v>510000</v>
      </c>
      <c r="AA2588" s="13">
        <v>1.1299999999999999</v>
      </c>
      <c r="AB2588" s="21">
        <f t="shared" si="777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0"/>
        <v>33543315.897345133</v>
      </c>
      <c r="AJ2588" s="19">
        <f t="shared" si="761"/>
        <v>4706169.3252984071</v>
      </c>
      <c r="AK2588" s="20">
        <f t="shared" si="767"/>
        <v>0.14030125523967318</v>
      </c>
      <c r="AL2588" s="17"/>
      <c r="AM2588" s="17"/>
      <c r="AN2588" s="17"/>
      <c r="AO2588" s="17"/>
      <c r="AP2588" s="28" t="str">
        <f t="shared" si="768"/>
        <v>20233</v>
      </c>
      <c r="AQ2588" s="28" t="str">
        <f t="shared" si="769"/>
        <v>20233RMB</v>
      </c>
      <c r="AR2588" s="206" t="str">
        <f t="shared" si="770"/>
        <v>YAMAHA_Mounter</v>
      </c>
      <c r="AS2588" s="22">
        <f t="shared" si="771"/>
        <v>0</v>
      </c>
      <c r="AT2588" s="24" t="str">
        <f t="shared" si="772"/>
        <v>0-3 months</v>
      </c>
      <c r="AU2588" s="22" t="s">
        <v>3751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5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6"/>
        <v>1.13</v>
      </c>
      <c r="Z2589" s="18">
        <f t="shared" si="774"/>
        <v>900000</v>
      </c>
      <c r="AA2589" s="13">
        <v>1.163</v>
      </c>
      <c r="AB2589" s="21">
        <f t="shared" si="777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0"/>
        <v>35073581.838938057</v>
      </c>
      <c r="AJ2589" s="19">
        <f t="shared" si="761"/>
        <v>5034113.9728989396</v>
      </c>
      <c r="AK2589" s="20">
        <f t="shared" si="767"/>
        <v>0.14353007902118958</v>
      </c>
      <c r="AL2589" s="17"/>
      <c r="AM2589" s="17"/>
      <c r="AN2589" s="17"/>
      <c r="AO2589" s="17"/>
      <c r="AP2589" s="28" t="str">
        <f t="shared" si="768"/>
        <v>20228</v>
      </c>
      <c r="AQ2589" s="28" t="str">
        <f t="shared" si="769"/>
        <v>20228RMB</v>
      </c>
      <c r="AR2589" s="206" t="str">
        <f t="shared" si="770"/>
        <v>YAMAHA_Mounter</v>
      </c>
      <c r="AS2589" s="22">
        <f t="shared" si="771"/>
        <v>3</v>
      </c>
      <c r="AT2589" s="24" t="str">
        <f t="shared" si="772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5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6"/>
        <v>1.13</v>
      </c>
      <c r="Z2590" s="18">
        <f t="shared" si="774"/>
        <v>665000</v>
      </c>
      <c r="AA2590" s="13">
        <v>1.163</v>
      </c>
      <c r="AB2590" s="21">
        <f t="shared" si="777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0"/>
        <v>35073581.838938057</v>
      </c>
      <c r="AJ2590" s="19">
        <f t="shared" si="761"/>
        <v>5034113.9728989396</v>
      </c>
      <c r="AK2590" s="20">
        <f t="shared" si="767"/>
        <v>0.14353007902118958</v>
      </c>
      <c r="AL2590" s="17"/>
      <c r="AM2590" s="17"/>
      <c r="AN2590" s="17"/>
      <c r="AO2590" s="17"/>
      <c r="AP2590" s="28" t="str">
        <f t="shared" si="768"/>
        <v>20228</v>
      </c>
      <c r="AQ2590" s="28" t="str">
        <f t="shared" si="769"/>
        <v>20228RMB</v>
      </c>
      <c r="AR2590" s="206" t="str">
        <f t="shared" si="770"/>
        <v>YAMAHA_Mounter</v>
      </c>
      <c r="AS2590" s="22">
        <f t="shared" si="771"/>
        <v>3</v>
      </c>
      <c r="AT2590" s="24" t="str">
        <f t="shared" si="772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5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4"/>
        <v>1000000</v>
      </c>
      <c r="AA2591" s="13">
        <v>1.089</v>
      </c>
      <c r="AB2591" s="21">
        <f t="shared" si="777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0"/>
        <v>29183109.05575221</v>
      </c>
      <c r="AJ2591" s="19">
        <f t="shared" si="761"/>
        <v>3741266.5648721238</v>
      </c>
      <c r="AK2591" s="20">
        <f t="shared" si="767"/>
        <v>0.12819972531798121</v>
      </c>
      <c r="AL2591" s="17"/>
      <c r="AM2591" s="17"/>
      <c r="AN2591" s="17"/>
      <c r="AO2591" s="17"/>
      <c r="AP2591" s="28" t="str">
        <f t="shared" si="768"/>
        <v>20206</v>
      </c>
      <c r="AQ2591" s="28" t="str">
        <f t="shared" si="769"/>
        <v>20206RMB</v>
      </c>
      <c r="AR2591" s="206" t="str">
        <f t="shared" si="770"/>
        <v>YAMAHA_Mounter</v>
      </c>
      <c r="AS2591" s="22">
        <f t="shared" si="771"/>
        <v>2</v>
      </c>
      <c r="AT2591" s="24" t="str">
        <f t="shared" si="772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5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4"/>
        <v>899000</v>
      </c>
      <c r="AA2592" s="13">
        <v>1.089</v>
      </c>
      <c r="AB2592" s="21">
        <f t="shared" si="777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0"/>
        <v>29183109.05575221</v>
      </c>
      <c r="AJ2592" s="19">
        <f t="shared" si="761"/>
        <v>3741266.5648721238</v>
      </c>
      <c r="AK2592" s="20">
        <f t="shared" si="767"/>
        <v>0.12819972531798121</v>
      </c>
      <c r="AL2592" s="17"/>
      <c r="AM2592" s="17"/>
      <c r="AN2592" s="17"/>
      <c r="AO2592" s="17"/>
      <c r="AP2592" s="28" t="str">
        <f t="shared" si="768"/>
        <v>20206</v>
      </c>
      <c r="AQ2592" s="28" t="str">
        <f t="shared" si="769"/>
        <v>20206RMB</v>
      </c>
      <c r="AR2592" s="206" t="str">
        <f t="shared" si="770"/>
        <v>YAMAHA_Mounter</v>
      </c>
      <c r="AS2592" s="22">
        <f t="shared" si="771"/>
        <v>2</v>
      </c>
      <c r="AT2592" s="24" t="str">
        <f t="shared" si="772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5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4"/>
        <v>530000</v>
      </c>
      <c r="AA2593" s="13">
        <v>1.1100000000000001</v>
      </c>
      <c r="AB2593" s="21">
        <f t="shared" si="777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0"/>
        <v>26147030.909862842</v>
      </c>
      <c r="AJ2593" s="19">
        <f t="shared" si="761"/>
        <v>2743862.8630715334</v>
      </c>
      <c r="AK2593" s="20">
        <f t="shared" si="767"/>
        <v>0.10493974908778378</v>
      </c>
      <c r="AL2593" s="17"/>
      <c r="AM2593" s="17"/>
      <c r="AN2593" s="17"/>
      <c r="AO2593" s="17"/>
      <c r="AP2593" s="28" t="str">
        <f t="shared" si="768"/>
        <v>201911</v>
      </c>
      <c r="AQ2593" s="28" t="str">
        <f t="shared" si="769"/>
        <v>201911RMB</v>
      </c>
      <c r="AR2593" s="206" t="str">
        <f t="shared" si="770"/>
        <v>YAMAHA_Mounter</v>
      </c>
      <c r="AS2593" s="22">
        <f t="shared" si="771"/>
        <v>0</v>
      </c>
      <c r="AT2593" s="24" t="str">
        <f t="shared" si="772"/>
        <v>0-3 months</v>
      </c>
      <c r="AU2593" s="22" t="s">
        <v>3744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5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4"/>
        <v>530000</v>
      </c>
      <c r="AA2594" s="13">
        <v>1.1100000000000001</v>
      </c>
      <c r="AB2594" s="21">
        <f t="shared" si="777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0"/>
        <v>26147030.909862842</v>
      </c>
      <c r="AJ2594" s="19">
        <f t="shared" si="761"/>
        <v>2743862.8630715334</v>
      </c>
      <c r="AK2594" s="20">
        <f t="shared" si="767"/>
        <v>0.10493974908778378</v>
      </c>
      <c r="AL2594" s="17"/>
      <c r="AM2594" s="17"/>
      <c r="AN2594" s="17"/>
      <c r="AO2594" s="17"/>
      <c r="AP2594" s="28" t="str">
        <f t="shared" si="768"/>
        <v>201911</v>
      </c>
      <c r="AQ2594" s="28" t="str">
        <f t="shared" si="769"/>
        <v>201911RMB</v>
      </c>
      <c r="AR2594" s="206" t="str">
        <f t="shared" si="770"/>
        <v>YAMAHA_Mounter</v>
      </c>
      <c r="AS2594" s="22">
        <f t="shared" si="771"/>
        <v>0</v>
      </c>
      <c r="AT2594" s="24" t="str">
        <f t="shared" si="772"/>
        <v>0-3 months</v>
      </c>
      <c r="AU2594" s="22" t="s">
        <v>3744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5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4"/>
        <v>12280000</v>
      </c>
      <c r="AA2595" s="13">
        <v>7.0400000000000004E-2</v>
      </c>
      <c r="AB2595" s="21">
        <f t="shared" si="777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0"/>
        <v>29840797.698275864</v>
      </c>
      <c r="AJ2595" s="19">
        <f t="shared" si="761"/>
        <v>3940167.6555448272</v>
      </c>
      <c r="AK2595" s="20">
        <f t="shared" si="767"/>
        <v>0.13203962224416277</v>
      </c>
      <c r="AL2595" s="17"/>
      <c r="AM2595" s="17"/>
      <c r="AN2595" s="17"/>
      <c r="AO2595" s="17"/>
      <c r="AP2595" s="28" t="str">
        <f t="shared" si="768"/>
        <v>201812</v>
      </c>
      <c r="AQ2595" s="28" t="str">
        <f t="shared" si="769"/>
        <v>201812JPY</v>
      </c>
      <c r="AR2595" s="206" t="str">
        <f t="shared" si="770"/>
        <v>YAMAHA_Mounter</v>
      </c>
      <c r="AS2595" s="22">
        <f t="shared" si="771"/>
        <v>10</v>
      </c>
      <c r="AT2595" s="24" t="str">
        <f t="shared" si="772"/>
        <v>&gt; 6 months</v>
      </c>
      <c r="AU2595" s="22" t="s">
        <v>3745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5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4"/>
        <v>7300000</v>
      </c>
      <c r="AA2596" s="13">
        <v>6.9199999999999998E-2</v>
      </c>
      <c r="AB2596" s="21">
        <f t="shared" si="777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0"/>
        <v>31750699.113741599</v>
      </c>
      <c r="AJ2596" s="19">
        <f t="shared" si="761"/>
        <v>4396077.3195289988</v>
      </c>
      <c r="AK2596" s="20">
        <f t="shared" si="767"/>
        <v>0.13845607946397598</v>
      </c>
      <c r="AL2596" s="17"/>
      <c r="AM2596" s="17"/>
      <c r="AN2596" s="17"/>
      <c r="AO2596" s="17"/>
      <c r="AP2596" s="28" t="str">
        <f t="shared" si="768"/>
        <v>20222</v>
      </c>
      <c r="AQ2596" s="28" t="str">
        <f t="shared" si="769"/>
        <v>20222JPY</v>
      </c>
      <c r="AR2596" s="206" t="str">
        <f t="shared" si="770"/>
        <v>YAMAHA_Mounter</v>
      </c>
      <c r="AS2596" s="22">
        <f t="shared" si="771"/>
        <v>11</v>
      </c>
      <c r="AT2596" s="24" t="str">
        <f t="shared" si="772"/>
        <v>&gt; 6 months</v>
      </c>
      <c r="AU2596" s="22" t="s">
        <v>3745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5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4"/>
        <v>10100000</v>
      </c>
      <c r="AA2597" s="13">
        <v>7.0400000000000004E-2</v>
      </c>
      <c r="AB2597" s="21">
        <f t="shared" si="777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0"/>
        <v>29840797.698275864</v>
      </c>
      <c r="AJ2597" s="19">
        <f t="shared" si="761"/>
        <v>3940167.6555448272</v>
      </c>
      <c r="AK2597" s="20">
        <f t="shared" si="767"/>
        <v>0.13203962224416277</v>
      </c>
      <c r="AL2597" s="17"/>
      <c r="AM2597" s="17"/>
      <c r="AN2597" s="17"/>
      <c r="AO2597" s="17"/>
      <c r="AP2597" s="28" t="str">
        <f t="shared" si="768"/>
        <v>201812</v>
      </c>
      <c r="AQ2597" s="28" t="str">
        <f t="shared" si="769"/>
        <v>201812JPY</v>
      </c>
      <c r="AR2597" s="206" t="str">
        <f t="shared" si="770"/>
        <v>YAMAHA_Mounter</v>
      </c>
      <c r="AS2597" s="22">
        <f t="shared" si="771"/>
        <v>4</v>
      </c>
      <c r="AT2597" s="24" t="str">
        <f t="shared" si="772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5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4"/>
        <v>10100000</v>
      </c>
      <c r="AA2598" s="13">
        <v>7.0400000000000004E-2</v>
      </c>
      <c r="AB2598" s="21">
        <f t="shared" si="777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0"/>
        <v>29840797.698275864</v>
      </c>
      <c r="AJ2598" s="19">
        <f t="shared" si="761"/>
        <v>3940167.6555448272</v>
      </c>
      <c r="AK2598" s="20">
        <f t="shared" si="767"/>
        <v>0.13203962224416277</v>
      </c>
      <c r="AL2598" s="17"/>
      <c r="AM2598" s="17"/>
      <c r="AN2598" s="17"/>
      <c r="AO2598" s="17"/>
      <c r="AP2598" s="28" t="str">
        <f t="shared" si="768"/>
        <v>201812</v>
      </c>
      <c r="AQ2598" s="28" t="str">
        <f t="shared" si="769"/>
        <v>201812JPY</v>
      </c>
      <c r="AR2598" s="206" t="str">
        <f t="shared" si="770"/>
        <v>YAMAHA_Mounter</v>
      </c>
      <c r="AS2598" s="22">
        <f t="shared" si="771"/>
        <v>4</v>
      </c>
      <c r="AT2598" s="24" t="str">
        <f t="shared" si="772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5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4"/>
        <v>10100000</v>
      </c>
      <c r="AA2599" s="13">
        <v>7.0400000000000004E-2</v>
      </c>
      <c r="AB2599" s="21">
        <f t="shared" si="777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0"/>
        <v>29840797.698275864</v>
      </c>
      <c r="AJ2599" s="19">
        <f t="shared" si="761"/>
        <v>3940167.6555448272</v>
      </c>
      <c r="AK2599" s="20">
        <f t="shared" si="767"/>
        <v>0.13203962224416277</v>
      </c>
      <c r="AL2599" s="17"/>
      <c r="AM2599" s="17"/>
      <c r="AN2599" s="17"/>
      <c r="AO2599" s="17"/>
      <c r="AP2599" s="28" t="str">
        <f t="shared" si="768"/>
        <v>201812</v>
      </c>
      <c r="AQ2599" s="28" t="str">
        <f t="shared" si="769"/>
        <v>201812JPY</v>
      </c>
      <c r="AR2599" s="206" t="str">
        <f t="shared" si="770"/>
        <v>YAMAHA_Mounter</v>
      </c>
      <c r="AS2599" s="22">
        <f t="shared" si="771"/>
        <v>4</v>
      </c>
      <c r="AT2599" s="24" t="str">
        <f t="shared" si="772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5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4"/>
        <v>12120000</v>
      </c>
      <c r="AA2600" s="13">
        <v>7.22E-2</v>
      </c>
      <c r="AB2600" s="21">
        <f t="shared" si="777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0"/>
        <v>499582152.5142017</v>
      </c>
      <c r="AJ2600" s="19">
        <f t="shared" si="761"/>
        <v>59520528.679470733</v>
      </c>
      <c r="AK2600" s="20">
        <f t="shared" si="767"/>
        <v>0.11914062257814291</v>
      </c>
      <c r="AL2600" s="17"/>
      <c r="AM2600" s="17"/>
      <c r="AN2600" s="17"/>
      <c r="AO2600" s="17"/>
      <c r="AP2600" s="28" t="str">
        <f t="shared" si="768"/>
        <v>CancelCancel</v>
      </c>
      <c r="AQ2600" s="28" t="str">
        <f t="shared" si="769"/>
        <v>CancelCancelJPY</v>
      </c>
      <c r="AR2600" s="206" t="str">
        <f t="shared" si="770"/>
        <v>YAMAHA_Mounter</v>
      </c>
      <c r="AS2600" s="22" t="str">
        <f t="shared" si="771"/>
        <v/>
      </c>
      <c r="AT2600" s="24" t="str">
        <f t="shared" si="772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5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4"/>
        <v>12120000</v>
      </c>
      <c r="AA2601" s="13">
        <v>7.22E-2</v>
      </c>
      <c r="AB2601" s="21">
        <f t="shared" si="777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0"/>
        <v>499582152.5142017</v>
      </c>
      <c r="AJ2601" s="19">
        <f t="shared" si="761"/>
        <v>59520528.679470733</v>
      </c>
      <c r="AK2601" s="20">
        <f t="shared" si="767"/>
        <v>0.11914062257814291</v>
      </c>
      <c r="AL2601" s="17"/>
      <c r="AM2601" s="17"/>
      <c r="AN2601" s="17"/>
      <c r="AO2601" s="17"/>
      <c r="AP2601" s="28" t="str">
        <f t="shared" si="768"/>
        <v>CancelCancel</v>
      </c>
      <c r="AQ2601" s="28" t="str">
        <f t="shared" si="769"/>
        <v>CancelCancelJPY</v>
      </c>
      <c r="AR2601" s="206" t="str">
        <f t="shared" si="770"/>
        <v>YAMAHA_Mounter</v>
      </c>
      <c r="AS2601" s="22" t="str">
        <f t="shared" si="771"/>
        <v/>
      </c>
      <c r="AT2601" s="24" t="str">
        <f t="shared" si="772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5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4"/>
        <v>12320000</v>
      </c>
      <c r="AA2602" s="13">
        <v>7.2300000000000003E-2</v>
      </c>
      <c r="AB2602" s="21">
        <f t="shared" si="777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0"/>
        <v>32843736.557277881</v>
      </c>
      <c r="AJ2602" s="19">
        <f t="shared" si="761"/>
        <v>3921470.6822663117</v>
      </c>
      <c r="AK2602" s="20">
        <f t="shared" si="767"/>
        <v>0.11939782416131177</v>
      </c>
      <c r="AL2602" s="17"/>
      <c r="AM2602" s="17"/>
      <c r="AN2602" s="17"/>
      <c r="AO2602" s="17"/>
      <c r="AP2602" s="28" t="str">
        <f t="shared" si="768"/>
        <v>20194</v>
      </c>
      <c r="AQ2602" s="28" t="str">
        <f t="shared" si="769"/>
        <v>20194JPY</v>
      </c>
      <c r="AR2602" s="206" t="str">
        <f t="shared" si="770"/>
        <v>YAMAHA_Mounter</v>
      </c>
      <c r="AS2602" s="22">
        <f t="shared" si="771"/>
        <v>1</v>
      </c>
      <c r="AT2602" s="24" t="str">
        <f t="shared" si="772"/>
        <v>0-3 months</v>
      </c>
      <c r="AU2602" s="22" t="s">
        <v>3745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5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4"/>
        <v>12320000</v>
      </c>
      <c r="AA2603" s="13">
        <v>7.2300000000000003E-2</v>
      </c>
      <c r="AB2603" s="21">
        <f t="shared" si="777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0"/>
        <v>32843736.557277881</v>
      </c>
      <c r="AJ2603" s="19">
        <f t="shared" si="761"/>
        <v>3921470.6822663117</v>
      </c>
      <c r="AK2603" s="20">
        <f t="shared" si="767"/>
        <v>0.11939782416131177</v>
      </c>
      <c r="AL2603" s="17"/>
      <c r="AM2603" s="17"/>
      <c r="AN2603" s="17"/>
      <c r="AO2603" s="17"/>
      <c r="AP2603" s="28" t="str">
        <f t="shared" si="768"/>
        <v>20194</v>
      </c>
      <c r="AQ2603" s="28" t="str">
        <f t="shared" si="769"/>
        <v>20194JPY</v>
      </c>
      <c r="AR2603" s="206" t="str">
        <f t="shared" si="770"/>
        <v>YAMAHA_Mounter</v>
      </c>
      <c r="AS2603" s="22">
        <f t="shared" si="771"/>
        <v>1</v>
      </c>
      <c r="AT2603" s="24" t="str">
        <f t="shared" si="772"/>
        <v>0-3 months</v>
      </c>
      <c r="AU2603" s="22" t="s">
        <v>3745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5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4"/>
        <v>570000</v>
      </c>
      <c r="AA2604" s="13">
        <v>1.135</v>
      </c>
      <c r="AB2604" s="21">
        <f t="shared" si="777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0"/>
        <v>15948576.102654871</v>
      </c>
      <c r="AJ2604" s="19">
        <f t="shared" si="761"/>
        <v>2739848.7004853105</v>
      </c>
      <c r="AK2604" s="20">
        <f t="shared" si="767"/>
        <v>0.17179268436567344</v>
      </c>
      <c r="AL2604" s="17"/>
      <c r="AM2604" s="17"/>
      <c r="AN2604" s="17"/>
      <c r="AO2604" s="17"/>
      <c r="AP2604" s="28" t="str">
        <f t="shared" si="768"/>
        <v>20229</v>
      </c>
      <c r="AQ2604" s="28" t="str">
        <f t="shared" si="769"/>
        <v>20229RMB</v>
      </c>
      <c r="AR2604" s="206" t="str">
        <f t="shared" si="770"/>
        <v>YAMAHA_Mounter</v>
      </c>
      <c r="AS2604" s="22">
        <f t="shared" si="771"/>
        <v>1</v>
      </c>
      <c r="AT2604" s="24" t="str">
        <f t="shared" si="772"/>
        <v>0-3 months</v>
      </c>
      <c r="AU2604" s="22" t="s">
        <v>3751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5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4"/>
        <v>800000</v>
      </c>
      <c r="AA2605" s="13">
        <v>1.135</v>
      </c>
      <c r="AB2605" s="21">
        <f t="shared" si="777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0"/>
        <v>15948576.102654871</v>
      </c>
      <c r="AJ2605" s="19">
        <f t="shared" si="761"/>
        <v>2739848.7004853105</v>
      </c>
      <c r="AK2605" s="20">
        <f t="shared" si="767"/>
        <v>0.17179268436567344</v>
      </c>
      <c r="AL2605" s="17"/>
      <c r="AM2605" s="17"/>
      <c r="AN2605" s="17"/>
      <c r="AO2605" s="17"/>
      <c r="AP2605" s="28" t="str">
        <f t="shared" si="768"/>
        <v>20229</v>
      </c>
      <c r="AQ2605" s="28" t="str">
        <f t="shared" si="769"/>
        <v>20229RMB</v>
      </c>
      <c r="AR2605" s="206" t="str">
        <f t="shared" si="770"/>
        <v>YAMAHA_Mounter</v>
      </c>
      <c r="AS2605" s="22">
        <f t="shared" si="771"/>
        <v>1</v>
      </c>
      <c r="AT2605" s="24" t="str">
        <f t="shared" si="772"/>
        <v>0-3 months</v>
      </c>
      <c r="AU2605" s="22" t="s">
        <v>3751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5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4"/>
        <v>10140000</v>
      </c>
      <c r="AA2606" s="13">
        <v>7.2099999999999997E-2</v>
      </c>
      <c r="AB2606" s="21">
        <f t="shared" si="777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0"/>
        <v>26492741.106427077</v>
      </c>
      <c r="AJ2606" s="19">
        <f t="shared" si="761"/>
        <v>3348032.1325698122</v>
      </c>
      <c r="AK2606" s="20">
        <f t="shared" si="767"/>
        <v>0.12637545201985867</v>
      </c>
      <c r="AL2606" s="17"/>
      <c r="AM2606" s="17"/>
      <c r="AN2606" s="17"/>
      <c r="AO2606" s="17"/>
      <c r="AP2606" s="28" t="str">
        <f t="shared" si="768"/>
        <v>20189</v>
      </c>
      <c r="AQ2606" s="28" t="str">
        <f t="shared" si="769"/>
        <v>20189JPY</v>
      </c>
      <c r="AR2606" s="206" t="str">
        <f t="shared" si="770"/>
        <v>YAMAHA_Mounter</v>
      </c>
      <c r="AS2606" s="22">
        <f t="shared" si="771"/>
        <v>8</v>
      </c>
      <c r="AT2606" s="24" t="str">
        <f t="shared" si="772"/>
        <v>&gt; 6 months</v>
      </c>
      <c r="AU2606" s="22" t="s">
        <v>3746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5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4"/>
        <v>11930000</v>
      </c>
      <c r="AA2607" s="13">
        <v>7.6100000000000001E-2</v>
      </c>
      <c r="AB2607" s="21">
        <f t="shared" si="777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0"/>
        <v>48763143.537654862</v>
      </c>
      <c r="AJ2607" s="19">
        <f t="shared" si="761"/>
        <v>5924029.9702154724</v>
      </c>
      <c r="AK2607" s="20">
        <f t="shared" si="767"/>
        <v>0.1214858095774925</v>
      </c>
      <c r="AL2607" s="17"/>
      <c r="AM2607" s="17"/>
      <c r="AN2607" s="17"/>
      <c r="AO2607" s="17"/>
      <c r="AP2607" s="28" t="str">
        <f t="shared" si="768"/>
        <v>202012</v>
      </c>
      <c r="AQ2607" s="28" t="str">
        <f t="shared" si="769"/>
        <v>202012JPY</v>
      </c>
      <c r="AR2607" s="206" t="str">
        <f t="shared" si="770"/>
        <v>YAMAHA_Mounter</v>
      </c>
      <c r="AS2607" s="22">
        <f t="shared" si="771"/>
        <v>2</v>
      </c>
      <c r="AT2607" s="24" t="str">
        <f t="shared" si="772"/>
        <v>0-3 months</v>
      </c>
      <c r="AU2607" s="22" t="s">
        <v>3745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5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4"/>
        <v>8500000</v>
      </c>
      <c r="AA2608" s="13">
        <v>6.54E-2</v>
      </c>
      <c r="AB2608" s="21">
        <f t="shared" si="777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0"/>
        <v>46600814.041769907</v>
      </c>
      <c r="AJ2608" s="19">
        <f t="shared" si="761"/>
        <v>5956366.3435927071</v>
      </c>
      <c r="AK2608" s="20">
        <f t="shared" si="767"/>
        <v>0.1278167874546958</v>
      </c>
      <c r="AL2608" s="17"/>
      <c r="AM2608" s="17"/>
      <c r="AN2608" s="17"/>
      <c r="AO2608" s="17"/>
      <c r="AP2608" s="28" t="str">
        <f t="shared" si="768"/>
        <v>20224</v>
      </c>
      <c r="AQ2608" s="28" t="str">
        <f t="shared" si="769"/>
        <v>20224JPY</v>
      </c>
      <c r="AR2608" s="206" t="str">
        <f t="shared" si="770"/>
        <v>YAMAHA_Mounter</v>
      </c>
      <c r="AS2608" s="22">
        <f t="shared" si="771"/>
        <v>4</v>
      </c>
      <c r="AT2608" s="24" t="str">
        <f t="shared" si="772"/>
        <v>4-6 months</v>
      </c>
      <c r="AU2608" s="22" t="s">
        <v>3745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5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4"/>
        <v>6900000</v>
      </c>
      <c r="AA2609" s="22">
        <v>5.3100000000000001E-2</v>
      </c>
      <c r="AB2609" s="21">
        <f t="shared" si="777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0"/>
        <v>21241742.157380536</v>
      </c>
      <c r="AJ2609" s="27">
        <f t="shared" si="761"/>
        <v>2987081.1613773629</v>
      </c>
      <c r="AK2609" s="28">
        <f t="shared" si="767"/>
        <v>0.14062317201884914</v>
      </c>
      <c r="AL2609" s="24"/>
      <c r="AM2609" s="24"/>
      <c r="AN2609" s="24"/>
      <c r="AO2609" s="24"/>
      <c r="AP2609" s="28" t="str">
        <f t="shared" si="768"/>
        <v>20243</v>
      </c>
      <c r="AQ2609" s="28" t="str">
        <f t="shared" si="769"/>
        <v>20243JPY</v>
      </c>
      <c r="AR2609" s="206" t="str">
        <f t="shared" si="770"/>
        <v>YAMAHA_Mounter</v>
      </c>
      <c r="AS2609" s="22">
        <f t="shared" si="771"/>
        <v>0</v>
      </c>
      <c r="AT2609" s="24" t="str">
        <f t="shared" si="772"/>
        <v>0-3 months</v>
      </c>
      <c r="AU2609" s="22" t="s">
        <v>3745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5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4"/>
        <v>455000</v>
      </c>
      <c r="AA2610" s="22">
        <v>1.075</v>
      </c>
      <c r="AB2610" s="197">
        <f t="shared" si="777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0"/>
        <v>25458266.694690265</v>
      </c>
      <c r="AJ2610" s="200">
        <f t="shared" si="761"/>
        <v>4116526.778578762</v>
      </c>
      <c r="AK2610" s="201">
        <f t="shared" si="767"/>
        <v>0.16169705612508689</v>
      </c>
      <c r="AL2610" s="24"/>
      <c r="AM2610" s="24"/>
      <c r="AN2610" s="24"/>
      <c r="AO2610" s="24"/>
      <c r="AP2610" s="105" t="str">
        <f t="shared" si="768"/>
        <v>20247</v>
      </c>
      <c r="AQ2610" s="28" t="str">
        <f t="shared" si="769"/>
        <v>20247RMB</v>
      </c>
      <c r="AR2610" s="206" t="str">
        <f t="shared" si="770"/>
        <v>YAMAHA_Mounter</v>
      </c>
      <c r="AS2610" s="22">
        <f t="shared" si="771"/>
        <v>0</v>
      </c>
      <c r="AT2610" s="24" t="str">
        <f t="shared" si="772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5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4"/>
        <v>350000</v>
      </c>
      <c r="AA2611" s="22">
        <v>1.075</v>
      </c>
      <c r="AB2611" s="21">
        <f t="shared" si="777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0"/>
        <v>25458266.694690265</v>
      </c>
      <c r="AJ2611" s="27">
        <f t="shared" si="761"/>
        <v>4116526.778578762</v>
      </c>
      <c r="AK2611" s="28">
        <f t="shared" si="767"/>
        <v>0.16169705612508689</v>
      </c>
      <c r="AL2611" s="24"/>
      <c r="AM2611" s="24"/>
      <c r="AN2611" s="24"/>
      <c r="AO2611" s="24"/>
      <c r="AP2611" s="28" t="str">
        <f t="shared" si="768"/>
        <v>20247</v>
      </c>
      <c r="AQ2611" s="28" t="str">
        <f t="shared" si="769"/>
        <v>20247RMB</v>
      </c>
      <c r="AR2611" s="206" t="str">
        <f t="shared" si="770"/>
        <v>YAMAHA_Non_Mounter</v>
      </c>
      <c r="AS2611" s="22">
        <f t="shared" si="771"/>
        <v>7</v>
      </c>
      <c r="AT2611" s="24" t="str">
        <f t="shared" si="772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5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4"/>
        <v>7800000</v>
      </c>
      <c r="AA2612" s="13">
        <v>5.2900000000000003E-2</v>
      </c>
      <c r="AB2612" s="21">
        <f t="shared" si="777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0"/>
        <v>499582152.5142017</v>
      </c>
      <c r="AJ2612" s="27">
        <f t="shared" si="761"/>
        <v>59520528.679470733</v>
      </c>
      <c r="AK2612" s="28">
        <f t="shared" si="767"/>
        <v>0.11914062257814291</v>
      </c>
      <c r="AL2612" s="24"/>
      <c r="AM2612" s="24"/>
      <c r="AN2612" s="24"/>
      <c r="AO2612" s="24"/>
      <c r="AP2612" s="28" t="str">
        <f t="shared" si="768"/>
        <v>CancelCancel</v>
      </c>
      <c r="AQ2612" s="28" t="str">
        <f t="shared" si="769"/>
        <v>CancelCancelJPY</v>
      </c>
      <c r="AR2612" s="206" t="str">
        <f t="shared" si="770"/>
        <v>YAMAHA_Non_Mounter</v>
      </c>
      <c r="AS2612" s="22" t="str">
        <f t="shared" si="771"/>
        <v/>
      </c>
      <c r="AT2612" s="24" t="str">
        <f t="shared" si="772"/>
        <v/>
      </c>
      <c r="AU2612" s="22" t="s">
        <v>3745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5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4"/>
        <v>7800000</v>
      </c>
      <c r="AA2613" s="13">
        <v>5.2900000000000003E-2</v>
      </c>
      <c r="AB2613" s="21">
        <f t="shared" si="777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0"/>
        <v>499582152.5142017</v>
      </c>
      <c r="AJ2613" s="27">
        <f t="shared" si="761"/>
        <v>59520528.679470733</v>
      </c>
      <c r="AK2613" s="28">
        <f t="shared" si="767"/>
        <v>0.11914062257814291</v>
      </c>
      <c r="AL2613" s="24"/>
      <c r="AM2613" s="24"/>
      <c r="AN2613" s="24"/>
      <c r="AO2613" s="24"/>
      <c r="AP2613" s="28" t="str">
        <f t="shared" si="768"/>
        <v>CancelCancel</v>
      </c>
      <c r="AQ2613" s="28" t="str">
        <f t="shared" si="769"/>
        <v>CancelCancelJPY</v>
      </c>
      <c r="AR2613" s="206" t="str">
        <f t="shared" si="770"/>
        <v>YAMAHA_Non_Mounter</v>
      </c>
      <c r="AS2613" s="22" t="str">
        <f t="shared" si="771"/>
        <v/>
      </c>
      <c r="AT2613" s="24" t="str">
        <f t="shared" si="772"/>
        <v/>
      </c>
      <c r="AU2613" s="22" t="s">
        <v>3745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5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4"/>
        <v>8221500</v>
      </c>
      <c r="AA2614" s="13">
        <v>6.9199999999999998E-2</v>
      </c>
      <c r="AB2614" s="21">
        <f t="shared" si="777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0"/>
        <v>26407088.359292038</v>
      </c>
      <c r="AJ2614" s="19">
        <f t="shared" si="761"/>
        <v>3424510.6998470789</v>
      </c>
      <c r="AK2614" s="20">
        <f t="shared" si="767"/>
        <v>0.12968149510667554</v>
      </c>
      <c r="AL2614" s="17"/>
      <c r="AM2614" s="17"/>
      <c r="AN2614" s="17"/>
      <c r="AO2614" s="17"/>
      <c r="AP2614" s="28" t="str">
        <f t="shared" si="768"/>
        <v>20221</v>
      </c>
      <c r="AQ2614" s="28" t="str">
        <f t="shared" si="769"/>
        <v>20221JPY</v>
      </c>
      <c r="AR2614" s="206" t="str">
        <f t="shared" si="770"/>
        <v>YAMAHA_Mounter</v>
      </c>
      <c r="AS2614" s="22">
        <f t="shared" si="771"/>
        <v>8</v>
      </c>
      <c r="AT2614" s="24" t="str">
        <f t="shared" si="772"/>
        <v>&gt; 6 months</v>
      </c>
      <c r="AU2614" s="22" t="s">
        <v>3745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5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4"/>
        <v>600000</v>
      </c>
      <c r="AA2615" s="13">
        <v>1.0900000000000001</v>
      </c>
      <c r="AB2615" s="21">
        <f t="shared" si="777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0"/>
        <v>17329060.066371687</v>
      </c>
      <c r="AJ2615" s="19">
        <f t="shared" si="761"/>
        <v>2472600.2142256643</v>
      </c>
      <c r="AK2615" s="20">
        <f t="shared" si="767"/>
        <v>0.14268518919984163</v>
      </c>
      <c r="AL2615" s="17"/>
      <c r="AM2615" s="17"/>
      <c r="AN2615" s="17"/>
      <c r="AO2615" s="17"/>
      <c r="AP2615" s="28" t="str">
        <f t="shared" si="768"/>
        <v>202212</v>
      </c>
      <c r="AQ2615" s="28" t="str">
        <f t="shared" si="769"/>
        <v>202212RMB</v>
      </c>
      <c r="AR2615" s="206" t="str">
        <f t="shared" si="770"/>
        <v>YAMAHA_Mounter</v>
      </c>
      <c r="AS2615" s="22">
        <f t="shared" si="771"/>
        <v>1</v>
      </c>
      <c r="AT2615" s="24" t="str">
        <f t="shared" si="772"/>
        <v>0-3 months</v>
      </c>
      <c r="AU2615" s="22" t="s">
        <v>3751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5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4"/>
        <v>660000</v>
      </c>
      <c r="AA2616" s="22">
        <v>1.095</v>
      </c>
      <c r="AB2616" s="21">
        <f t="shared" si="777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0"/>
        <v>10271727.486725664</v>
      </c>
      <c r="AJ2616" s="27">
        <f t="shared" si="761"/>
        <v>1227228.7260761063</v>
      </c>
      <c r="AK2616" s="28">
        <f t="shared" si="767"/>
        <v>0.11947637120066472</v>
      </c>
      <c r="AL2616" s="24"/>
      <c r="AM2616" s="24"/>
      <c r="AN2616" s="24"/>
      <c r="AO2616" s="24"/>
      <c r="AP2616" s="28" t="str">
        <f t="shared" si="768"/>
        <v>202312</v>
      </c>
      <c r="AQ2616" s="28" t="str">
        <f t="shared" si="769"/>
        <v>202312RMB</v>
      </c>
      <c r="AR2616" s="206" t="str">
        <f t="shared" si="770"/>
        <v>YAMAHA_Mounter</v>
      </c>
      <c r="AS2616" s="22">
        <f t="shared" si="771"/>
        <v>0</v>
      </c>
      <c r="AT2616" s="24" t="str">
        <f t="shared" si="772"/>
        <v>0-3 months</v>
      </c>
      <c r="AU2616" s="22" t="s">
        <v>3751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5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4"/>
        <v>39697</v>
      </c>
      <c r="AA2617" s="22">
        <v>1.075</v>
      </c>
      <c r="AB2617" s="197">
        <f t="shared" si="777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0"/>
        <v>25458266.694690265</v>
      </c>
      <c r="AJ2617" s="200">
        <f t="shared" si="761"/>
        <v>4116526.778578762</v>
      </c>
      <c r="AK2617" s="201">
        <f t="shared" si="767"/>
        <v>0.16169705612508689</v>
      </c>
      <c r="AL2617" s="24"/>
      <c r="AM2617" s="24"/>
      <c r="AN2617" s="24"/>
      <c r="AO2617" s="24"/>
      <c r="AP2617" s="105" t="str">
        <f t="shared" si="768"/>
        <v>20247</v>
      </c>
      <c r="AQ2617" s="28" t="str">
        <f t="shared" si="769"/>
        <v>20247RMB</v>
      </c>
      <c r="AR2617" s="206" t="str">
        <f t="shared" si="770"/>
        <v>SOLDERSTAR</v>
      </c>
      <c r="AS2617" s="22">
        <f t="shared" si="771"/>
        <v>1</v>
      </c>
      <c r="AT2617" s="24" t="str">
        <f t="shared" si="772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5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4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0"/>
        <v>25458266.694690265</v>
      </c>
      <c r="AJ2618" s="200">
        <f t="shared" si="761"/>
        <v>4116526.778578762</v>
      </c>
      <c r="AK2618" s="201">
        <f t="shared" si="767"/>
        <v>0.16169705612508689</v>
      </c>
      <c r="AL2618" s="24"/>
      <c r="AM2618" s="24"/>
      <c r="AN2618" s="24"/>
      <c r="AO2618" s="24"/>
      <c r="AP2618" s="105" t="str">
        <f t="shared" si="768"/>
        <v>20247</v>
      </c>
      <c r="AQ2618" s="28" t="str">
        <f t="shared" si="769"/>
        <v/>
      </c>
      <c r="AR2618" s="206" t="str">
        <f t="shared" si="770"/>
        <v>C66 SERVICE</v>
      </c>
      <c r="AS2618" s="22" t="str">
        <f t="shared" si="771"/>
        <v/>
      </c>
      <c r="AT2618" s="24" t="str">
        <f t="shared" si="772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5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4"/>
        <v>8900000</v>
      </c>
      <c r="AA2619" s="13">
        <v>5.0599999999999999E-2</v>
      </c>
      <c r="AB2619" s="21">
        <f t="shared" ref="AB2619:AB2647" si="778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0"/>
        <v>4327756</v>
      </c>
      <c r="AJ2619" s="19">
        <f t="shared" si="761"/>
        <v>519330.72</v>
      </c>
      <c r="AK2619" s="20">
        <f t="shared" si="767"/>
        <v>0.12</v>
      </c>
      <c r="AL2619" s="17"/>
      <c r="AM2619" s="17"/>
      <c r="AN2619" s="17"/>
      <c r="AO2619" s="17"/>
      <c r="AP2619" s="28" t="str">
        <f t="shared" si="768"/>
        <v>CancelCancel</v>
      </c>
      <c r="AQ2619" s="28" t="str">
        <f t="shared" si="769"/>
        <v>CancelCancelJPY</v>
      </c>
      <c r="AR2619" s="206" t="str">
        <f t="shared" si="770"/>
        <v>YAMAHA_Mounter</v>
      </c>
      <c r="AS2619" s="22" t="str">
        <f t="shared" si="771"/>
        <v/>
      </c>
      <c r="AT2619" s="24" t="str">
        <f t="shared" si="772"/>
        <v/>
      </c>
      <c r="AU2619" s="22" t="s">
        <v>3745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5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4"/>
        <v>25000000</v>
      </c>
      <c r="AA2620" s="13">
        <v>6.25E-2</v>
      </c>
      <c r="AB2620" s="21">
        <f t="shared" si="778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0"/>
        <v>35682787.057522126</v>
      </c>
      <c r="AJ2620" s="19">
        <f t="shared" si="761"/>
        <v>5833368.3789623892</v>
      </c>
      <c r="AK2620" s="20">
        <f t="shared" si="767"/>
        <v>0.16347849649632912</v>
      </c>
      <c r="AL2620" s="17"/>
      <c r="AM2620" s="17"/>
      <c r="AN2620" s="17"/>
      <c r="AO2620" s="17"/>
      <c r="AP2620" s="28" t="str">
        <f t="shared" si="768"/>
        <v>20226</v>
      </c>
      <c r="AQ2620" s="28" t="str">
        <f t="shared" si="769"/>
        <v>20226JPY</v>
      </c>
      <c r="AR2620" s="206" t="str">
        <f t="shared" si="770"/>
        <v>YAMAHA_Mounter</v>
      </c>
      <c r="AS2620" s="22">
        <f t="shared" si="771"/>
        <v>3</v>
      </c>
      <c r="AT2620" s="24" t="str">
        <f t="shared" si="772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5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4"/>
        <v>6700000</v>
      </c>
      <c r="AA2621" s="13">
        <v>6.25E-2</v>
      </c>
      <c r="AB2621" s="21">
        <f t="shared" si="778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0"/>
        <v>35682787.057522126</v>
      </c>
      <c r="AJ2621" s="19">
        <f t="shared" si="761"/>
        <v>5833368.3789623892</v>
      </c>
      <c r="AK2621" s="20">
        <f t="shared" si="767"/>
        <v>0.16347849649632912</v>
      </c>
      <c r="AL2621" s="17"/>
      <c r="AM2621" s="17"/>
      <c r="AN2621" s="17"/>
      <c r="AO2621" s="17"/>
      <c r="AP2621" s="28" t="str">
        <f t="shared" si="768"/>
        <v>20226</v>
      </c>
      <c r="AQ2621" s="28" t="str">
        <f t="shared" si="769"/>
        <v>20226JPY</v>
      </c>
      <c r="AR2621" s="206" t="str">
        <f t="shared" si="770"/>
        <v>YAMAHA_Non_Mounter</v>
      </c>
      <c r="AS2621" s="22">
        <f t="shared" si="771"/>
        <v>3</v>
      </c>
      <c r="AT2621" s="24" t="str">
        <f t="shared" si="772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5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4"/>
        <v>12800000</v>
      </c>
      <c r="AA2622" s="13">
        <v>6.25E-2</v>
      </c>
      <c r="AB2622" s="21">
        <f t="shared" si="778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0"/>
        <v>35682787.057522126</v>
      </c>
      <c r="AJ2622" s="19">
        <f t="shared" si="761"/>
        <v>5833368.3789623892</v>
      </c>
      <c r="AK2622" s="20">
        <f t="shared" si="767"/>
        <v>0.16347849649632912</v>
      </c>
      <c r="AL2622" s="17"/>
      <c r="AM2622" s="17"/>
      <c r="AN2622" s="17"/>
      <c r="AO2622" s="17"/>
      <c r="AP2622" s="28" t="str">
        <f t="shared" si="768"/>
        <v>20226</v>
      </c>
      <c r="AQ2622" s="28" t="str">
        <f t="shared" si="769"/>
        <v>20226JPY</v>
      </c>
      <c r="AR2622" s="206" t="str">
        <f t="shared" si="770"/>
        <v>YAMAHA_Non_Mounter</v>
      </c>
      <c r="AS2622" s="22">
        <f t="shared" si="771"/>
        <v>3</v>
      </c>
      <c r="AT2622" s="24" t="str">
        <f t="shared" si="772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5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4"/>
        <v>57000</v>
      </c>
      <c r="AA2623" s="13">
        <v>7.8</v>
      </c>
      <c r="AB2623" s="21">
        <f t="shared" si="778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0"/>
        <v>35682787.057522126</v>
      </c>
      <c r="AJ2623" s="19">
        <f t="shared" si="761"/>
        <v>5833368.3789623892</v>
      </c>
      <c r="AK2623" s="20">
        <f t="shared" si="767"/>
        <v>0.16347849649632912</v>
      </c>
      <c r="AL2623" s="17"/>
      <c r="AM2623" s="17"/>
      <c r="AN2623" s="17"/>
      <c r="AO2623" s="17"/>
      <c r="AP2623" s="28" t="str">
        <f t="shared" si="768"/>
        <v>20226</v>
      </c>
      <c r="AQ2623" s="28" t="str">
        <f t="shared" si="769"/>
        <v>20226USD</v>
      </c>
      <c r="AR2623" s="206" t="str">
        <f t="shared" si="770"/>
        <v>HELLER</v>
      </c>
      <c r="AS2623" s="22">
        <f t="shared" si="771"/>
        <v>3</v>
      </c>
      <c r="AT2623" s="24" t="str">
        <f t="shared" si="772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5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4"/>
        <v>11820000</v>
      </c>
      <c r="AA2624" s="13">
        <v>7.2099999999999997E-2</v>
      </c>
      <c r="AB2624" s="21">
        <f t="shared" si="778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0"/>
        <v>26754147.763010349</v>
      </c>
      <c r="AJ2624" s="19">
        <f t="shared" si="761"/>
        <v>3429137.9965357962</v>
      </c>
      <c r="AK2624" s="20">
        <f t="shared" si="767"/>
        <v>0.12817220069617921</v>
      </c>
      <c r="AL2624" s="17"/>
      <c r="AM2624" s="17"/>
      <c r="AN2624" s="17"/>
      <c r="AO2624" s="17"/>
      <c r="AP2624" s="28" t="str">
        <f t="shared" si="768"/>
        <v>20188</v>
      </c>
      <c r="AQ2624" s="28" t="str">
        <f t="shared" si="769"/>
        <v>20188JPY</v>
      </c>
      <c r="AR2624" s="206" t="str">
        <f t="shared" si="770"/>
        <v>YAMAHA_Mounter</v>
      </c>
      <c r="AS2624" s="22">
        <f t="shared" si="771"/>
        <v>8</v>
      </c>
      <c r="AT2624" s="24" t="str">
        <f t="shared" si="772"/>
        <v>&gt; 6 months</v>
      </c>
      <c r="AU2624" s="22" t="s">
        <v>3746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5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4"/>
        <v>11000000</v>
      </c>
      <c r="AA2625" s="13">
        <v>7.0199999999999999E-2</v>
      </c>
      <c r="AB2625" s="21">
        <f t="shared" si="778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0"/>
        <v>10786543.370020689</v>
      </c>
      <c r="AJ2625" s="19">
        <f t="shared" si="761"/>
        <v>1330367.5841569281</v>
      </c>
      <c r="AK2625" s="20">
        <f t="shared" si="767"/>
        <v>0.123335858255987</v>
      </c>
      <c r="AL2625" s="17"/>
      <c r="AM2625" s="17"/>
      <c r="AN2625" s="17"/>
      <c r="AO2625" s="17"/>
      <c r="AP2625" s="28" t="str">
        <f t="shared" si="768"/>
        <v>201810</v>
      </c>
      <c r="AQ2625" s="28" t="str">
        <f t="shared" si="769"/>
        <v>201810JPY</v>
      </c>
      <c r="AR2625" s="206" t="str">
        <f t="shared" si="770"/>
        <v>YAMAHA_Mounter</v>
      </c>
      <c r="AS2625" s="22">
        <f t="shared" si="771"/>
        <v>2</v>
      </c>
      <c r="AT2625" s="24" t="str">
        <f t="shared" si="772"/>
        <v>0-3 months</v>
      </c>
      <c r="AU2625" s="22" t="s">
        <v>3746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5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4"/>
        <v>500000</v>
      </c>
      <c r="AA2626" s="13">
        <v>1.155</v>
      </c>
      <c r="AB2626" s="21">
        <f t="shared" si="778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79">IF(P2626="C66 SERVICE","",SUMIFS(AB:AB,F:F,F2626,G:G,G2626,E:E,E2626))</f>
        <v>44078731.611185849</v>
      </c>
      <c r="AJ2626" s="19">
        <f t="shared" ref="AJ2626:AJ2689" si="780">IF(P2626="C66 SERVICE","",SUMIFS(AC:AC,F:F,F2626,G:G,G2626,E:E,E2626))</f>
        <v>5508173.2163771465</v>
      </c>
      <c r="AK2626" s="20">
        <f t="shared" si="767"/>
        <v>0.12496215328889679</v>
      </c>
      <c r="AL2626" s="17"/>
      <c r="AM2626" s="17"/>
      <c r="AN2626" s="17"/>
      <c r="AO2626" s="17"/>
      <c r="AP2626" s="28" t="str">
        <f t="shared" si="768"/>
        <v>202011</v>
      </c>
      <c r="AQ2626" s="28" t="str">
        <f t="shared" si="769"/>
        <v>202011RMB</v>
      </c>
      <c r="AR2626" s="206" t="str">
        <f t="shared" si="770"/>
        <v>YAMAHA_Mounter</v>
      </c>
      <c r="AS2626" s="22">
        <f t="shared" si="771"/>
        <v>3</v>
      </c>
      <c r="AT2626" s="24" t="str">
        <f t="shared" si="772"/>
        <v>0-3 months</v>
      </c>
      <c r="AU2626" s="22" t="s">
        <v>3744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5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4"/>
        <v>11000000</v>
      </c>
      <c r="AA2627" s="13">
        <v>7.0199999999999999E-2</v>
      </c>
      <c r="AB2627" s="21">
        <f t="shared" si="778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79"/>
        <v>499582152.5142017</v>
      </c>
      <c r="AJ2627" s="19">
        <f t="shared" si="780"/>
        <v>59520528.679470733</v>
      </c>
      <c r="AK2627" s="20">
        <f t="shared" si="767"/>
        <v>0.11914062257814291</v>
      </c>
      <c r="AL2627" s="17"/>
      <c r="AM2627" s="17"/>
      <c r="AN2627" s="17"/>
      <c r="AO2627" s="17"/>
      <c r="AP2627" s="28" t="str">
        <f t="shared" si="768"/>
        <v>CancelCancel</v>
      </c>
      <c r="AQ2627" s="28" t="str">
        <f t="shared" si="769"/>
        <v>CancelCancelJPY</v>
      </c>
      <c r="AR2627" s="206" t="str">
        <f t="shared" si="770"/>
        <v>YAMAHA_Mounter</v>
      </c>
      <c r="AS2627" s="22" t="str">
        <f t="shared" si="771"/>
        <v/>
      </c>
      <c r="AT2627" s="24" t="str">
        <f t="shared" si="772"/>
        <v/>
      </c>
      <c r="AU2627" s="22" t="s">
        <v>3746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5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4"/>
        <v>10100000</v>
      </c>
      <c r="AA2628" s="13">
        <v>7.0000000000000007E-2</v>
      </c>
      <c r="AB2628" s="21">
        <f t="shared" si="778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79"/>
        <v>29500529.005044252</v>
      </c>
      <c r="AJ2628" s="19">
        <f t="shared" si="780"/>
        <v>3253064.846231177</v>
      </c>
      <c r="AK2628" s="20">
        <f t="shared" si="767"/>
        <v>0.11027140718984871</v>
      </c>
      <c r="AL2628" s="17"/>
      <c r="AM2628" s="17"/>
      <c r="AN2628" s="17"/>
      <c r="AO2628" s="17"/>
      <c r="AP2628" s="28" t="str">
        <f t="shared" si="768"/>
        <v>202111</v>
      </c>
      <c r="AQ2628" s="28" t="str">
        <f t="shared" si="769"/>
        <v>202111JPY</v>
      </c>
      <c r="AR2628" s="206" t="str">
        <f t="shared" si="770"/>
        <v>YAMAHA_Mounter</v>
      </c>
      <c r="AS2628" s="22">
        <f t="shared" si="771"/>
        <v>8</v>
      </c>
      <c r="AT2628" s="24" t="str">
        <f t="shared" si="772"/>
        <v>&gt; 6 months</v>
      </c>
      <c r="AU2628" s="22" t="s">
        <v>3745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5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4"/>
        <v>420000</v>
      </c>
      <c r="AA2629" s="13">
        <v>1.0920000000000001</v>
      </c>
      <c r="AB2629" s="21">
        <f t="shared" si="778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79"/>
        <v>22953677.784070797</v>
      </c>
      <c r="AJ2629" s="19">
        <f t="shared" si="780"/>
        <v>4168706.6744155753</v>
      </c>
      <c r="AK2629" s="20">
        <f t="shared" si="767"/>
        <v>0.18161388835511752</v>
      </c>
      <c r="AL2629" s="17"/>
      <c r="AM2629" s="17"/>
      <c r="AN2629" s="17"/>
      <c r="AO2629" s="17"/>
      <c r="AP2629" s="28" t="str">
        <f t="shared" si="768"/>
        <v>20238</v>
      </c>
      <c r="AQ2629" s="28" t="str">
        <f t="shared" si="769"/>
        <v>20238RMB</v>
      </c>
      <c r="AR2629" s="206" t="str">
        <f t="shared" si="770"/>
        <v>YAMAHA_Mounter</v>
      </c>
      <c r="AS2629" s="22">
        <f t="shared" si="771"/>
        <v>1</v>
      </c>
      <c r="AT2629" s="24" t="str">
        <f t="shared" si="772"/>
        <v>0-3 months</v>
      </c>
      <c r="AU2629" s="22" t="s">
        <v>3751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5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4"/>
        <v>785000</v>
      </c>
      <c r="AA2630" s="13">
        <v>1.095</v>
      </c>
      <c r="AB2630" s="21">
        <f t="shared" si="778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79"/>
        <v>37599388.802345134</v>
      </c>
      <c r="AJ2630" s="19">
        <f t="shared" si="780"/>
        <v>4866784.3630338367</v>
      </c>
      <c r="AK2630" s="20">
        <f t="shared" ref="AK2630:AK2693" si="786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7">IF(F2630="","",F2630&amp;G2630)</f>
        <v>20199</v>
      </c>
      <c r="AQ2630" s="28" t="str">
        <f t="shared" ref="AQ2630:AQ2693" si="788">IF(W2630="","",F2630&amp;G2630&amp;W2630)</f>
        <v>20199RMB</v>
      </c>
      <c r="AR2630" s="206" t="str">
        <f t="shared" ref="AR2630:AR2693" si="789">IFERROR(IF(AND(M2630="YAMAHA", R2630="C28"), "YAMAHA_Non_Mounter", IF(AND(M2630="YAMAHA", R2630="C49"), "YAMAHA_Mounter", M2630)),"")</f>
        <v>YAMAHA_Mounter</v>
      </c>
      <c r="AS2630" s="22">
        <f t="shared" ref="AS2630:AS2693" si="790">IFERROR(IF(OR(G2630="TBA", G2630=""), "", DATEDIF(DATE(B2630, C2630, 1), DATE(F2630, G2630, 1), "M")),"")</f>
        <v>1</v>
      </c>
      <c r="AT2630" s="24" t="str">
        <f t="shared" ref="AT2630:AT2693" si="791">IF(ISNUMBER(AS2630), IF(AS2630&gt;=0, IF(AS2630&lt;=3, "0-3 months", IF(AS2630&lt;=6, "4-6 months", "&gt; 6 months"))), "")</f>
        <v>0-3 months</v>
      </c>
      <c r="AU2630" s="22" t="s">
        <v>3744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5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4"/>
        <v>590000</v>
      </c>
      <c r="AA2631" s="13">
        <v>1.095</v>
      </c>
      <c r="AB2631" s="21">
        <f t="shared" si="778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79"/>
        <v>35384300.169380538</v>
      </c>
      <c r="AJ2631" s="19">
        <f t="shared" si="780"/>
        <v>5044538.8896988509</v>
      </c>
      <c r="AK2631" s="20">
        <f t="shared" si="786"/>
        <v>0.14256432557804533</v>
      </c>
      <c r="AL2631" s="17"/>
      <c r="AM2631" s="17"/>
      <c r="AN2631" s="17"/>
      <c r="AO2631" s="17"/>
      <c r="AP2631" s="28" t="str">
        <f t="shared" si="787"/>
        <v>20207</v>
      </c>
      <c r="AQ2631" s="28" t="str">
        <f t="shared" si="788"/>
        <v>20207RMB</v>
      </c>
      <c r="AR2631" s="206" t="str">
        <f t="shared" si="789"/>
        <v>YAMAHA_Mounter</v>
      </c>
      <c r="AS2631" s="22">
        <f t="shared" si="790"/>
        <v>1</v>
      </c>
      <c r="AT2631" s="24" t="str">
        <f t="shared" si="791"/>
        <v>0-3 months</v>
      </c>
      <c r="AU2631" s="22" t="s">
        <v>3744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5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4"/>
        <v>530000</v>
      </c>
      <c r="AA2632" s="13">
        <v>1.095</v>
      </c>
      <c r="AB2632" s="21">
        <f t="shared" si="778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79"/>
        <v>33477255.428389374</v>
      </c>
      <c r="AJ2632" s="19">
        <f t="shared" si="780"/>
        <v>4578663.362915583</v>
      </c>
      <c r="AK2632" s="20">
        <f t="shared" si="786"/>
        <v>0.13676937682988152</v>
      </c>
      <c r="AL2632" s="17"/>
      <c r="AM2632" s="17"/>
      <c r="AN2632" s="17"/>
      <c r="AO2632" s="17"/>
      <c r="AP2632" s="28" t="str">
        <f t="shared" si="787"/>
        <v>20204</v>
      </c>
      <c r="AQ2632" s="28" t="str">
        <f t="shared" si="788"/>
        <v>20204RMB</v>
      </c>
      <c r="AR2632" s="206" t="str">
        <f t="shared" si="789"/>
        <v>YAMAHA_Mounter</v>
      </c>
      <c r="AS2632" s="22">
        <f t="shared" si="790"/>
        <v>0</v>
      </c>
      <c r="AT2632" s="24" t="str">
        <f t="shared" si="791"/>
        <v>0-3 months</v>
      </c>
      <c r="AU2632" s="22" t="s">
        <v>3744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5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4"/>
        <v>500000</v>
      </c>
      <c r="AA2633" s="13">
        <v>1.18</v>
      </c>
      <c r="AB2633" s="21">
        <f t="shared" si="778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79"/>
        <v>43684091.636631854</v>
      </c>
      <c r="AJ2633" s="19">
        <f t="shared" si="780"/>
        <v>6483951.8242071122</v>
      </c>
      <c r="AK2633" s="20">
        <f t="shared" si="786"/>
        <v>0.14842821680123736</v>
      </c>
      <c r="AL2633" s="17"/>
      <c r="AM2633" s="17"/>
      <c r="AN2633" s="17"/>
      <c r="AO2633" s="17"/>
      <c r="AP2633" s="28" t="str">
        <f t="shared" si="787"/>
        <v>20214</v>
      </c>
      <c r="AQ2633" s="28" t="str">
        <f t="shared" si="788"/>
        <v>20214RMB</v>
      </c>
      <c r="AR2633" s="206" t="str">
        <f t="shared" si="789"/>
        <v>YAMAHA_Mounter</v>
      </c>
      <c r="AS2633" s="22">
        <f t="shared" si="790"/>
        <v>2</v>
      </c>
      <c r="AT2633" s="24" t="str">
        <f t="shared" si="791"/>
        <v>0-3 months</v>
      </c>
      <c r="AU2633" s="22" t="s">
        <v>3744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5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2">IF(X2634="","",X2634*MAX(O2634,N2634))</f>
        <v>475000</v>
      </c>
      <c r="AA2634" s="13">
        <v>1.163</v>
      </c>
      <c r="AB2634" s="21">
        <f t="shared" si="778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79"/>
        <v>35073581.838938057</v>
      </c>
      <c r="AJ2634" s="19">
        <f t="shared" si="780"/>
        <v>5034113.9728989396</v>
      </c>
      <c r="AK2634" s="20">
        <f t="shared" si="786"/>
        <v>0.14353007902118958</v>
      </c>
      <c r="AL2634" s="17"/>
      <c r="AM2634" s="17"/>
      <c r="AN2634" s="17"/>
      <c r="AO2634" s="17"/>
      <c r="AP2634" s="28" t="str">
        <f t="shared" si="787"/>
        <v>20228</v>
      </c>
      <c r="AQ2634" s="28" t="str">
        <f t="shared" si="788"/>
        <v>20228RMB</v>
      </c>
      <c r="AR2634" s="206" t="str">
        <f t="shared" si="789"/>
        <v>YAMAHA_Mounter</v>
      </c>
      <c r="AS2634" s="22">
        <f t="shared" si="790"/>
        <v>1</v>
      </c>
      <c r="AT2634" s="24" t="str">
        <f t="shared" si="791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5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2"/>
        <v>475000</v>
      </c>
      <c r="AA2635" s="13">
        <v>1.135</v>
      </c>
      <c r="AB2635" s="21">
        <f t="shared" si="778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79"/>
        <v>15948576.102654871</v>
      </c>
      <c r="AJ2635" s="19">
        <f t="shared" si="780"/>
        <v>2739848.7004853105</v>
      </c>
      <c r="AK2635" s="20">
        <f t="shared" si="786"/>
        <v>0.17179268436567344</v>
      </c>
      <c r="AL2635" s="17"/>
      <c r="AM2635" s="17"/>
      <c r="AN2635" s="17"/>
      <c r="AO2635" s="17"/>
      <c r="AP2635" s="28" t="str">
        <f t="shared" si="787"/>
        <v>20229</v>
      </c>
      <c r="AQ2635" s="28" t="str">
        <f t="shared" si="788"/>
        <v>20229RMB</v>
      </c>
      <c r="AR2635" s="206" t="str">
        <f t="shared" si="789"/>
        <v>YAMAHA_Mounter</v>
      </c>
      <c r="AS2635" s="22">
        <f t="shared" si="790"/>
        <v>2</v>
      </c>
      <c r="AT2635" s="24" t="str">
        <f t="shared" si="791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5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2"/>
        <v>18000000</v>
      </c>
      <c r="AA2636" s="13">
        <v>5.5399999999999998E-2</v>
      </c>
      <c r="AB2636" s="21">
        <f t="shared" si="778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79"/>
        <v>22717528.991150443</v>
      </c>
      <c r="AJ2636" s="19">
        <f t="shared" si="780"/>
        <v>3947747.192555753</v>
      </c>
      <c r="AK2636" s="20">
        <f t="shared" si="786"/>
        <v>0.1737753782153679</v>
      </c>
      <c r="AL2636" s="17"/>
      <c r="AM2636" s="17"/>
      <c r="AN2636" s="17"/>
      <c r="AO2636" s="17"/>
      <c r="AP2636" s="28" t="str">
        <f t="shared" si="787"/>
        <v>202210</v>
      </c>
      <c r="AQ2636" s="28" t="str">
        <f t="shared" si="788"/>
        <v>202210JPY</v>
      </c>
      <c r="AR2636" s="206" t="str">
        <f t="shared" si="789"/>
        <v>YAMAHA_Mounter</v>
      </c>
      <c r="AS2636" s="22">
        <f t="shared" si="790"/>
        <v>0</v>
      </c>
      <c r="AT2636" s="24" t="str">
        <f t="shared" si="791"/>
        <v>0-3 months</v>
      </c>
      <c r="AU2636" s="22" t="s">
        <v>3745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5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2"/>
        <v>11500000</v>
      </c>
      <c r="AA2637" s="13">
        <v>5.5399999999999998E-2</v>
      </c>
      <c r="AB2637" s="21">
        <f t="shared" si="778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79"/>
        <v>22717528.991150443</v>
      </c>
      <c r="AJ2637" s="19">
        <f t="shared" si="780"/>
        <v>3947747.192555753</v>
      </c>
      <c r="AK2637" s="20">
        <f t="shared" si="786"/>
        <v>0.1737753782153679</v>
      </c>
      <c r="AL2637" s="17"/>
      <c r="AM2637" s="17"/>
      <c r="AN2637" s="17"/>
      <c r="AO2637" s="17"/>
      <c r="AP2637" s="28" t="str">
        <f t="shared" si="787"/>
        <v>202210</v>
      </c>
      <c r="AQ2637" s="28" t="str">
        <f t="shared" si="788"/>
        <v>202210JPY</v>
      </c>
      <c r="AR2637" s="206" t="str">
        <f t="shared" si="789"/>
        <v>YAMAHA_Mounter</v>
      </c>
      <c r="AS2637" s="22">
        <f t="shared" si="790"/>
        <v>0</v>
      </c>
      <c r="AT2637" s="24" t="str">
        <f t="shared" si="791"/>
        <v>0-3 months</v>
      </c>
      <c r="AU2637" s="22" t="s">
        <v>3745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5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2"/>
        <v>1600000</v>
      </c>
      <c r="AA2638" s="13">
        <v>1.135</v>
      </c>
      <c r="AB2638" s="21">
        <f t="shared" si="778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79"/>
        <v>28011162.254106201</v>
      </c>
      <c r="AJ2638" s="19">
        <f t="shared" si="780"/>
        <v>3401347.1124888416</v>
      </c>
      <c r="AK2638" s="20">
        <f t="shared" si="786"/>
        <v>0.12142827497242578</v>
      </c>
      <c r="AL2638" s="17"/>
      <c r="AM2638" s="17"/>
      <c r="AN2638" s="17"/>
      <c r="AO2638" s="17"/>
      <c r="AP2638" s="28" t="str">
        <f t="shared" si="787"/>
        <v>202010</v>
      </c>
      <c r="AQ2638" s="28" t="str">
        <f t="shared" si="788"/>
        <v>202010RMB</v>
      </c>
      <c r="AR2638" s="206" t="str">
        <f t="shared" si="789"/>
        <v>YAMAHA_Mounter</v>
      </c>
      <c r="AS2638" s="22">
        <f t="shared" si="790"/>
        <v>3</v>
      </c>
      <c r="AT2638" s="24" t="str">
        <f t="shared" si="791"/>
        <v>0-3 months</v>
      </c>
      <c r="AU2638" s="22" t="s">
        <v>3751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5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3">IF(W2639="RMB","1.13", "1")</f>
        <v>1</v>
      </c>
      <c r="Z2639" s="18">
        <f t="shared" si="792"/>
        <v>14500000</v>
      </c>
      <c r="AA2639" s="13">
        <v>6.9199999999999998E-2</v>
      </c>
      <c r="AB2639" s="21">
        <f t="shared" si="778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79"/>
        <v>31750699.113741599</v>
      </c>
      <c r="AJ2639" s="19">
        <f t="shared" si="780"/>
        <v>4396077.3195289988</v>
      </c>
      <c r="AK2639" s="20">
        <f t="shared" si="786"/>
        <v>0.13845607946397598</v>
      </c>
      <c r="AL2639" s="17"/>
      <c r="AM2639" s="17"/>
      <c r="AN2639" s="17"/>
      <c r="AO2639" s="17"/>
      <c r="AP2639" s="28" t="str">
        <f t="shared" si="787"/>
        <v>20222</v>
      </c>
      <c r="AQ2639" s="28" t="str">
        <f t="shared" si="788"/>
        <v>20222JPY</v>
      </c>
      <c r="AR2639" s="206" t="str">
        <f t="shared" si="789"/>
        <v>YAMAHA_Mounter</v>
      </c>
      <c r="AS2639" s="22">
        <f t="shared" si="790"/>
        <v>3</v>
      </c>
      <c r="AT2639" s="24" t="str">
        <f t="shared" si="791"/>
        <v>0-3 months</v>
      </c>
      <c r="AU2639" s="22" t="s">
        <v>3745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5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3"/>
        <v>1</v>
      </c>
      <c r="Z2640" s="18">
        <f t="shared" si="792"/>
        <v>14500000</v>
      </c>
      <c r="AA2640" s="13">
        <v>6.9199999999999998E-2</v>
      </c>
      <c r="AB2640" s="21">
        <f t="shared" si="778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79"/>
        <v>31750699.113741599</v>
      </c>
      <c r="AJ2640" s="19">
        <f t="shared" si="780"/>
        <v>4396077.3195289988</v>
      </c>
      <c r="AK2640" s="20">
        <f t="shared" si="786"/>
        <v>0.13845607946397598</v>
      </c>
      <c r="AL2640" s="17"/>
      <c r="AM2640" s="17"/>
      <c r="AN2640" s="17"/>
      <c r="AO2640" s="17"/>
      <c r="AP2640" s="28" t="str">
        <f t="shared" si="787"/>
        <v>20222</v>
      </c>
      <c r="AQ2640" s="28" t="str">
        <f t="shared" si="788"/>
        <v>20222JPY</v>
      </c>
      <c r="AR2640" s="206" t="str">
        <f t="shared" si="789"/>
        <v>YAMAHA_Mounter</v>
      </c>
      <c r="AS2640" s="22">
        <f t="shared" si="790"/>
        <v>3</v>
      </c>
      <c r="AT2640" s="24" t="str">
        <f t="shared" si="791"/>
        <v>0-3 months</v>
      </c>
      <c r="AU2640" s="22" t="s">
        <v>3745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5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3"/>
        <v>1</v>
      </c>
      <c r="Z2641" s="18">
        <f t="shared" si="792"/>
        <v>10000000</v>
      </c>
      <c r="AA2641" s="13">
        <v>6.9199999999999998E-2</v>
      </c>
      <c r="AB2641" s="21">
        <f t="shared" si="778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79"/>
        <v>31750699.113741599</v>
      </c>
      <c r="AJ2641" s="19">
        <f t="shared" si="780"/>
        <v>4396077.3195289988</v>
      </c>
      <c r="AK2641" s="20">
        <f t="shared" si="786"/>
        <v>0.13845607946397598</v>
      </c>
      <c r="AL2641" s="17"/>
      <c r="AM2641" s="17"/>
      <c r="AN2641" s="17"/>
      <c r="AO2641" s="17"/>
      <c r="AP2641" s="28" t="str">
        <f t="shared" si="787"/>
        <v>20222</v>
      </c>
      <c r="AQ2641" s="28" t="str">
        <f t="shared" si="788"/>
        <v>20222JPY</v>
      </c>
      <c r="AR2641" s="206" t="str">
        <f t="shared" si="789"/>
        <v>YAMAHA_Mounter</v>
      </c>
      <c r="AS2641" s="22">
        <f t="shared" si="790"/>
        <v>3</v>
      </c>
      <c r="AT2641" s="24" t="str">
        <f t="shared" si="791"/>
        <v>0-3 months</v>
      </c>
      <c r="AU2641" s="22" t="s">
        <v>3745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5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3"/>
        <v>1</v>
      </c>
      <c r="Z2642" s="18">
        <f t="shared" si="792"/>
        <v>15000000</v>
      </c>
      <c r="AA2642" s="13">
        <v>5.3400000000000003E-2</v>
      </c>
      <c r="AB2642" s="21">
        <f t="shared" si="778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79"/>
        <v>499582152.5142017</v>
      </c>
      <c r="AJ2642" s="19">
        <f t="shared" si="780"/>
        <v>59520528.679470733</v>
      </c>
      <c r="AK2642" s="20">
        <f t="shared" si="786"/>
        <v>0.11914062257814291</v>
      </c>
      <c r="AL2642" s="17"/>
      <c r="AM2642" s="17"/>
      <c r="AN2642" s="17"/>
      <c r="AO2642" s="17"/>
      <c r="AP2642" s="28" t="str">
        <f t="shared" si="787"/>
        <v>CancelCancel</v>
      </c>
      <c r="AQ2642" s="28" t="str">
        <f t="shared" si="788"/>
        <v>CancelCancelJPY</v>
      </c>
      <c r="AR2642" s="206" t="str">
        <f t="shared" si="789"/>
        <v>YAMAHA_Mounter</v>
      </c>
      <c r="AS2642" s="22" t="str">
        <f t="shared" si="790"/>
        <v/>
      </c>
      <c r="AT2642" s="24" t="str">
        <f t="shared" si="791"/>
        <v/>
      </c>
      <c r="AU2642" s="22" t="s">
        <v>3745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5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3"/>
        <v>1</v>
      </c>
      <c r="Z2643" s="18">
        <f t="shared" si="792"/>
        <v>15000000</v>
      </c>
      <c r="AA2643" s="13">
        <v>5.3400000000000003E-2</v>
      </c>
      <c r="AB2643" s="21">
        <f t="shared" si="778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79"/>
        <v>499582152.5142017</v>
      </c>
      <c r="AJ2643" s="19">
        <f t="shared" si="780"/>
        <v>59520528.679470733</v>
      </c>
      <c r="AK2643" s="20">
        <f t="shared" si="786"/>
        <v>0.11914062257814291</v>
      </c>
      <c r="AL2643" s="17"/>
      <c r="AM2643" s="17"/>
      <c r="AN2643" s="17"/>
      <c r="AO2643" s="17"/>
      <c r="AP2643" s="28" t="str">
        <f t="shared" si="787"/>
        <v>CancelCancel</v>
      </c>
      <c r="AQ2643" s="28" t="str">
        <f t="shared" si="788"/>
        <v>CancelCancelJPY</v>
      </c>
      <c r="AR2643" s="206" t="str">
        <f t="shared" si="789"/>
        <v>YAMAHA_Mounter</v>
      </c>
      <c r="AS2643" s="22" t="str">
        <f t="shared" si="790"/>
        <v/>
      </c>
      <c r="AT2643" s="24" t="str">
        <f t="shared" si="791"/>
        <v/>
      </c>
      <c r="AU2643" s="22" t="s">
        <v>3745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5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3"/>
        <v>1</v>
      </c>
      <c r="Z2644" s="18">
        <f t="shared" si="792"/>
        <v>15000000</v>
      </c>
      <c r="AA2644" s="13">
        <v>5.3400000000000003E-2</v>
      </c>
      <c r="AB2644" s="21">
        <f t="shared" si="778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79"/>
        <v>11730565.00042478</v>
      </c>
      <c r="AJ2644" s="19">
        <f t="shared" si="780"/>
        <v>1439625.5685810833</v>
      </c>
      <c r="AK2644" s="20">
        <f t="shared" si="786"/>
        <v>0.12272431622253084</v>
      </c>
      <c r="AL2644" s="17"/>
      <c r="AM2644" s="17"/>
      <c r="AN2644" s="17"/>
      <c r="AO2644" s="17"/>
      <c r="AP2644" s="28" t="str">
        <f t="shared" si="787"/>
        <v>202311</v>
      </c>
      <c r="AQ2644" s="28" t="str">
        <f t="shared" si="788"/>
        <v>202311JPY</v>
      </c>
      <c r="AR2644" s="206" t="str">
        <f t="shared" si="789"/>
        <v>YAMAHA_Mounter</v>
      </c>
      <c r="AS2644" s="22">
        <f t="shared" si="790"/>
        <v>4</v>
      </c>
      <c r="AT2644" s="24" t="str">
        <f t="shared" si="791"/>
        <v>4-6 months</v>
      </c>
      <c r="AU2644" s="22" t="s">
        <v>3745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5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3"/>
        <v>1</v>
      </c>
      <c r="Z2645" s="18">
        <f t="shared" si="792"/>
        <v>15000000</v>
      </c>
      <c r="AA2645" s="13">
        <v>5.3400000000000003E-2</v>
      </c>
      <c r="AB2645" s="21">
        <f t="shared" si="778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79"/>
        <v>11730565.00042478</v>
      </c>
      <c r="AJ2645" s="19">
        <f t="shared" si="780"/>
        <v>1439625.5685810833</v>
      </c>
      <c r="AK2645" s="20">
        <f t="shared" si="786"/>
        <v>0.12272431622253084</v>
      </c>
      <c r="AL2645" s="17"/>
      <c r="AM2645" s="17"/>
      <c r="AN2645" s="17"/>
      <c r="AO2645" s="17"/>
      <c r="AP2645" s="28" t="str">
        <f t="shared" si="787"/>
        <v>202311</v>
      </c>
      <c r="AQ2645" s="28" t="str">
        <f t="shared" si="788"/>
        <v>202311JPY</v>
      </c>
      <c r="AR2645" s="206" t="str">
        <f t="shared" si="789"/>
        <v>YAMAHA_Mounter</v>
      </c>
      <c r="AS2645" s="22">
        <f t="shared" si="790"/>
        <v>4</v>
      </c>
      <c r="AT2645" s="24" t="str">
        <f t="shared" si="791"/>
        <v>4-6 months</v>
      </c>
      <c r="AU2645" s="22" t="s">
        <v>3745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4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3"/>
        <v>1</v>
      </c>
      <c r="Z2646" s="18">
        <f t="shared" si="792"/>
        <v>15000000</v>
      </c>
      <c r="AA2646" s="13">
        <v>5.4199999999999998E-2</v>
      </c>
      <c r="AB2646" s="21">
        <f t="shared" si="778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79"/>
        <v>499582152.5142017</v>
      </c>
      <c r="AJ2646" s="19">
        <f t="shared" si="780"/>
        <v>59520528.679470733</v>
      </c>
      <c r="AK2646" s="20">
        <f t="shared" si="786"/>
        <v>0.11914062257814291</v>
      </c>
      <c r="AL2646" s="17"/>
      <c r="AM2646" s="17"/>
      <c r="AN2646" s="17"/>
      <c r="AO2646" s="17"/>
      <c r="AP2646" s="28" t="str">
        <f t="shared" si="787"/>
        <v>CancelCancel</v>
      </c>
      <c r="AQ2646" s="28" t="str">
        <f t="shared" si="788"/>
        <v>CancelCancelJPY</v>
      </c>
      <c r="AR2646" s="206" t="str">
        <f t="shared" si="789"/>
        <v>YAMAHA_Mounter</v>
      </c>
      <c r="AS2646" s="22" t="str">
        <f t="shared" si="790"/>
        <v/>
      </c>
      <c r="AT2646" s="24" t="str">
        <f t="shared" si="791"/>
        <v/>
      </c>
      <c r="AU2646" s="22" t="s">
        <v>3745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4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3"/>
        <v>1</v>
      </c>
      <c r="Z2647" s="18">
        <f t="shared" si="792"/>
        <v>15000000</v>
      </c>
      <c r="AA2647" s="13">
        <v>5.4199999999999998E-2</v>
      </c>
      <c r="AB2647" s="21">
        <f t="shared" si="778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79"/>
        <v>499582152.5142017</v>
      </c>
      <c r="AJ2647" s="19">
        <f t="shared" si="780"/>
        <v>59520528.679470733</v>
      </c>
      <c r="AK2647" s="20">
        <f t="shared" si="786"/>
        <v>0.11914062257814291</v>
      </c>
      <c r="AL2647" s="17"/>
      <c r="AM2647" s="17"/>
      <c r="AN2647" s="17"/>
      <c r="AO2647" s="17"/>
      <c r="AP2647" s="28" t="str">
        <f t="shared" si="787"/>
        <v>CancelCancel</v>
      </c>
      <c r="AQ2647" s="28" t="str">
        <f t="shared" si="788"/>
        <v>CancelCancelJPY</v>
      </c>
      <c r="AR2647" s="206" t="str">
        <f t="shared" si="789"/>
        <v>YAMAHA_Mounter</v>
      </c>
      <c r="AS2647" s="22" t="str">
        <f t="shared" si="790"/>
        <v/>
      </c>
      <c r="AT2647" s="24" t="str">
        <f t="shared" si="791"/>
        <v/>
      </c>
      <c r="AU2647" s="22" t="s">
        <v>3745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4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2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79"/>
        <v>25458266.694690265</v>
      </c>
      <c r="AJ2648" s="200">
        <f t="shared" si="780"/>
        <v>4116526.778578762</v>
      </c>
      <c r="AK2648" s="201">
        <f t="shared" si="786"/>
        <v>0.16169705612508689</v>
      </c>
      <c r="AL2648" s="24"/>
      <c r="AM2648" s="24"/>
      <c r="AN2648" s="24"/>
      <c r="AO2648" s="24"/>
      <c r="AP2648" s="105" t="str">
        <f t="shared" si="787"/>
        <v>20247</v>
      </c>
      <c r="AQ2648" s="28" t="str">
        <f t="shared" si="788"/>
        <v/>
      </c>
      <c r="AR2648" s="206" t="str">
        <f t="shared" si="789"/>
        <v>C66 SERVICE</v>
      </c>
      <c r="AS2648" s="22" t="str">
        <f t="shared" si="790"/>
        <v/>
      </c>
      <c r="AT2648" s="24" t="str">
        <f t="shared" si="791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4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2"/>
        <v>768000</v>
      </c>
      <c r="AA2649" s="13">
        <v>1.1950000000000001</v>
      </c>
      <c r="AB2649" s="21">
        <f t="shared" ref="AB2649:AB2677" si="795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79"/>
        <v>44014086.982070789</v>
      </c>
      <c r="AJ2649" s="19">
        <f t="shared" si="780"/>
        <v>6419974.0221889298</v>
      </c>
      <c r="AK2649" s="20">
        <f t="shared" si="786"/>
        <v>0.14586180158193709</v>
      </c>
      <c r="AL2649" s="17"/>
      <c r="AM2649" s="17"/>
      <c r="AN2649" s="17"/>
      <c r="AO2649" s="17"/>
      <c r="AP2649" s="28" t="str">
        <f t="shared" si="787"/>
        <v>20225</v>
      </c>
      <c r="AQ2649" s="28" t="str">
        <f t="shared" si="788"/>
        <v>20225RMB</v>
      </c>
      <c r="AR2649" s="206" t="str">
        <f t="shared" si="789"/>
        <v>YAMAHA_Mounter</v>
      </c>
      <c r="AS2649" s="22">
        <f t="shared" si="790"/>
        <v>5</v>
      </c>
      <c r="AT2649" s="24" t="str">
        <f t="shared" si="791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4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2"/>
        <v>11400000</v>
      </c>
      <c r="AA2650" s="13">
        <v>7.2099999999999997E-2</v>
      </c>
      <c r="AB2650" s="21">
        <f t="shared" si="795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79"/>
        <v>26492741.106427077</v>
      </c>
      <c r="AJ2650" s="19">
        <f t="shared" si="780"/>
        <v>3348032.1325698122</v>
      </c>
      <c r="AK2650" s="20">
        <f t="shared" si="786"/>
        <v>0.12637545201985867</v>
      </c>
      <c r="AL2650" s="17"/>
      <c r="AM2650" s="17"/>
      <c r="AN2650" s="17"/>
      <c r="AO2650" s="17"/>
      <c r="AP2650" s="28" t="str">
        <f t="shared" si="787"/>
        <v>20189</v>
      </c>
      <c r="AQ2650" s="28" t="str">
        <f t="shared" si="788"/>
        <v>20189JPY</v>
      </c>
      <c r="AR2650" s="206" t="str">
        <f t="shared" si="789"/>
        <v>YAMAHA_Mounter</v>
      </c>
      <c r="AS2650" s="22">
        <f t="shared" si="790"/>
        <v>3</v>
      </c>
      <c r="AT2650" s="24" t="str">
        <f t="shared" si="791"/>
        <v>0-3 months</v>
      </c>
      <c r="AU2650" s="22" t="s">
        <v>3746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4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2"/>
        <v>9400000</v>
      </c>
      <c r="AA2651" s="13">
        <v>7.2099999999999997E-2</v>
      </c>
      <c r="AB2651" s="21">
        <f t="shared" si="795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79"/>
        <v>26492741.106427077</v>
      </c>
      <c r="AJ2651" s="19">
        <f t="shared" si="780"/>
        <v>3348032.1325698122</v>
      </c>
      <c r="AK2651" s="20">
        <f t="shared" si="786"/>
        <v>0.12637545201985867</v>
      </c>
      <c r="AL2651" s="17"/>
      <c r="AM2651" s="17"/>
      <c r="AN2651" s="17"/>
      <c r="AO2651" s="17"/>
      <c r="AP2651" s="28" t="str">
        <f t="shared" si="787"/>
        <v>20189</v>
      </c>
      <c r="AQ2651" s="28" t="str">
        <f t="shared" si="788"/>
        <v>20189JPY</v>
      </c>
      <c r="AR2651" s="206" t="str">
        <f t="shared" si="789"/>
        <v>YAMAHA_Mounter</v>
      </c>
      <c r="AS2651" s="22">
        <f t="shared" si="790"/>
        <v>3</v>
      </c>
      <c r="AT2651" s="24" t="str">
        <f t="shared" si="791"/>
        <v>0-3 months</v>
      </c>
      <c r="AU2651" s="22" t="s">
        <v>3746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4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2"/>
        <v>17000000</v>
      </c>
      <c r="AA2652" s="13">
        <v>7.2099999999999997E-2</v>
      </c>
      <c r="AB2652" s="21">
        <f t="shared" si="795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79"/>
        <v>499582152.5142017</v>
      </c>
      <c r="AJ2652" s="19">
        <f t="shared" si="780"/>
        <v>59520528.679470733</v>
      </c>
      <c r="AK2652" s="20">
        <f t="shared" si="786"/>
        <v>0.11914062257814291</v>
      </c>
      <c r="AL2652" s="17"/>
      <c r="AM2652" s="17"/>
      <c r="AN2652" s="17"/>
      <c r="AO2652" s="17"/>
      <c r="AP2652" s="28" t="str">
        <f t="shared" si="787"/>
        <v>CancelCancel</v>
      </c>
      <c r="AQ2652" s="28" t="str">
        <f t="shared" si="788"/>
        <v>CancelCancelJPY</v>
      </c>
      <c r="AR2652" s="206" t="str">
        <f t="shared" si="789"/>
        <v>YAMAHA_Mounter</v>
      </c>
      <c r="AS2652" s="22" t="str">
        <f t="shared" si="790"/>
        <v/>
      </c>
      <c r="AT2652" s="24" t="str">
        <f t="shared" si="791"/>
        <v/>
      </c>
      <c r="AU2652" s="22" t="s">
        <v>3746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4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2"/>
        <v>13200000</v>
      </c>
      <c r="AA2653" s="13">
        <v>7.17E-2</v>
      </c>
      <c r="AB2653" s="21">
        <f t="shared" si="795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79"/>
        <v>14593788.187146019</v>
      </c>
      <c r="AJ2653" s="19">
        <f t="shared" si="780"/>
        <v>1868647.7321969916</v>
      </c>
      <c r="AK2653" s="20">
        <f t="shared" si="786"/>
        <v>0.12804404916900652</v>
      </c>
      <c r="AL2653" s="17"/>
      <c r="AM2653" s="17"/>
      <c r="AN2653" s="17"/>
      <c r="AO2653" s="17"/>
      <c r="AP2653" s="28" t="str">
        <f t="shared" si="787"/>
        <v>20195</v>
      </c>
      <c r="AQ2653" s="28" t="str">
        <f t="shared" si="788"/>
        <v>20195JPY</v>
      </c>
      <c r="AR2653" s="206" t="str">
        <f t="shared" si="789"/>
        <v>YAMAHA_Mounter</v>
      </c>
      <c r="AS2653" s="22">
        <f t="shared" si="790"/>
        <v>2</v>
      </c>
      <c r="AT2653" s="24" t="str">
        <f t="shared" si="791"/>
        <v>0-3 months</v>
      </c>
      <c r="AU2653" s="22" t="s">
        <v>3746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4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2"/>
        <v>13200000</v>
      </c>
      <c r="AA2654" s="13">
        <v>7.17E-2</v>
      </c>
      <c r="AB2654" s="21">
        <f t="shared" si="795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79"/>
        <v>14593788.187146019</v>
      </c>
      <c r="AJ2654" s="19">
        <f t="shared" si="780"/>
        <v>1868647.7321969916</v>
      </c>
      <c r="AK2654" s="20">
        <f t="shared" si="786"/>
        <v>0.12804404916900652</v>
      </c>
      <c r="AL2654" s="17"/>
      <c r="AM2654" s="17"/>
      <c r="AN2654" s="17"/>
      <c r="AO2654" s="17"/>
      <c r="AP2654" s="28" t="str">
        <f t="shared" si="787"/>
        <v>20195</v>
      </c>
      <c r="AQ2654" s="28" t="str">
        <f t="shared" si="788"/>
        <v>20195JPY</v>
      </c>
      <c r="AR2654" s="206" t="str">
        <f t="shared" si="789"/>
        <v>YAMAHA_Mounter</v>
      </c>
      <c r="AS2654" s="22">
        <f t="shared" si="790"/>
        <v>2</v>
      </c>
      <c r="AT2654" s="24" t="str">
        <f t="shared" si="791"/>
        <v>0-3 months</v>
      </c>
      <c r="AU2654" s="22" t="s">
        <v>3746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4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2"/>
        <v>9400000</v>
      </c>
      <c r="AA2655" s="13">
        <v>7.17E-2</v>
      </c>
      <c r="AB2655" s="21">
        <f t="shared" si="795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79"/>
        <v>14593788.187146019</v>
      </c>
      <c r="AJ2655" s="19">
        <f t="shared" si="780"/>
        <v>1868647.7321969916</v>
      </c>
      <c r="AK2655" s="20">
        <f t="shared" si="786"/>
        <v>0.12804404916900652</v>
      </c>
      <c r="AL2655" s="17"/>
      <c r="AM2655" s="17"/>
      <c r="AN2655" s="17"/>
      <c r="AO2655" s="17"/>
      <c r="AP2655" s="28" t="str">
        <f t="shared" si="787"/>
        <v>20195</v>
      </c>
      <c r="AQ2655" s="28" t="str">
        <f t="shared" si="788"/>
        <v>20195JPY</v>
      </c>
      <c r="AR2655" s="206" t="str">
        <f t="shared" si="789"/>
        <v>YAMAHA_Mounter</v>
      </c>
      <c r="AS2655" s="22">
        <f t="shared" si="790"/>
        <v>2</v>
      </c>
      <c r="AT2655" s="24" t="str">
        <f t="shared" si="791"/>
        <v>0-3 months</v>
      </c>
      <c r="AU2655" s="22" t="s">
        <v>3746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4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2"/>
        <v>9400000</v>
      </c>
      <c r="AA2656" s="13">
        <v>7.17E-2</v>
      </c>
      <c r="AB2656" s="21">
        <f t="shared" si="795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79"/>
        <v>14593788.187146019</v>
      </c>
      <c r="AJ2656" s="19">
        <f t="shared" si="780"/>
        <v>1868647.7321969916</v>
      </c>
      <c r="AK2656" s="20">
        <f t="shared" si="786"/>
        <v>0.12804404916900652</v>
      </c>
      <c r="AL2656" s="17"/>
      <c r="AM2656" s="17"/>
      <c r="AN2656" s="17"/>
      <c r="AO2656" s="17"/>
      <c r="AP2656" s="28" t="str">
        <f t="shared" si="787"/>
        <v>20195</v>
      </c>
      <c r="AQ2656" s="28" t="str">
        <f t="shared" si="788"/>
        <v>20195JPY</v>
      </c>
      <c r="AR2656" s="206" t="str">
        <f t="shared" si="789"/>
        <v>YAMAHA_Mounter</v>
      </c>
      <c r="AS2656" s="22">
        <f t="shared" si="790"/>
        <v>2</v>
      </c>
      <c r="AT2656" s="24" t="str">
        <f t="shared" si="791"/>
        <v>0-3 months</v>
      </c>
      <c r="AU2656" s="22" t="s">
        <v>3746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4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2"/>
        <v>9000000</v>
      </c>
      <c r="AA2657" s="13">
        <v>7.6100000000000001E-2</v>
      </c>
      <c r="AB2657" s="21">
        <f t="shared" si="795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79"/>
        <v>48763143.537654862</v>
      </c>
      <c r="AJ2657" s="19">
        <f t="shared" si="780"/>
        <v>5924029.9702154724</v>
      </c>
      <c r="AK2657" s="20">
        <f t="shared" si="786"/>
        <v>0.1214858095774925</v>
      </c>
      <c r="AL2657" s="17"/>
      <c r="AM2657" s="17"/>
      <c r="AN2657" s="17"/>
      <c r="AO2657" s="17"/>
      <c r="AP2657" s="28" t="str">
        <f t="shared" si="787"/>
        <v>202012</v>
      </c>
      <c r="AQ2657" s="28" t="str">
        <f t="shared" si="788"/>
        <v>202012JPY</v>
      </c>
      <c r="AR2657" s="206" t="str">
        <f t="shared" si="789"/>
        <v>YAMAHA_Mounter</v>
      </c>
      <c r="AS2657" s="22">
        <f t="shared" si="790"/>
        <v>3</v>
      </c>
      <c r="AT2657" s="24" t="str">
        <f t="shared" si="791"/>
        <v>0-3 months</v>
      </c>
      <c r="AU2657" s="22" t="s">
        <v>3746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4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2"/>
        <v>13300000</v>
      </c>
      <c r="AA2658" s="13">
        <v>7.6100000000000001E-2</v>
      </c>
      <c r="AB2658" s="21">
        <f t="shared" si="795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79"/>
        <v>48763143.537654862</v>
      </c>
      <c r="AJ2658" s="19">
        <f t="shared" si="780"/>
        <v>5924029.9702154724</v>
      </c>
      <c r="AK2658" s="20">
        <f t="shared" si="786"/>
        <v>0.1214858095774925</v>
      </c>
      <c r="AL2658" s="17"/>
      <c r="AM2658" s="17"/>
      <c r="AN2658" s="17"/>
      <c r="AO2658" s="17"/>
      <c r="AP2658" s="28" t="str">
        <f t="shared" si="787"/>
        <v>202012</v>
      </c>
      <c r="AQ2658" s="28" t="str">
        <f t="shared" si="788"/>
        <v>202012JPY</v>
      </c>
      <c r="AR2658" s="206" t="str">
        <f t="shared" si="789"/>
        <v>YAMAHA_Mounter</v>
      </c>
      <c r="AS2658" s="22">
        <f t="shared" si="790"/>
        <v>3</v>
      </c>
      <c r="AT2658" s="24" t="str">
        <f t="shared" si="791"/>
        <v>0-3 months</v>
      </c>
      <c r="AU2658" s="22" t="s">
        <v>3746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4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2"/>
        <v>12000000</v>
      </c>
      <c r="AA2659" s="13">
        <v>7.6799999999999993E-2</v>
      </c>
      <c r="AB2659" s="21">
        <f t="shared" si="795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79"/>
        <v>45803245.025628321</v>
      </c>
      <c r="AJ2659" s="19">
        <f t="shared" si="780"/>
        <v>5664636.2584379362</v>
      </c>
      <c r="AK2659" s="20">
        <f t="shared" si="786"/>
        <v>0.12367325186825515</v>
      </c>
      <c r="AL2659" s="17"/>
      <c r="AM2659" s="17"/>
      <c r="AN2659" s="17"/>
      <c r="AO2659" s="17"/>
      <c r="AP2659" s="28" t="str">
        <f t="shared" si="787"/>
        <v>20211</v>
      </c>
      <c r="AQ2659" s="28" t="str">
        <f t="shared" si="788"/>
        <v>20211JPY</v>
      </c>
      <c r="AR2659" s="206" t="str">
        <f t="shared" si="789"/>
        <v>YAMAHA_Mounter</v>
      </c>
      <c r="AS2659" s="22">
        <f t="shared" si="790"/>
        <v>3</v>
      </c>
      <c r="AT2659" s="24" t="str">
        <f t="shared" si="791"/>
        <v>0-3 months</v>
      </c>
      <c r="AU2659" s="22" t="s">
        <v>3746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4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2"/>
        <v>12000000</v>
      </c>
      <c r="AA2660" s="13">
        <v>7.6799999999999993E-2</v>
      </c>
      <c r="AB2660" s="21">
        <f t="shared" si="795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79"/>
        <v>45803245.025628321</v>
      </c>
      <c r="AJ2660" s="19">
        <f t="shared" si="780"/>
        <v>5664636.2584379362</v>
      </c>
      <c r="AK2660" s="20">
        <f t="shared" si="786"/>
        <v>0.12367325186825515</v>
      </c>
      <c r="AL2660" s="17"/>
      <c r="AM2660" s="17"/>
      <c r="AN2660" s="17"/>
      <c r="AO2660" s="17"/>
      <c r="AP2660" s="28" t="str">
        <f t="shared" si="787"/>
        <v>20211</v>
      </c>
      <c r="AQ2660" s="28" t="str">
        <f t="shared" si="788"/>
        <v>20211JPY</v>
      </c>
      <c r="AR2660" s="206" t="str">
        <f t="shared" si="789"/>
        <v>YAMAHA_Mounter</v>
      </c>
      <c r="AS2660" s="22">
        <f t="shared" si="790"/>
        <v>3</v>
      </c>
      <c r="AT2660" s="24" t="str">
        <f t="shared" si="791"/>
        <v>0-3 months</v>
      </c>
      <c r="AU2660" s="22" t="s">
        <v>3746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4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2"/>
        <v>9000000</v>
      </c>
      <c r="AA2661" s="13">
        <v>7.6799999999999993E-2</v>
      </c>
      <c r="AB2661" s="21">
        <f t="shared" si="795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79"/>
        <v>45803245.025628321</v>
      </c>
      <c r="AJ2661" s="19">
        <f t="shared" si="780"/>
        <v>5664636.2584379362</v>
      </c>
      <c r="AK2661" s="20">
        <f t="shared" si="786"/>
        <v>0.12367325186825515</v>
      </c>
      <c r="AL2661" s="17"/>
      <c r="AM2661" s="17"/>
      <c r="AN2661" s="17"/>
      <c r="AO2661" s="17"/>
      <c r="AP2661" s="28" t="str">
        <f t="shared" si="787"/>
        <v>20211</v>
      </c>
      <c r="AQ2661" s="28" t="str">
        <f t="shared" si="788"/>
        <v>20211JPY</v>
      </c>
      <c r="AR2661" s="206" t="str">
        <f t="shared" si="789"/>
        <v>YAMAHA_Mounter</v>
      </c>
      <c r="AS2661" s="22">
        <f t="shared" si="790"/>
        <v>3</v>
      </c>
      <c r="AT2661" s="24" t="str">
        <f t="shared" si="791"/>
        <v>0-3 months</v>
      </c>
      <c r="AU2661" s="22" t="s">
        <v>3746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4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2"/>
        <v>12500000</v>
      </c>
      <c r="AA2662" s="13">
        <v>7.2999999999999995E-2</v>
      </c>
      <c r="AB2662" s="21">
        <f t="shared" si="795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79"/>
        <v>11620538.477876106</v>
      </c>
      <c r="AJ2662" s="19">
        <f t="shared" si="780"/>
        <v>1598596.3145221241</v>
      </c>
      <c r="AK2662" s="20">
        <f t="shared" si="786"/>
        <v>0.13756645766163331</v>
      </c>
      <c r="AL2662" s="17"/>
      <c r="AM2662" s="17"/>
      <c r="AN2662" s="17"/>
      <c r="AO2662" s="17"/>
      <c r="AP2662" s="28" t="str">
        <f t="shared" si="787"/>
        <v>20201</v>
      </c>
      <c r="AQ2662" s="28" t="str">
        <f t="shared" si="788"/>
        <v>20201JPY</v>
      </c>
      <c r="AR2662" s="206" t="str">
        <f t="shared" si="789"/>
        <v>YAMAHA_Mounter</v>
      </c>
      <c r="AS2662" s="22">
        <f t="shared" si="790"/>
        <v>1</v>
      </c>
      <c r="AT2662" s="24" t="str">
        <f t="shared" si="791"/>
        <v>0-3 months</v>
      </c>
      <c r="AU2662" s="22" t="s">
        <v>3746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4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2"/>
        <v>9000000</v>
      </c>
      <c r="AA2663" s="13">
        <v>7.2999999999999995E-2</v>
      </c>
      <c r="AB2663" s="21">
        <f t="shared" si="795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79"/>
        <v>11620538.477876106</v>
      </c>
      <c r="AJ2663" s="19">
        <f t="shared" si="780"/>
        <v>1598596.3145221241</v>
      </c>
      <c r="AK2663" s="20">
        <f t="shared" si="786"/>
        <v>0.13756645766163331</v>
      </c>
      <c r="AL2663" s="17"/>
      <c r="AM2663" s="17"/>
      <c r="AN2663" s="17"/>
      <c r="AO2663" s="17"/>
      <c r="AP2663" s="28" t="str">
        <f t="shared" si="787"/>
        <v>20201</v>
      </c>
      <c r="AQ2663" s="28" t="str">
        <f t="shared" si="788"/>
        <v>20201JPY</v>
      </c>
      <c r="AR2663" s="206" t="str">
        <f t="shared" si="789"/>
        <v>YAMAHA_Mounter</v>
      </c>
      <c r="AS2663" s="22">
        <f t="shared" si="790"/>
        <v>1</v>
      </c>
      <c r="AT2663" s="24" t="str">
        <f t="shared" si="791"/>
        <v>0-3 months</v>
      </c>
      <c r="AU2663" s="22" t="s">
        <v>3746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4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6">IF(W2664="RMB","1.13", "1")</f>
        <v>1</v>
      </c>
      <c r="Z2664" s="18">
        <f t="shared" si="792"/>
        <v>12700000</v>
      </c>
      <c r="AA2664" s="13">
        <v>6.9199999999999998E-2</v>
      </c>
      <c r="AB2664" s="21">
        <f t="shared" si="795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79"/>
        <v>26407088.359292038</v>
      </c>
      <c r="AJ2664" s="19">
        <f t="shared" si="780"/>
        <v>3424510.6998470789</v>
      </c>
      <c r="AK2664" s="20">
        <f t="shared" si="786"/>
        <v>0.12968149510667554</v>
      </c>
      <c r="AL2664" s="17"/>
      <c r="AM2664" s="17"/>
      <c r="AN2664" s="17"/>
      <c r="AO2664" s="17"/>
      <c r="AP2664" s="28" t="str">
        <f t="shared" si="787"/>
        <v>20221</v>
      </c>
      <c r="AQ2664" s="28" t="str">
        <f t="shared" si="788"/>
        <v>20221JPY</v>
      </c>
      <c r="AR2664" s="206" t="str">
        <f t="shared" si="789"/>
        <v>YAMAHA_Mounter</v>
      </c>
      <c r="AS2664" s="22">
        <f t="shared" si="790"/>
        <v>7</v>
      </c>
      <c r="AT2664" s="24" t="str">
        <f t="shared" si="791"/>
        <v>&gt; 6 months</v>
      </c>
      <c r="AU2664" s="22" t="s">
        <v>3745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4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6"/>
        <v>1</v>
      </c>
      <c r="Z2665" s="18">
        <f t="shared" si="792"/>
        <v>12700000</v>
      </c>
      <c r="AA2665" s="13">
        <v>6.9199999999999998E-2</v>
      </c>
      <c r="AB2665" s="21">
        <f t="shared" si="795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79"/>
        <v>26407088.359292038</v>
      </c>
      <c r="AJ2665" s="19">
        <f t="shared" si="780"/>
        <v>3424510.6998470789</v>
      </c>
      <c r="AK2665" s="20">
        <f t="shared" si="786"/>
        <v>0.12968149510667554</v>
      </c>
      <c r="AL2665" s="17"/>
      <c r="AM2665" s="17"/>
      <c r="AN2665" s="17"/>
      <c r="AO2665" s="17"/>
      <c r="AP2665" s="28" t="str">
        <f t="shared" si="787"/>
        <v>20221</v>
      </c>
      <c r="AQ2665" s="28" t="str">
        <f t="shared" si="788"/>
        <v>20221JPY</v>
      </c>
      <c r="AR2665" s="206" t="str">
        <f t="shared" si="789"/>
        <v>YAMAHA_Mounter</v>
      </c>
      <c r="AS2665" s="22">
        <f t="shared" si="790"/>
        <v>7</v>
      </c>
      <c r="AT2665" s="24" t="str">
        <f t="shared" si="791"/>
        <v>&gt; 6 months</v>
      </c>
      <c r="AU2665" s="22" t="s">
        <v>3745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4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6"/>
        <v>1</v>
      </c>
      <c r="Z2666" s="18">
        <f t="shared" si="792"/>
        <v>9880000</v>
      </c>
      <c r="AA2666" s="13">
        <v>6.9199999999999998E-2</v>
      </c>
      <c r="AB2666" s="21">
        <f t="shared" si="795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79"/>
        <v>26407088.359292038</v>
      </c>
      <c r="AJ2666" s="19">
        <f t="shared" si="780"/>
        <v>3424510.6998470789</v>
      </c>
      <c r="AK2666" s="20">
        <f t="shared" si="786"/>
        <v>0.12968149510667554</v>
      </c>
      <c r="AL2666" s="17"/>
      <c r="AM2666" s="17"/>
      <c r="AN2666" s="17"/>
      <c r="AO2666" s="17"/>
      <c r="AP2666" s="28" t="str">
        <f t="shared" si="787"/>
        <v>20221</v>
      </c>
      <c r="AQ2666" s="28" t="str">
        <f t="shared" si="788"/>
        <v>20221JPY</v>
      </c>
      <c r="AR2666" s="206" t="str">
        <f t="shared" si="789"/>
        <v>YAMAHA_Mounter</v>
      </c>
      <c r="AS2666" s="22">
        <f t="shared" si="790"/>
        <v>7</v>
      </c>
      <c r="AT2666" s="24" t="str">
        <f t="shared" si="791"/>
        <v>&gt; 6 months</v>
      </c>
      <c r="AU2666" s="22" t="s">
        <v>3745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4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6"/>
        <v>1</v>
      </c>
      <c r="Z2667" s="18">
        <f t="shared" si="792"/>
        <v>9880000</v>
      </c>
      <c r="AA2667" s="13">
        <v>6.9199999999999998E-2</v>
      </c>
      <c r="AB2667" s="21">
        <f t="shared" si="795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79"/>
        <v>26407088.359292038</v>
      </c>
      <c r="AJ2667" s="19">
        <f t="shared" si="780"/>
        <v>3424510.6998470789</v>
      </c>
      <c r="AK2667" s="20">
        <f t="shared" si="786"/>
        <v>0.12968149510667554</v>
      </c>
      <c r="AL2667" s="17"/>
      <c r="AM2667" s="17"/>
      <c r="AN2667" s="17"/>
      <c r="AO2667" s="17"/>
      <c r="AP2667" s="28" t="str">
        <f t="shared" si="787"/>
        <v>20221</v>
      </c>
      <c r="AQ2667" s="28" t="str">
        <f t="shared" si="788"/>
        <v>20221JPY</v>
      </c>
      <c r="AR2667" s="206" t="str">
        <f t="shared" si="789"/>
        <v>YAMAHA_Mounter</v>
      </c>
      <c r="AS2667" s="22">
        <f t="shared" si="790"/>
        <v>7</v>
      </c>
      <c r="AT2667" s="24" t="str">
        <f t="shared" si="791"/>
        <v>&gt; 6 months</v>
      </c>
      <c r="AU2667" s="22" t="s">
        <v>3745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4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6"/>
        <v>1.13</v>
      </c>
      <c r="Z2668" s="18">
        <f t="shared" si="792"/>
        <v>707000</v>
      </c>
      <c r="AA2668" s="13">
        <v>1.1850000000000001</v>
      </c>
      <c r="AB2668" s="21">
        <f t="shared" si="795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79"/>
        <v>45803245.025628321</v>
      </c>
      <c r="AJ2668" s="19">
        <f t="shared" si="780"/>
        <v>5664636.2584379362</v>
      </c>
      <c r="AK2668" s="20">
        <f t="shared" si="786"/>
        <v>0.12367325186825515</v>
      </c>
      <c r="AL2668" s="17"/>
      <c r="AM2668" s="17"/>
      <c r="AN2668" s="17"/>
      <c r="AO2668" s="17"/>
      <c r="AP2668" s="28" t="str">
        <f t="shared" si="787"/>
        <v>20211</v>
      </c>
      <c r="AQ2668" s="28" t="str">
        <f t="shared" si="788"/>
        <v>20211RMB</v>
      </c>
      <c r="AR2668" s="206" t="str">
        <f t="shared" si="789"/>
        <v>YAMAHA_Non_Mounter</v>
      </c>
      <c r="AS2668" s="22">
        <f t="shared" si="790"/>
        <v>2</v>
      </c>
      <c r="AT2668" s="24" t="str">
        <f t="shared" si="791"/>
        <v>0-3 months</v>
      </c>
      <c r="AU2668" s="22" t="s">
        <v>3744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4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6"/>
        <v>1.13</v>
      </c>
      <c r="Z2669" s="18">
        <f t="shared" si="792"/>
        <v>707000</v>
      </c>
      <c r="AA2669" s="13">
        <v>1.1950000000000001</v>
      </c>
      <c r="AB2669" s="21">
        <f t="shared" si="795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79"/>
        <v>63006605.696460173</v>
      </c>
      <c r="AJ2669" s="19">
        <f t="shared" si="780"/>
        <v>8897485.660753984</v>
      </c>
      <c r="AK2669" s="20">
        <f t="shared" si="786"/>
        <v>0.141215124388995</v>
      </c>
      <c r="AL2669" s="17"/>
      <c r="AM2669" s="17"/>
      <c r="AN2669" s="17"/>
      <c r="AO2669" s="17"/>
      <c r="AP2669" s="28" t="str">
        <f t="shared" si="787"/>
        <v>20215</v>
      </c>
      <c r="AQ2669" s="28" t="str">
        <f t="shared" si="788"/>
        <v>20215RMB</v>
      </c>
      <c r="AR2669" s="206" t="str">
        <f t="shared" si="789"/>
        <v>YAMAHA_Non_Mounter</v>
      </c>
      <c r="AS2669" s="22">
        <f t="shared" si="790"/>
        <v>6</v>
      </c>
      <c r="AT2669" s="24" t="str">
        <f t="shared" si="791"/>
        <v>4-6 months</v>
      </c>
      <c r="AU2669" s="22" t="s">
        <v>3744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4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6"/>
        <v>1.13</v>
      </c>
      <c r="Z2670" s="18">
        <f t="shared" si="792"/>
        <v>707000</v>
      </c>
      <c r="AA2670" s="13">
        <v>1.1950000000000001</v>
      </c>
      <c r="AB2670" s="21">
        <f t="shared" si="795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79"/>
        <v>63006605.696460173</v>
      </c>
      <c r="AJ2670" s="19">
        <f t="shared" si="780"/>
        <v>8897485.660753984</v>
      </c>
      <c r="AK2670" s="20">
        <f t="shared" si="786"/>
        <v>0.141215124388995</v>
      </c>
      <c r="AL2670" s="17"/>
      <c r="AM2670" s="17"/>
      <c r="AN2670" s="17"/>
      <c r="AO2670" s="17"/>
      <c r="AP2670" s="28" t="str">
        <f t="shared" si="787"/>
        <v>20215</v>
      </c>
      <c r="AQ2670" s="28" t="str">
        <f t="shared" si="788"/>
        <v>20215RMB</v>
      </c>
      <c r="AR2670" s="206" t="str">
        <f t="shared" si="789"/>
        <v>YAMAHA_Non_Mounter</v>
      </c>
      <c r="AS2670" s="22">
        <f t="shared" si="790"/>
        <v>6</v>
      </c>
      <c r="AT2670" s="24" t="str">
        <f t="shared" si="791"/>
        <v>4-6 months</v>
      </c>
      <c r="AU2670" s="22" t="s">
        <v>3744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4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2"/>
        <v>11500000</v>
      </c>
      <c r="AA2671" s="13">
        <v>5.4100000000000002E-2</v>
      </c>
      <c r="AB2671" s="21">
        <f t="shared" si="795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79"/>
        <v>31017966.201968137</v>
      </c>
      <c r="AJ2671" s="19">
        <f t="shared" si="780"/>
        <v>4704250.3347305888</v>
      </c>
      <c r="AK2671" s="20">
        <f t="shared" si="786"/>
        <v>0.15166211427595458</v>
      </c>
      <c r="AL2671" s="17"/>
      <c r="AM2671" s="17"/>
      <c r="AN2671" s="17"/>
      <c r="AO2671" s="17"/>
      <c r="AP2671" s="28" t="str">
        <f t="shared" si="787"/>
        <v>202211</v>
      </c>
      <c r="AQ2671" s="28" t="str">
        <f t="shared" si="788"/>
        <v>202211JPY</v>
      </c>
      <c r="AR2671" s="206" t="str">
        <f t="shared" si="789"/>
        <v>YAMAHA_Non_Mounter</v>
      </c>
      <c r="AS2671" s="22">
        <f t="shared" si="790"/>
        <v>3</v>
      </c>
      <c r="AT2671" s="24" t="str">
        <f t="shared" si="791"/>
        <v>0-3 months</v>
      </c>
      <c r="AU2671" s="22" t="s">
        <v>3746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4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2"/>
        <v>10540000</v>
      </c>
      <c r="AA2672" s="13">
        <v>7.2800000000000004E-2</v>
      </c>
      <c r="AB2672" s="21">
        <f t="shared" si="795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79"/>
        <v>63006605.696460173</v>
      </c>
      <c r="AJ2672" s="19">
        <f t="shared" si="780"/>
        <v>8897485.660753984</v>
      </c>
      <c r="AK2672" s="20">
        <f t="shared" si="786"/>
        <v>0.141215124388995</v>
      </c>
      <c r="AL2672" s="17"/>
      <c r="AM2672" s="17"/>
      <c r="AN2672" s="17"/>
      <c r="AO2672" s="17"/>
      <c r="AP2672" s="28" t="str">
        <f t="shared" si="787"/>
        <v>20215</v>
      </c>
      <c r="AQ2672" s="28" t="str">
        <f t="shared" si="788"/>
        <v>20215JPY</v>
      </c>
      <c r="AR2672" s="206" t="str">
        <f t="shared" si="789"/>
        <v>YAMAHA_Mounter</v>
      </c>
      <c r="AS2672" s="22">
        <f t="shared" si="790"/>
        <v>2</v>
      </c>
      <c r="AT2672" s="24" t="str">
        <f t="shared" si="791"/>
        <v>0-3 months</v>
      </c>
      <c r="AU2672" s="22" t="s">
        <v>3745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7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4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98">IF(W2673="","",IF(W2673="RMB","1.13", "1"))</f>
        <v>1</v>
      </c>
      <c r="Z2673" s="18">
        <f t="shared" si="792"/>
        <v>12750000</v>
      </c>
      <c r="AA2673" s="22">
        <v>5.3100000000000001E-2</v>
      </c>
      <c r="AB2673" s="21">
        <f t="shared" si="795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79"/>
        <v>21241742.157380536</v>
      </c>
      <c r="AJ2673" s="27">
        <f t="shared" si="780"/>
        <v>2987081.1613773629</v>
      </c>
      <c r="AK2673" s="28">
        <f t="shared" si="786"/>
        <v>0.14062317201884914</v>
      </c>
      <c r="AL2673" s="24"/>
      <c r="AM2673" s="24"/>
      <c r="AN2673" s="24"/>
      <c r="AO2673" s="24"/>
      <c r="AP2673" s="28" t="str">
        <f t="shared" si="787"/>
        <v>20243</v>
      </c>
      <c r="AQ2673" s="28" t="str">
        <f t="shared" si="788"/>
        <v>20243JPY</v>
      </c>
      <c r="AR2673" s="206" t="str">
        <f t="shared" si="789"/>
        <v>YAMAHA_Mounter</v>
      </c>
      <c r="AS2673" s="22">
        <f t="shared" si="790"/>
        <v>2</v>
      </c>
      <c r="AT2673" s="24" t="str">
        <f t="shared" si="791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7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4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98"/>
        <v>1</v>
      </c>
      <c r="Z2674" s="18">
        <f t="shared" si="792"/>
        <v>12750000</v>
      </c>
      <c r="AA2674" s="22">
        <v>5.3100000000000001E-2</v>
      </c>
      <c r="AB2674" s="21">
        <f t="shared" si="795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79"/>
        <v>21241742.157380536</v>
      </c>
      <c r="AJ2674" s="27">
        <f t="shared" si="780"/>
        <v>2987081.1613773629</v>
      </c>
      <c r="AK2674" s="28">
        <f t="shared" si="786"/>
        <v>0.14062317201884914</v>
      </c>
      <c r="AL2674" s="24"/>
      <c r="AM2674" s="24"/>
      <c r="AN2674" s="24"/>
      <c r="AO2674" s="24"/>
      <c r="AP2674" s="28" t="str">
        <f t="shared" si="787"/>
        <v>20243</v>
      </c>
      <c r="AQ2674" s="28" t="str">
        <f t="shared" si="788"/>
        <v>20243JPY</v>
      </c>
      <c r="AR2674" s="206" t="str">
        <f t="shared" si="789"/>
        <v>YAMAHA_Mounter</v>
      </c>
      <c r="AS2674" s="22">
        <f t="shared" si="790"/>
        <v>2</v>
      </c>
      <c r="AT2674" s="24" t="str">
        <f t="shared" si="791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7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4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98"/>
        <v>1</v>
      </c>
      <c r="Z2675" s="18">
        <f t="shared" si="792"/>
        <v>8000000</v>
      </c>
      <c r="AA2675" s="22">
        <v>5.3100000000000001E-2</v>
      </c>
      <c r="AB2675" s="21">
        <f t="shared" si="795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79"/>
        <v>21241742.157380536</v>
      </c>
      <c r="AJ2675" s="27">
        <f t="shared" si="780"/>
        <v>2987081.1613773629</v>
      </c>
      <c r="AK2675" s="28">
        <f t="shared" si="786"/>
        <v>0.14062317201884914</v>
      </c>
      <c r="AL2675" s="24"/>
      <c r="AM2675" s="24"/>
      <c r="AN2675" s="24"/>
      <c r="AO2675" s="24"/>
      <c r="AP2675" s="28" t="str">
        <f t="shared" si="787"/>
        <v>20243</v>
      </c>
      <c r="AQ2675" s="28" t="str">
        <f t="shared" si="788"/>
        <v>20243JPY</v>
      </c>
      <c r="AR2675" s="206" t="str">
        <f t="shared" si="789"/>
        <v>YAMAHA_Mounter</v>
      </c>
      <c r="AS2675" s="22">
        <f t="shared" si="790"/>
        <v>2</v>
      </c>
      <c r="AT2675" s="24" t="str">
        <f t="shared" si="791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7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4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98"/>
        <v>1</v>
      </c>
      <c r="Z2676" s="18">
        <f t="shared" si="792"/>
        <v>8000000</v>
      </c>
      <c r="AA2676" s="22">
        <v>5.3100000000000001E-2</v>
      </c>
      <c r="AB2676" s="21">
        <f t="shared" si="795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79"/>
        <v>21241742.157380536</v>
      </c>
      <c r="AJ2676" s="27">
        <f t="shared" si="780"/>
        <v>2987081.1613773629</v>
      </c>
      <c r="AK2676" s="28">
        <f t="shared" si="786"/>
        <v>0.14062317201884914</v>
      </c>
      <c r="AL2676" s="24"/>
      <c r="AM2676" s="24"/>
      <c r="AN2676" s="24"/>
      <c r="AO2676" s="24"/>
      <c r="AP2676" s="28" t="str">
        <f t="shared" si="787"/>
        <v>20243</v>
      </c>
      <c r="AQ2676" s="28" t="str">
        <f t="shared" si="788"/>
        <v>20243JPY</v>
      </c>
      <c r="AR2676" s="206" t="str">
        <f t="shared" si="789"/>
        <v>YAMAHA_Mounter</v>
      </c>
      <c r="AS2676" s="22">
        <f t="shared" si="790"/>
        <v>2</v>
      </c>
      <c r="AT2676" s="24" t="str">
        <f t="shared" si="791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7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4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98"/>
        <v>1</v>
      </c>
      <c r="Z2677" s="18">
        <f t="shared" si="792"/>
        <v>8000000</v>
      </c>
      <c r="AA2677" s="22">
        <v>5.3100000000000001E-2</v>
      </c>
      <c r="AB2677" s="21">
        <f t="shared" si="795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79"/>
        <v>21241742.157380536</v>
      </c>
      <c r="AJ2677" s="27">
        <f t="shared" si="780"/>
        <v>2987081.1613773629</v>
      </c>
      <c r="AK2677" s="28">
        <f t="shared" si="786"/>
        <v>0.14062317201884914</v>
      </c>
      <c r="AL2677" s="24"/>
      <c r="AM2677" s="24"/>
      <c r="AN2677" s="24"/>
      <c r="AO2677" s="24"/>
      <c r="AP2677" s="28" t="str">
        <f t="shared" si="787"/>
        <v>20243</v>
      </c>
      <c r="AQ2677" s="28" t="str">
        <f t="shared" si="788"/>
        <v>20243JPY</v>
      </c>
      <c r="AR2677" s="206" t="str">
        <f t="shared" si="789"/>
        <v>YAMAHA_Mounter</v>
      </c>
      <c r="AS2677" s="22">
        <f t="shared" si="790"/>
        <v>2</v>
      </c>
      <c r="AT2677" s="24" t="str">
        <f t="shared" si="791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7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4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98"/>
        <v/>
      </c>
      <c r="Z2678" s="196" t="str">
        <f t="shared" si="792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79"/>
        <v>25458266.694690265</v>
      </c>
      <c r="AJ2678" s="200">
        <f t="shared" si="780"/>
        <v>4116526.778578762</v>
      </c>
      <c r="AK2678" s="201">
        <f t="shared" si="786"/>
        <v>0.16169705612508689</v>
      </c>
      <c r="AL2678" s="24"/>
      <c r="AM2678" s="24"/>
      <c r="AN2678" s="24"/>
      <c r="AO2678" s="24"/>
      <c r="AP2678" s="105" t="str">
        <f t="shared" si="787"/>
        <v>20247</v>
      </c>
      <c r="AQ2678" s="28" t="str">
        <f t="shared" si="788"/>
        <v/>
      </c>
      <c r="AR2678" s="206" t="str">
        <f t="shared" si="789"/>
        <v>C66 SERVICE</v>
      </c>
      <c r="AS2678" s="22" t="str">
        <f t="shared" si="790"/>
        <v/>
      </c>
      <c r="AT2678" s="24" t="str">
        <f t="shared" si="791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4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2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79"/>
        <v>4327756</v>
      </c>
      <c r="AJ2679" s="19">
        <f t="shared" si="780"/>
        <v>519330.72</v>
      </c>
      <c r="AK2679" s="20">
        <f t="shared" si="786"/>
        <v>0.12</v>
      </c>
      <c r="AL2679" s="17"/>
      <c r="AM2679" s="17"/>
      <c r="AN2679" s="17"/>
      <c r="AO2679" s="17"/>
      <c r="AP2679" s="28" t="str">
        <f t="shared" si="787"/>
        <v>CancelCancel</v>
      </c>
      <c r="AQ2679" s="28" t="str">
        <f t="shared" si="788"/>
        <v>CancelCancelJPY</v>
      </c>
      <c r="AR2679" s="206" t="str">
        <f t="shared" si="789"/>
        <v>YAMAHA_Mounter</v>
      </c>
      <c r="AS2679" s="22" t="str">
        <f t="shared" si="790"/>
        <v/>
      </c>
      <c r="AT2679" s="24" t="str">
        <f t="shared" si="791"/>
        <v/>
      </c>
      <c r="AU2679" s="22" t="s">
        <v>3745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4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2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79"/>
        <v>4327756</v>
      </c>
      <c r="AJ2680" s="200">
        <f t="shared" si="780"/>
        <v>519330.72</v>
      </c>
      <c r="AK2680" s="201">
        <f t="shared" si="786"/>
        <v>0.12</v>
      </c>
      <c r="AL2680" s="24"/>
      <c r="AM2680" s="24"/>
      <c r="AN2680" s="24"/>
      <c r="AO2680" s="24"/>
      <c r="AP2680" s="105" t="str">
        <f t="shared" si="787"/>
        <v>CancelCancel</v>
      </c>
      <c r="AQ2680" s="28" t="str">
        <f t="shared" si="788"/>
        <v>CancelCancelJPY</v>
      </c>
      <c r="AR2680" s="206" t="str">
        <f t="shared" si="789"/>
        <v>YAMAHA_Mounter</v>
      </c>
      <c r="AS2680" s="22" t="str">
        <f t="shared" si="790"/>
        <v/>
      </c>
      <c r="AT2680" s="24" t="str">
        <f t="shared" si="791"/>
        <v/>
      </c>
      <c r="AU2680" s="22" t="s">
        <v>3745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4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2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79"/>
        <v>4327756</v>
      </c>
      <c r="AJ2681" s="200">
        <f t="shared" si="780"/>
        <v>519330.72</v>
      </c>
      <c r="AK2681" s="201">
        <f t="shared" si="786"/>
        <v>0.12</v>
      </c>
      <c r="AL2681" s="24"/>
      <c r="AM2681" s="24"/>
      <c r="AN2681" s="24"/>
      <c r="AO2681" s="24"/>
      <c r="AP2681" s="105" t="str">
        <f t="shared" si="787"/>
        <v>CancelCancel</v>
      </c>
      <c r="AQ2681" s="28" t="str">
        <f t="shared" si="788"/>
        <v>CancelCancelJPY</v>
      </c>
      <c r="AR2681" s="206" t="str">
        <f t="shared" si="789"/>
        <v>YAMAHA_Mounter</v>
      </c>
      <c r="AS2681" s="22" t="str">
        <f t="shared" si="790"/>
        <v/>
      </c>
      <c r="AT2681" s="24" t="str">
        <f t="shared" si="791"/>
        <v/>
      </c>
      <c r="AU2681" s="22" t="s">
        <v>3745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4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2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79"/>
        <v>4327756</v>
      </c>
      <c r="AJ2682" s="200">
        <f t="shared" si="780"/>
        <v>519330.72</v>
      </c>
      <c r="AK2682" s="201">
        <f t="shared" si="786"/>
        <v>0.12</v>
      </c>
      <c r="AL2682" s="24"/>
      <c r="AM2682" s="24"/>
      <c r="AN2682" s="24"/>
      <c r="AO2682" s="24"/>
      <c r="AP2682" s="105" t="str">
        <f t="shared" si="787"/>
        <v>CancelCancel</v>
      </c>
      <c r="AQ2682" s="28" t="str">
        <f t="shared" si="788"/>
        <v>CancelCancelJPY</v>
      </c>
      <c r="AR2682" s="206" t="str">
        <f t="shared" si="789"/>
        <v>YAMAHA_Mounter</v>
      </c>
      <c r="AS2682" s="22" t="str">
        <f t="shared" si="790"/>
        <v/>
      </c>
      <c r="AT2682" s="24" t="str">
        <f t="shared" si="791"/>
        <v/>
      </c>
      <c r="AU2682" s="22" t="s">
        <v>3745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4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2"/>
        <v/>
      </c>
      <c r="AA2683" s="22"/>
      <c r="AB2683" s="197">
        <v>225000</v>
      </c>
      <c r="AC2683" s="198">
        <f t="shared" si="784"/>
        <v>67500</v>
      </c>
      <c r="AD2683" s="22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79"/>
        <v>25458266.694690265</v>
      </c>
      <c r="AJ2683" s="200">
        <f t="shared" si="780"/>
        <v>4116526.778578762</v>
      </c>
      <c r="AK2683" s="201">
        <f t="shared" si="786"/>
        <v>0.16169705612508689</v>
      </c>
      <c r="AL2683" s="24"/>
      <c r="AM2683" s="24"/>
      <c r="AN2683" s="24"/>
      <c r="AO2683" s="24"/>
      <c r="AP2683" s="105" t="str">
        <f t="shared" si="787"/>
        <v>20247</v>
      </c>
      <c r="AQ2683" s="28" t="str">
        <f t="shared" si="788"/>
        <v/>
      </c>
      <c r="AR2683" s="206" t="str">
        <f t="shared" si="789"/>
        <v>C66 SERVICE</v>
      </c>
      <c r="AS2683" s="22" t="str">
        <f t="shared" si="790"/>
        <v/>
      </c>
      <c r="AT2683" s="24" t="str">
        <f t="shared" si="791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4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2"/>
        <v>900000</v>
      </c>
      <c r="AA2684" s="13">
        <v>1.2</v>
      </c>
      <c r="AB2684" s="21">
        <f t="shared" ref="AB2684:AB2747" si="799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79"/>
        <v>41443303.53761062</v>
      </c>
      <c r="AJ2684" s="19">
        <f t="shared" si="780"/>
        <v>6194988.76643031</v>
      </c>
      <c r="AK2684" s="20">
        <f t="shared" si="786"/>
        <v>0.1494810557466355</v>
      </c>
      <c r="AL2684" s="17"/>
      <c r="AM2684" s="17"/>
      <c r="AN2684" s="17"/>
      <c r="AO2684" s="17"/>
      <c r="AP2684" s="28" t="str">
        <f t="shared" si="787"/>
        <v>20217</v>
      </c>
      <c r="AQ2684" s="28" t="str">
        <f t="shared" si="788"/>
        <v>20217RMB</v>
      </c>
      <c r="AR2684" s="206" t="str">
        <f t="shared" si="789"/>
        <v>YAMAHA_Mounter</v>
      </c>
      <c r="AS2684" s="22">
        <f t="shared" si="790"/>
        <v>3</v>
      </c>
      <c r="AT2684" s="24" t="str">
        <f t="shared" si="791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4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2"/>
        <v>710000</v>
      </c>
      <c r="AA2685" s="13">
        <v>1.2</v>
      </c>
      <c r="AB2685" s="21">
        <f t="shared" si="799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79"/>
        <v>15533177.71460177</v>
      </c>
      <c r="AJ2685" s="19">
        <f t="shared" si="780"/>
        <v>1819298.5437526547</v>
      </c>
      <c r="AK2685" s="20">
        <f t="shared" si="786"/>
        <v>0.11712339723265033</v>
      </c>
      <c r="AL2685" s="17"/>
      <c r="AM2685" s="17"/>
      <c r="AN2685" s="17"/>
      <c r="AO2685" s="17"/>
      <c r="AP2685" s="28" t="str">
        <f t="shared" si="787"/>
        <v>202110</v>
      </c>
      <c r="AQ2685" s="28" t="str">
        <f t="shared" si="788"/>
        <v>202110RMB</v>
      </c>
      <c r="AR2685" s="206" t="str">
        <f t="shared" si="789"/>
        <v>YAMAHA_Mounter</v>
      </c>
      <c r="AS2685" s="22">
        <f t="shared" si="790"/>
        <v>6</v>
      </c>
      <c r="AT2685" s="24" t="str">
        <f t="shared" si="791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4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2"/>
        <v>520000</v>
      </c>
      <c r="AA2686" s="13">
        <v>1.0920000000000001</v>
      </c>
      <c r="AB2686" s="21">
        <f t="shared" si="799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79"/>
        <v>22953677.784070797</v>
      </c>
      <c r="AJ2686" s="19">
        <f t="shared" si="780"/>
        <v>4168706.6744155753</v>
      </c>
      <c r="AK2686" s="20">
        <f t="shared" si="786"/>
        <v>0.18161388835511752</v>
      </c>
      <c r="AL2686" s="17"/>
      <c r="AM2686" s="17"/>
      <c r="AN2686" s="17"/>
      <c r="AO2686" s="17"/>
      <c r="AP2686" s="28" t="str">
        <f t="shared" si="787"/>
        <v>20238</v>
      </c>
      <c r="AQ2686" s="28" t="str">
        <f t="shared" si="788"/>
        <v>20238RMB</v>
      </c>
      <c r="AR2686" s="206" t="str">
        <f t="shared" si="789"/>
        <v>YAMAHA_Mounter</v>
      </c>
      <c r="AS2686" s="22">
        <f t="shared" si="790"/>
        <v>3</v>
      </c>
      <c r="AT2686" s="24" t="str">
        <f t="shared" si="791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4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2"/>
        <v>900000</v>
      </c>
      <c r="AA2687" s="13">
        <v>1.0920000000000001</v>
      </c>
      <c r="AB2687" s="21">
        <f t="shared" si="799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79"/>
        <v>22953677.784070797</v>
      </c>
      <c r="AJ2687" s="19">
        <f t="shared" si="780"/>
        <v>4168706.6744155753</v>
      </c>
      <c r="AK2687" s="20">
        <f t="shared" si="786"/>
        <v>0.18161388835511752</v>
      </c>
      <c r="AL2687" s="17"/>
      <c r="AM2687" s="17"/>
      <c r="AN2687" s="17"/>
      <c r="AO2687" s="17"/>
      <c r="AP2687" s="28" t="str">
        <f t="shared" si="787"/>
        <v>20238</v>
      </c>
      <c r="AQ2687" s="28" t="str">
        <f t="shared" si="788"/>
        <v>20238RMB</v>
      </c>
      <c r="AR2687" s="206" t="str">
        <f t="shared" si="789"/>
        <v>YAMAHA_Mounter</v>
      </c>
      <c r="AS2687" s="22">
        <f t="shared" si="790"/>
        <v>3</v>
      </c>
      <c r="AT2687" s="24" t="str">
        <f t="shared" si="791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4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2"/>
        <v>470000</v>
      </c>
      <c r="AA2688" s="13">
        <v>1.0920000000000001</v>
      </c>
      <c r="AB2688" s="21">
        <f t="shared" si="799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79"/>
        <v>22953677.784070797</v>
      </c>
      <c r="AJ2688" s="19">
        <f t="shared" si="780"/>
        <v>4168706.6744155753</v>
      </c>
      <c r="AK2688" s="20">
        <f t="shared" si="786"/>
        <v>0.18161388835511752</v>
      </c>
      <c r="AL2688" s="17"/>
      <c r="AM2688" s="17"/>
      <c r="AN2688" s="17"/>
      <c r="AO2688" s="17"/>
      <c r="AP2688" s="28" t="str">
        <f t="shared" si="787"/>
        <v>20238</v>
      </c>
      <c r="AQ2688" s="28" t="str">
        <f t="shared" si="788"/>
        <v>20238RMB</v>
      </c>
      <c r="AR2688" s="206" t="str">
        <f t="shared" si="789"/>
        <v>YAMAHA_Non_Mounter</v>
      </c>
      <c r="AS2688" s="22">
        <f t="shared" si="790"/>
        <v>3</v>
      </c>
      <c r="AT2688" s="24" t="str">
        <f t="shared" si="791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4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0">IF(W2689="RMB","1.13", "1")</f>
        <v>1.13</v>
      </c>
      <c r="Z2689" s="18">
        <f t="shared" si="792"/>
        <v>1000000</v>
      </c>
      <c r="AA2689" s="13">
        <v>1.2</v>
      </c>
      <c r="AB2689" s="21">
        <f t="shared" si="799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79"/>
        <v>10844605.840707963</v>
      </c>
      <c r="AJ2689" s="19">
        <f t="shared" si="780"/>
        <v>1523130.9860707966</v>
      </c>
      <c r="AK2689" s="20">
        <f t="shared" si="786"/>
        <v>0.14045056209911663</v>
      </c>
      <c r="AL2689" s="17"/>
      <c r="AM2689" s="17"/>
      <c r="AN2689" s="17"/>
      <c r="AO2689" s="17"/>
      <c r="AP2689" s="28" t="str">
        <f t="shared" si="787"/>
        <v>20219</v>
      </c>
      <c r="AQ2689" s="28" t="str">
        <f t="shared" si="788"/>
        <v>20219RMB</v>
      </c>
      <c r="AR2689" s="206" t="str">
        <f t="shared" si="789"/>
        <v>YAMAHA_Mounter</v>
      </c>
      <c r="AS2689" s="22">
        <f t="shared" si="790"/>
        <v>7</v>
      </c>
      <c r="AT2689" s="24" t="str">
        <f t="shared" si="791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4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0"/>
        <v>1.13</v>
      </c>
      <c r="Z2690" s="18">
        <f t="shared" si="792"/>
        <v>1000000</v>
      </c>
      <c r="AA2690" s="13">
        <v>1.2</v>
      </c>
      <c r="AB2690" s="21">
        <f t="shared" si="799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01">IF(P2690="C66 SERVICE","",SUMIFS(AB:AB,F:F,F2690,G:G,G2690,E:E,E2690))</f>
        <v>10844605.840707963</v>
      </c>
      <c r="AJ2690" s="19">
        <f t="shared" ref="AJ2690:AJ2753" si="802">IF(P2690="C66 SERVICE","",SUMIFS(AC:AC,F:F,F2690,G:G,G2690,E:E,E2690))</f>
        <v>1523130.9860707966</v>
      </c>
      <c r="AK2690" s="20">
        <f t="shared" si="786"/>
        <v>0.14045056209911663</v>
      </c>
      <c r="AL2690" s="17"/>
      <c r="AM2690" s="17"/>
      <c r="AN2690" s="17"/>
      <c r="AO2690" s="17"/>
      <c r="AP2690" s="28" t="str">
        <f t="shared" si="787"/>
        <v>20219</v>
      </c>
      <c r="AQ2690" s="28" t="str">
        <f t="shared" si="788"/>
        <v>20219RMB</v>
      </c>
      <c r="AR2690" s="206" t="str">
        <f t="shared" si="789"/>
        <v>YAMAHA_Mounter</v>
      </c>
      <c r="AS2690" s="22">
        <f t="shared" si="790"/>
        <v>7</v>
      </c>
      <c r="AT2690" s="24" t="str">
        <f t="shared" si="791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4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0"/>
        <v>1.13</v>
      </c>
      <c r="Z2691" s="18">
        <f t="shared" si="792"/>
        <v>832700</v>
      </c>
      <c r="AA2691" s="13">
        <v>1.2</v>
      </c>
      <c r="AB2691" s="21">
        <f t="shared" si="799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01"/>
        <v>10844605.840707963</v>
      </c>
      <c r="AJ2691" s="19">
        <f t="shared" si="802"/>
        <v>1523130.9860707966</v>
      </c>
      <c r="AK2691" s="20">
        <f t="shared" si="786"/>
        <v>0.14045056209911663</v>
      </c>
      <c r="AL2691" s="17"/>
      <c r="AM2691" s="17"/>
      <c r="AN2691" s="17"/>
      <c r="AO2691" s="17"/>
      <c r="AP2691" s="28" t="str">
        <f t="shared" si="787"/>
        <v>20219</v>
      </c>
      <c r="AQ2691" s="28" t="str">
        <f t="shared" si="788"/>
        <v>20219RMB</v>
      </c>
      <c r="AR2691" s="206" t="str">
        <f t="shared" si="789"/>
        <v>YAMAHA_Mounter</v>
      </c>
      <c r="AS2691" s="22">
        <f t="shared" si="790"/>
        <v>7</v>
      </c>
      <c r="AT2691" s="24" t="str">
        <f t="shared" si="791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4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0"/>
        <v>1.13</v>
      </c>
      <c r="Z2692" s="18">
        <f t="shared" si="792"/>
        <v>832700</v>
      </c>
      <c r="AA2692" s="13">
        <v>1.2</v>
      </c>
      <c r="AB2692" s="21">
        <f t="shared" si="799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01"/>
        <v>10844605.840707963</v>
      </c>
      <c r="AJ2692" s="19">
        <f t="shared" si="802"/>
        <v>1523130.9860707966</v>
      </c>
      <c r="AK2692" s="20">
        <f t="shared" si="786"/>
        <v>0.14045056209911663</v>
      </c>
      <c r="AL2692" s="17"/>
      <c r="AM2692" s="17"/>
      <c r="AN2692" s="17"/>
      <c r="AO2692" s="17"/>
      <c r="AP2692" s="28" t="str">
        <f t="shared" si="787"/>
        <v>20219</v>
      </c>
      <c r="AQ2692" s="28" t="str">
        <f t="shared" si="788"/>
        <v>20219RMB</v>
      </c>
      <c r="AR2692" s="206" t="str">
        <f t="shared" si="789"/>
        <v>YAMAHA_Mounter</v>
      </c>
      <c r="AS2692" s="22">
        <f t="shared" si="790"/>
        <v>7</v>
      </c>
      <c r="AT2692" s="24" t="str">
        <f t="shared" si="791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4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0"/>
        <v>1</v>
      </c>
      <c r="Z2693" s="18">
        <f t="shared" si="792"/>
        <v>19000000</v>
      </c>
      <c r="AA2693" s="13">
        <v>7.5700000000000003E-2</v>
      </c>
      <c r="AB2693" s="21">
        <f t="shared" si="799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01"/>
        <v>31097187.02948761</v>
      </c>
      <c r="AJ2693" s="19">
        <f t="shared" si="802"/>
        <v>3892353.6644401965</v>
      </c>
      <c r="AK2693" s="20">
        <f t="shared" si="786"/>
        <v>0.12516738767237401</v>
      </c>
      <c r="AL2693" s="17"/>
      <c r="AM2693" s="17"/>
      <c r="AN2693" s="17"/>
      <c r="AO2693" s="17"/>
      <c r="AP2693" s="28" t="str">
        <f t="shared" si="787"/>
        <v>20212</v>
      </c>
      <c r="AQ2693" s="28" t="str">
        <f t="shared" si="788"/>
        <v>20212JPY</v>
      </c>
      <c r="AR2693" s="206" t="str">
        <f t="shared" si="789"/>
        <v>YAMAHA_Mounter</v>
      </c>
      <c r="AS2693" s="22">
        <f t="shared" si="790"/>
        <v>2</v>
      </c>
      <c r="AT2693" s="24" t="str">
        <f t="shared" si="791"/>
        <v>0-3 months</v>
      </c>
      <c r="AU2693" s="22" t="s">
        <v>3746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4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0"/>
        <v>1</v>
      </c>
      <c r="Z2694" s="18">
        <f t="shared" si="792"/>
        <v>19000000</v>
      </c>
      <c r="AA2694" s="13">
        <v>7.5700000000000003E-2</v>
      </c>
      <c r="AB2694" s="21">
        <f t="shared" si="799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01"/>
        <v>31097187.02948761</v>
      </c>
      <c r="AJ2694" s="19">
        <f t="shared" si="802"/>
        <v>3892353.6644401965</v>
      </c>
      <c r="AK2694" s="20">
        <f t="shared" ref="AK2694:AK2757" si="808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09">IF(F2694="","",F2694&amp;G2694)</f>
        <v>20212</v>
      </c>
      <c r="AQ2694" s="28" t="str">
        <f t="shared" ref="AQ2694:AQ2757" si="810">IF(W2694="","",F2694&amp;G2694&amp;W2694)</f>
        <v>20212JPY</v>
      </c>
      <c r="AR2694" s="206" t="str">
        <f t="shared" ref="AR2694:AR2757" si="811">IFERROR(IF(AND(M2694="YAMAHA", R2694="C28"), "YAMAHA_Non_Mounter", IF(AND(M2694="YAMAHA", R2694="C49"), "YAMAHA_Mounter", M2694)),"")</f>
        <v>YAMAHA_Mounter</v>
      </c>
      <c r="AS2694" s="22">
        <f t="shared" ref="AS2694:AS2757" si="812">IFERROR(IF(OR(G2694="TBA", G2694=""), "", DATEDIF(DATE(B2694, C2694, 1), DATE(F2694, G2694, 1), "M")),"")</f>
        <v>2</v>
      </c>
      <c r="AT2694" s="24" t="str">
        <f t="shared" ref="AT2694:AT2757" si="813">IF(ISNUMBER(AS2694), IF(AS2694&gt;=0, IF(AS2694&lt;=3, "0-3 months", IF(AS2694&lt;=6, "4-6 months", "&gt; 6 months"))), "")</f>
        <v>0-3 months</v>
      </c>
      <c r="AU2694" s="22" t="s">
        <v>3746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4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0"/>
        <v>1</v>
      </c>
      <c r="Z2695" s="18">
        <f t="shared" si="792"/>
        <v>11000000</v>
      </c>
      <c r="AA2695" s="13">
        <v>7.5700000000000003E-2</v>
      </c>
      <c r="AB2695" s="21">
        <f t="shared" si="799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1"/>
        <v>31097187.02948761</v>
      </c>
      <c r="AJ2695" s="19">
        <f t="shared" si="802"/>
        <v>3892353.6644401965</v>
      </c>
      <c r="AK2695" s="20">
        <f t="shared" si="808"/>
        <v>0.12516738767237401</v>
      </c>
      <c r="AL2695" s="17"/>
      <c r="AM2695" s="17"/>
      <c r="AN2695" s="17"/>
      <c r="AO2695" s="17"/>
      <c r="AP2695" s="28" t="str">
        <f t="shared" si="809"/>
        <v>20212</v>
      </c>
      <c r="AQ2695" s="28" t="str">
        <f t="shared" si="810"/>
        <v>20212JPY</v>
      </c>
      <c r="AR2695" s="206" t="str">
        <f t="shared" si="811"/>
        <v>YAMAHA_Mounter</v>
      </c>
      <c r="AS2695" s="22">
        <f t="shared" si="812"/>
        <v>2</v>
      </c>
      <c r="AT2695" s="24" t="str">
        <f t="shared" si="813"/>
        <v>0-3 months</v>
      </c>
      <c r="AU2695" s="22" t="s">
        <v>3746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4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0"/>
        <v>1</v>
      </c>
      <c r="Z2696" s="18">
        <f t="shared" si="792"/>
        <v>11000000</v>
      </c>
      <c r="AA2696" s="13">
        <v>7.4499999999999997E-2</v>
      </c>
      <c r="AB2696" s="21">
        <f t="shared" si="799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1"/>
        <v>57778307.282035396</v>
      </c>
      <c r="AJ2696" s="19">
        <f t="shared" si="802"/>
        <v>7259860.7225420559</v>
      </c>
      <c r="AK2696" s="20">
        <f t="shared" si="808"/>
        <v>0.12565028406083667</v>
      </c>
      <c r="AL2696" s="17"/>
      <c r="AM2696" s="17"/>
      <c r="AN2696" s="17"/>
      <c r="AO2696" s="17"/>
      <c r="AP2696" s="28" t="str">
        <f t="shared" si="809"/>
        <v>20213</v>
      </c>
      <c r="AQ2696" s="28" t="str">
        <f t="shared" si="810"/>
        <v>20213JPY</v>
      </c>
      <c r="AR2696" s="206" t="str">
        <f t="shared" si="811"/>
        <v>YAMAHA_Mounter</v>
      </c>
      <c r="AS2696" s="22">
        <f t="shared" si="812"/>
        <v>3</v>
      </c>
      <c r="AT2696" s="24" t="str">
        <f t="shared" si="813"/>
        <v>0-3 months</v>
      </c>
      <c r="AU2696" s="22" t="s">
        <v>3746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4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2"/>
        <v>65400</v>
      </c>
      <c r="AA2697" s="13">
        <v>1.23</v>
      </c>
      <c r="AB2697" s="21">
        <f t="shared" si="799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1"/>
        <v>24398045.86045352</v>
      </c>
      <c r="AJ2697" s="19">
        <f t="shared" si="802"/>
        <v>3478417.4064663448</v>
      </c>
      <c r="AK2697" s="20">
        <f t="shared" si="808"/>
        <v>0.14256950849102498</v>
      </c>
      <c r="AL2697" s="17"/>
      <c r="AM2697" s="17"/>
      <c r="AN2697" s="17"/>
      <c r="AO2697" s="17"/>
      <c r="AP2697" s="28" t="str">
        <f t="shared" si="809"/>
        <v>20186</v>
      </c>
      <c r="AQ2697" s="28" t="str">
        <f t="shared" si="810"/>
        <v>20186RMB</v>
      </c>
      <c r="AR2697" s="206" t="str">
        <f t="shared" si="811"/>
        <v>NUTEK</v>
      </c>
      <c r="AS2697" s="22">
        <f t="shared" si="812"/>
        <v>3</v>
      </c>
      <c r="AT2697" s="24" t="str">
        <f t="shared" si="813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4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4">IF(X2698="","",X2698*MAX(O2698,N2698))</f>
        <v>54700</v>
      </c>
      <c r="AA2698" s="13">
        <v>1.23</v>
      </c>
      <c r="AB2698" s="21">
        <f t="shared" si="799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1"/>
        <v>24398045.86045352</v>
      </c>
      <c r="AJ2698" s="19">
        <f t="shared" si="802"/>
        <v>3478417.4064663448</v>
      </c>
      <c r="AK2698" s="20">
        <f t="shared" si="808"/>
        <v>0.14256950849102498</v>
      </c>
      <c r="AL2698" s="17"/>
      <c r="AM2698" s="17"/>
      <c r="AN2698" s="17"/>
      <c r="AO2698" s="17"/>
      <c r="AP2698" s="28" t="str">
        <f t="shared" si="809"/>
        <v>20186</v>
      </c>
      <c r="AQ2698" s="28" t="str">
        <f t="shared" si="810"/>
        <v>20186RMB</v>
      </c>
      <c r="AR2698" s="206" t="str">
        <f t="shared" si="811"/>
        <v>NUTEK</v>
      </c>
      <c r="AS2698" s="22">
        <f t="shared" si="812"/>
        <v>3</v>
      </c>
      <c r="AT2698" s="24" t="str">
        <f t="shared" si="813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4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4"/>
        <v>45300</v>
      </c>
      <c r="AA2699" s="13">
        <v>1.23</v>
      </c>
      <c r="AB2699" s="21">
        <f t="shared" si="799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1"/>
        <v>24398045.86045352</v>
      </c>
      <c r="AJ2699" s="19">
        <f t="shared" si="802"/>
        <v>3478417.4064663448</v>
      </c>
      <c r="AK2699" s="20">
        <f t="shared" si="808"/>
        <v>0.14256950849102498</v>
      </c>
      <c r="AL2699" s="17"/>
      <c r="AM2699" s="17"/>
      <c r="AN2699" s="17"/>
      <c r="AO2699" s="17"/>
      <c r="AP2699" s="28" t="str">
        <f t="shared" si="809"/>
        <v>20186</v>
      </c>
      <c r="AQ2699" s="28" t="str">
        <f t="shared" si="810"/>
        <v>20186RMB</v>
      </c>
      <c r="AR2699" s="206" t="str">
        <f t="shared" si="811"/>
        <v>NUTEK</v>
      </c>
      <c r="AS2699" s="22">
        <f t="shared" si="812"/>
        <v>3</v>
      </c>
      <c r="AT2699" s="24" t="str">
        <f t="shared" si="813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4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4"/>
        <v>840000</v>
      </c>
      <c r="AA2700" s="13">
        <v>1.1100000000000001</v>
      </c>
      <c r="AB2700" s="21">
        <f t="shared" si="799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1"/>
        <v>26147030.909862842</v>
      </c>
      <c r="AJ2700" s="19">
        <f t="shared" si="802"/>
        <v>2743862.8630715334</v>
      </c>
      <c r="AK2700" s="20">
        <f t="shared" si="808"/>
        <v>0.10493974908778378</v>
      </c>
      <c r="AL2700" s="17"/>
      <c r="AM2700" s="17"/>
      <c r="AN2700" s="17"/>
      <c r="AO2700" s="17"/>
      <c r="AP2700" s="28" t="str">
        <f t="shared" si="809"/>
        <v>201911</v>
      </c>
      <c r="AQ2700" s="28" t="str">
        <f t="shared" si="810"/>
        <v>201911RMB</v>
      </c>
      <c r="AR2700" s="206" t="str">
        <f t="shared" si="811"/>
        <v>YAMAHA_Mounter</v>
      </c>
      <c r="AS2700" s="22">
        <f t="shared" si="812"/>
        <v>2</v>
      </c>
      <c r="AT2700" s="24" t="str">
        <f t="shared" si="813"/>
        <v>0-3 months</v>
      </c>
      <c r="AU2700" s="22" t="s">
        <v>3744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4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4"/>
        <v>840000</v>
      </c>
      <c r="AA2701" s="13">
        <v>1.1100000000000001</v>
      </c>
      <c r="AB2701" s="21">
        <f t="shared" si="799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1"/>
        <v>26147030.909862842</v>
      </c>
      <c r="AJ2701" s="19">
        <f t="shared" si="802"/>
        <v>2743862.8630715334</v>
      </c>
      <c r="AK2701" s="20">
        <f t="shared" si="808"/>
        <v>0.10493974908778378</v>
      </c>
      <c r="AL2701" s="17"/>
      <c r="AM2701" s="17"/>
      <c r="AN2701" s="17"/>
      <c r="AO2701" s="17"/>
      <c r="AP2701" s="28" t="str">
        <f t="shared" si="809"/>
        <v>201911</v>
      </c>
      <c r="AQ2701" s="28" t="str">
        <f t="shared" si="810"/>
        <v>201911RMB</v>
      </c>
      <c r="AR2701" s="206" t="str">
        <f t="shared" si="811"/>
        <v>YAMAHA_Mounter</v>
      </c>
      <c r="AS2701" s="22">
        <f t="shared" si="812"/>
        <v>2</v>
      </c>
      <c r="AT2701" s="24" t="str">
        <f t="shared" si="813"/>
        <v>0-3 months</v>
      </c>
      <c r="AU2701" s="22" t="s">
        <v>3744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4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4"/>
        <v>840000</v>
      </c>
      <c r="AA2702" s="13">
        <v>1.1100000000000001</v>
      </c>
      <c r="AB2702" s="21">
        <f t="shared" si="799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1"/>
        <v>26147030.909862842</v>
      </c>
      <c r="AJ2702" s="19">
        <f t="shared" si="802"/>
        <v>2743862.8630715334</v>
      </c>
      <c r="AK2702" s="20">
        <f t="shared" si="808"/>
        <v>0.10493974908778378</v>
      </c>
      <c r="AL2702" s="17"/>
      <c r="AM2702" s="17"/>
      <c r="AN2702" s="17"/>
      <c r="AO2702" s="17"/>
      <c r="AP2702" s="28" t="str">
        <f t="shared" si="809"/>
        <v>201911</v>
      </c>
      <c r="AQ2702" s="28" t="str">
        <f t="shared" si="810"/>
        <v>201911RMB</v>
      </c>
      <c r="AR2702" s="206" t="str">
        <f t="shared" si="811"/>
        <v>YAMAHA_Mounter</v>
      </c>
      <c r="AS2702" s="22">
        <f t="shared" si="812"/>
        <v>2</v>
      </c>
      <c r="AT2702" s="24" t="str">
        <f t="shared" si="813"/>
        <v>0-3 months</v>
      </c>
      <c r="AU2702" s="22" t="s">
        <v>3744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4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4"/>
        <v>840000</v>
      </c>
      <c r="AA2703" s="13">
        <v>1.1100000000000001</v>
      </c>
      <c r="AB2703" s="21">
        <f t="shared" si="799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1"/>
        <v>26147030.909862842</v>
      </c>
      <c r="AJ2703" s="19">
        <f t="shared" si="802"/>
        <v>2743862.8630715334</v>
      </c>
      <c r="AK2703" s="20">
        <f t="shared" si="808"/>
        <v>0.10493974908778378</v>
      </c>
      <c r="AL2703" s="17"/>
      <c r="AM2703" s="17"/>
      <c r="AN2703" s="17"/>
      <c r="AO2703" s="17"/>
      <c r="AP2703" s="28" t="str">
        <f t="shared" si="809"/>
        <v>201911</v>
      </c>
      <c r="AQ2703" s="28" t="str">
        <f t="shared" si="810"/>
        <v>201911RMB</v>
      </c>
      <c r="AR2703" s="206" t="str">
        <f t="shared" si="811"/>
        <v>YAMAHA_Mounter</v>
      </c>
      <c r="AS2703" s="22">
        <f t="shared" si="812"/>
        <v>2</v>
      </c>
      <c r="AT2703" s="24" t="str">
        <f t="shared" si="813"/>
        <v>0-3 months</v>
      </c>
      <c r="AU2703" s="22" t="s">
        <v>3744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4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4"/>
        <v>624100</v>
      </c>
      <c r="AA2704" s="13">
        <v>1.1100000000000001</v>
      </c>
      <c r="AB2704" s="21">
        <f t="shared" si="799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1"/>
        <v>26147030.909862842</v>
      </c>
      <c r="AJ2704" s="19">
        <f t="shared" si="802"/>
        <v>2743862.8630715334</v>
      </c>
      <c r="AK2704" s="20">
        <f t="shared" si="808"/>
        <v>0.10493974908778378</v>
      </c>
      <c r="AL2704" s="17"/>
      <c r="AM2704" s="17"/>
      <c r="AN2704" s="17"/>
      <c r="AO2704" s="17"/>
      <c r="AP2704" s="28" t="str">
        <f t="shared" si="809"/>
        <v>201911</v>
      </c>
      <c r="AQ2704" s="28" t="str">
        <f t="shared" si="810"/>
        <v>201911RMB</v>
      </c>
      <c r="AR2704" s="206" t="str">
        <f t="shared" si="811"/>
        <v>YAMAHA_Mounter</v>
      </c>
      <c r="AS2704" s="22">
        <f t="shared" si="812"/>
        <v>2</v>
      </c>
      <c r="AT2704" s="24" t="str">
        <f t="shared" si="813"/>
        <v>0-3 months</v>
      </c>
      <c r="AU2704" s="22" t="s">
        <v>3744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4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4"/>
        <v>624100</v>
      </c>
      <c r="AA2705" s="13">
        <v>1.1100000000000001</v>
      </c>
      <c r="AB2705" s="21">
        <f t="shared" si="799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1"/>
        <v>26147030.909862842</v>
      </c>
      <c r="AJ2705" s="19">
        <f t="shared" si="802"/>
        <v>2743862.8630715334</v>
      </c>
      <c r="AK2705" s="20">
        <f t="shared" si="808"/>
        <v>0.10493974908778378</v>
      </c>
      <c r="AL2705" s="17"/>
      <c r="AM2705" s="17"/>
      <c r="AN2705" s="17"/>
      <c r="AO2705" s="17"/>
      <c r="AP2705" s="28" t="str">
        <f t="shared" si="809"/>
        <v>201911</v>
      </c>
      <c r="AQ2705" s="28" t="str">
        <f t="shared" si="810"/>
        <v>201911RMB</v>
      </c>
      <c r="AR2705" s="206" t="str">
        <f t="shared" si="811"/>
        <v>YAMAHA_Mounter</v>
      </c>
      <c r="AS2705" s="22">
        <f t="shared" si="812"/>
        <v>2</v>
      </c>
      <c r="AT2705" s="24" t="str">
        <f t="shared" si="813"/>
        <v>0-3 months</v>
      </c>
      <c r="AU2705" s="22" t="s">
        <v>3744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4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4"/>
        <v>840000</v>
      </c>
      <c r="AA2706" s="13">
        <v>1.095</v>
      </c>
      <c r="AB2706" s="21">
        <f t="shared" si="799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1"/>
        <v>37599388.802345134</v>
      </c>
      <c r="AJ2706" s="19">
        <f t="shared" si="802"/>
        <v>4866784.3630338367</v>
      </c>
      <c r="AK2706" s="20">
        <f t="shared" si="808"/>
        <v>0.12943785838163113</v>
      </c>
      <c r="AL2706" s="17"/>
      <c r="AM2706" s="17"/>
      <c r="AN2706" s="17"/>
      <c r="AO2706" s="17"/>
      <c r="AP2706" s="28" t="str">
        <f t="shared" si="809"/>
        <v>20199</v>
      </c>
      <c r="AQ2706" s="28" t="str">
        <f t="shared" si="810"/>
        <v>20199RMB</v>
      </c>
      <c r="AR2706" s="206" t="str">
        <f t="shared" si="811"/>
        <v>YAMAHA_Mounter</v>
      </c>
      <c r="AS2706" s="22">
        <f t="shared" si="812"/>
        <v>0</v>
      </c>
      <c r="AT2706" s="24" t="str">
        <f t="shared" si="813"/>
        <v>0-3 months</v>
      </c>
      <c r="AU2706" s="22" t="s">
        <v>3744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4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4"/>
        <v>840000</v>
      </c>
      <c r="AA2707" s="13">
        <v>1.095</v>
      </c>
      <c r="AB2707" s="21">
        <f t="shared" si="799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1"/>
        <v>37599388.802345134</v>
      </c>
      <c r="AJ2707" s="19">
        <f t="shared" si="802"/>
        <v>4866784.3630338367</v>
      </c>
      <c r="AK2707" s="20">
        <f t="shared" si="808"/>
        <v>0.12943785838163113</v>
      </c>
      <c r="AL2707" s="17"/>
      <c r="AM2707" s="17"/>
      <c r="AN2707" s="17"/>
      <c r="AO2707" s="17"/>
      <c r="AP2707" s="28" t="str">
        <f t="shared" si="809"/>
        <v>20199</v>
      </c>
      <c r="AQ2707" s="28" t="str">
        <f t="shared" si="810"/>
        <v>20199RMB</v>
      </c>
      <c r="AR2707" s="206" t="str">
        <f t="shared" si="811"/>
        <v>YAMAHA_Mounter</v>
      </c>
      <c r="AS2707" s="22">
        <f t="shared" si="812"/>
        <v>0</v>
      </c>
      <c r="AT2707" s="24" t="str">
        <f t="shared" si="813"/>
        <v>0-3 months</v>
      </c>
      <c r="AU2707" s="22" t="s">
        <v>3744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4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4"/>
        <v>840000</v>
      </c>
      <c r="AA2708" s="13">
        <v>1.095</v>
      </c>
      <c r="AB2708" s="21">
        <f t="shared" si="799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1"/>
        <v>37599388.802345134</v>
      </c>
      <c r="AJ2708" s="19">
        <f t="shared" si="802"/>
        <v>4866784.3630338367</v>
      </c>
      <c r="AK2708" s="20">
        <f t="shared" si="808"/>
        <v>0.12943785838163113</v>
      </c>
      <c r="AL2708" s="17"/>
      <c r="AM2708" s="17"/>
      <c r="AN2708" s="17"/>
      <c r="AO2708" s="17"/>
      <c r="AP2708" s="28" t="str">
        <f t="shared" si="809"/>
        <v>20199</v>
      </c>
      <c r="AQ2708" s="28" t="str">
        <f t="shared" si="810"/>
        <v>20199RMB</v>
      </c>
      <c r="AR2708" s="206" t="str">
        <f t="shared" si="811"/>
        <v>YAMAHA_Mounter</v>
      </c>
      <c r="AS2708" s="22">
        <f t="shared" si="812"/>
        <v>0</v>
      </c>
      <c r="AT2708" s="24" t="str">
        <f t="shared" si="813"/>
        <v>0-3 months</v>
      </c>
      <c r="AU2708" s="22" t="s">
        <v>3744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4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4"/>
        <v>840000</v>
      </c>
      <c r="AA2709" s="13">
        <v>1.095</v>
      </c>
      <c r="AB2709" s="21">
        <f t="shared" si="799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1"/>
        <v>37599388.802345134</v>
      </c>
      <c r="AJ2709" s="19">
        <f t="shared" si="802"/>
        <v>4866784.3630338367</v>
      </c>
      <c r="AK2709" s="20">
        <f t="shared" si="808"/>
        <v>0.12943785838163113</v>
      </c>
      <c r="AL2709" s="17"/>
      <c r="AM2709" s="17"/>
      <c r="AN2709" s="17"/>
      <c r="AO2709" s="17"/>
      <c r="AP2709" s="28" t="str">
        <f t="shared" si="809"/>
        <v>20199</v>
      </c>
      <c r="AQ2709" s="28" t="str">
        <f t="shared" si="810"/>
        <v>20199RMB</v>
      </c>
      <c r="AR2709" s="206" t="str">
        <f t="shared" si="811"/>
        <v>YAMAHA_Mounter</v>
      </c>
      <c r="AS2709" s="22">
        <f t="shared" si="812"/>
        <v>0</v>
      </c>
      <c r="AT2709" s="24" t="str">
        <f t="shared" si="813"/>
        <v>0-3 months</v>
      </c>
      <c r="AU2709" s="22" t="s">
        <v>3744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5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4"/>
        <v>624100</v>
      </c>
      <c r="AA2710" s="13">
        <v>1.095</v>
      </c>
      <c r="AB2710" s="21">
        <f t="shared" si="799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1"/>
        <v>37599388.802345134</v>
      </c>
      <c r="AJ2710" s="19">
        <f t="shared" si="802"/>
        <v>4866784.3630338367</v>
      </c>
      <c r="AK2710" s="20">
        <f t="shared" si="808"/>
        <v>0.12943785838163113</v>
      </c>
      <c r="AL2710" s="17"/>
      <c r="AM2710" s="17"/>
      <c r="AN2710" s="17"/>
      <c r="AO2710" s="17"/>
      <c r="AP2710" s="28" t="str">
        <f t="shared" si="809"/>
        <v>20199</v>
      </c>
      <c r="AQ2710" s="28" t="str">
        <f t="shared" si="810"/>
        <v>20199RMB</v>
      </c>
      <c r="AR2710" s="206" t="str">
        <f t="shared" si="811"/>
        <v>YAMAHA_Mounter</v>
      </c>
      <c r="AS2710" s="22">
        <f t="shared" si="812"/>
        <v>0</v>
      </c>
      <c r="AT2710" s="24" t="str">
        <f t="shared" si="813"/>
        <v>0-3 months</v>
      </c>
      <c r="AU2710" s="22" t="s">
        <v>3744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5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4"/>
        <v>624100</v>
      </c>
      <c r="AA2711" s="13">
        <v>1.095</v>
      </c>
      <c r="AB2711" s="21">
        <f t="shared" si="799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1"/>
        <v>37599388.802345134</v>
      </c>
      <c r="AJ2711" s="19">
        <f t="shared" si="802"/>
        <v>4866784.3630338367</v>
      </c>
      <c r="AK2711" s="20">
        <f t="shared" si="808"/>
        <v>0.12943785838163113</v>
      </c>
      <c r="AL2711" s="17"/>
      <c r="AM2711" s="17"/>
      <c r="AN2711" s="17"/>
      <c r="AO2711" s="17"/>
      <c r="AP2711" s="28" t="str">
        <f t="shared" si="809"/>
        <v>20199</v>
      </c>
      <c r="AQ2711" s="28" t="str">
        <f t="shared" si="810"/>
        <v>20199RMB</v>
      </c>
      <c r="AR2711" s="206" t="str">
        <f t="shared" si="811"/>
        <v>YAMAHA_Mounter</v>
      </c>
      <c r="AS2711" s="22">
        <f t="shared" si="812"/>
        <v>0</v>
      </c>
      <c r="AT2711" s="24" t="str">
        <f t="shared" si="813"/>
        <v>0-3 months</v>
      </c>
      <c r="AU2711" s="22" t="s">
        <v>3744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5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6">IF(W2712="RMB","1.13", "1")</f>
        <v>1</v>
      </c>
      <c r="Z2712" s="18">
        <f t="shared" si="814"/>
        <v>7000000</v>
      </c>
      <c r="AA2712" s="13">
        <v>7.4499999999999997E-2</v>
      </c>
      <c r="AB2712" s="21">
        <f t="shared" si="799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1"/>
        <v>57778307.282035396</v>
      </c>
      <c r="AJ2712" s="19">
        <f t="shared" si="802"/>
        <v>7259860.7225420559</v>
      </c>
      <c r="AK2712" s="20">
        <f t="shared" si="808"/>
        <v>0.12565028406083667</v>
      </c>
      <c r="AL2712" s="17"/>
      <c r="AM2712" s="17"/>
      <c r="AN2712" s="17"/>
      <c r="AO2712" s="17"/>
      <c r="AP2712" s="28" t="str">
        <f t="shared" si="809"/>
        <v>20213</v>
      </c>
      <c r="AQ2712" s="28" t="str">
        <f t="shared" si="810"/>
        <v>20213JPY</v>
      </c>
      <c r="AR2712" s="206" t="str">
        <f t="shared" si="811"/>
        <v>YAMAHA_Mounter</v>
      </c>
      <c r="AS2712" s="22">
        <f t="shared" si="812"/>
        <v>4</v>
      </c>
      <c r="AT2712" s="24" t="str">
        <f t="shared" si="813"/>
        <v>4-6 months</v>
      </c>
      <c r="AU2712" s="22" t="s">
        <v>3745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5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6"/>
        <v>1.13</v>
      </c>
      <c r="Z2713" s="18">
        <f t="shared" si="814"/>
        <v>900000</v>
      </c>
      <c r="AA2713" s="13">
        <v>1.1299999999999999</v>
      </c>
      <c r="AB2713" s="21">
        <f t="shared" si="799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1"/>
        <v>33543315.897345133</v>
      </c>
      <c r="AJ2713" s="19">
        <f t="shared" si="802"/>
        <v>4706169.3252984071</v>
      </c>
      <c r="AK2713" s="20">
        <f t="shared" si="808"/>
        <v>0.14030125523967318</v>
      </c>
      <c r="AL2713" s="17"/>
      <c r="AM2713" s="17"/>
      <c r="AN2713" s="17"/>
      <c r="AO2713" s="17"/>
      <c r="AP2713" s="28" t="str">
        <f t="shared" si="809"/>
        <v>20233</v>
      </c>
      <c r="AQ2713" s="28" t="str">
        <f t="shared" si="810"/>
        <v>20233RMB</v>
      </c>
      <c r="AR2713" s="206" t="str">
        <f t="shared" si="811"/>
        <v>YAMAHA_Mounter</v>
      </c>
      <c r="AS2713" s="22">
        <f t="shared" si="812"/>
        <v>0</v>
      </c>
      <c r="AT2713" s="24" t="str">
        <f t="shared" si="813"/>
        <v>0-3 months</v>
      </c>
      <c r="AU2713" s="22" t="s">
        <v>3751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5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6"/>
        <v>1.13</v>
      </c>
      <c r="Z2714" s="18">
        <f t="shared" si="814"/>
        <v>690000</v>
      </c>
      <c r="AA2714" s="13">
        <v>1.135</v>
      </c>
      <c r="AB2714" s="21">
        <f t="shared" si="799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1"/>
        <v>33543315.897345133</v>
      </c>
      <c r="AJ2714" s="19">
        <f t="shared" si="802"/>
        <v>4706169.3252984071</v>
      </c>
      <c r="AK2714" s="20">
        <f t="shared" si="808"/>
        <v>0.14030125523967318</v>
      </c>
      <c r="AL2714" s="17"/>
      <c r="AM2714" s="17"/>
      <c r="AN2714" s="17"/>
      <c r="AO2714" s="17"/>
      <c r="AP2714" s="28" t="str">
        <f t="shared" si="809"/>
        <v>20233</v>
      </c>
      <c r="AQ2714" s="28" t="str">
        <f t="shared" si="810"/>
        <v>20233RMB</v>
      </c>
      <c r="AR2714" s="206" t="str">
        <f t="shared" si="811"/>
        <v>YAMAHA_Mounter</v>
      </c>
      <c r="AS2714" s="22">
        <f t="shared" si="812"/>
        <v>0</v>
      </c>
      <c r="AT2714" s="24" t="str">
        <f t="shared" si="813"/>
        <v>0-3 months</v>
      </c>
      <c r="AU2714" s="22" t="s">
        <v>3751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5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6"/>
        <v>1.13</v>
      </c>
      <c r="Z2715" s="18">
        <f t="shared" si="814"/>
        <v>900000</v>
      </c>
      <c r="AA2715" s="13">
        <v>1.081</v>
      </c>
      <c r="AB2715" s="21">
        <f t="shared" si="799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1"/>
        <v>15951056.41591504</v>
      </c>
      <c r="AJ2715" s="19">
        <f t="shared" si="802"/>
        <v>1966354.6022462982</v>
      </c>
      <c r="AK2715" s="20">
        <f t="shared" si="808"/>
        <v>0.12327425538313459</v>
      </c>
      <c r="AL2715" s="17"/>
      <c r="AM2715" s="17"/>
      <c r="AN2715" s="17"/>
      <c r="AO2715" s="17"/>
      <c r="AP2715" s="28" t="str">
        <f t="shared" si="809"/>
        <v>20237</v>
      </c>
      <c r="AQ2715" s="28" t="str">
        <f t="shared" si="810"/>
        <v>20237RMB</v>
      </c>
      <c r="AR2715" s="206" t="str">
        <f t="shared" si="811"/>
        <v>YAMAHA_Mounter</v>
      </c>
      <c r="AS2715" s="22">
        <f t="shared" si="812"/>
        <v>4</v>
      </c>
      <c r="AT2715" s="24" t="str">
        <f t="shared" si="813"/>
        <v>4-6 months</v>
      </c>
      <c r="AU2715" s="22" t="s">
        <v>3751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5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6"/>
        <v>1.13</v>
      </c>
      <c r="Z2716" s="18">
        <f t="shared" si="814"/>
        <v>690000</v>
      </c>
      <c r="AA2716" s="13">
        <v>1.081</v>
      </c>
      <c r="AB2716" s="21">
        <f t="shared" si="799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1"/>
        <v>15951056.41591504</v>
      </c>
      <c r="AJ2716" s="19">
        <f t="shared" si="802"/>
        <v>1966354.6022462982</v>
      </c>
      <c r="AK2716" s="20">
        <f t="shared" si="808"/>
        <v>0.12327425538313459</v>
      </c>
      <c r="AL2716" s="17"/>
      <c r="AM2716" s="17"/>
      <c r="AN2716" s="17"/>
      <c r="AO2716" s="17"/>
      <c r="AP2716" s="28" t="str">
        <f t="shared" si="809"/>
        <v>20237</v>
      </c>
      <c r="AQ2716" s="28" t="str">
        <f t="shared" si="810"/>
        <v>20237RMB</v>
      </c>
      <c r="AR2716" s="206" t="str">
        <f t="shared" si="811"/>
        <v>YAMAHA_Mounter</v>
      </c>
      <c r="AS2716" s="22">
        <f t="shared" si="812"/>
        <v>4</v>
      </c>
      <c r="AT2716" s="24" t="str">
        <f t="shared" si="813"/>
        <v>4-6 months</v>
      </c>
      <c r="AU2716" s="22" t="s">
        <v>3751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5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6"/>
        <v>1.13</v>
      </c>
      <c r="Z2717" s="18">
        <f t="shared" si="814"/>
        <v>500000</v>
      </c>
      <c r="AA2717" s="13">
        <v>1.175</v>
      </c>
      <c r="AB2717" s="21">
        <f t="shared" si="799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1"/>
        <v>48763143.537654862</v>
      </c>
      <c r="AJ2717" s="19">
        <f t="shared" si="802"/>
        <v>5924029.9702154724</v>
      </c>
      <c r="AK2717" s="20">
        <f t="shared" si="808"/>
        <v>0.1214858095774925</v>
      </c>
      <c r="AL2717" s="17"/>
      <c r="AM2717" s="17"/>
      <c r="AN2717" s="17"/>
      <c r="AO2717" s="17"/>
      <c r="AP2717" s="28" t="str">
        <f t="shared" si="809"/>
        <v>202012</v>
      </c>
      <c r="AQ2717" s="28" t="str">
        <f t="shared" si="810"/>
        <v>202012RMB</v>
      </c>
      <c r="AR2717" s="206" t="str">
        <f t="shared" si="811"/>
        <v>YAMAHA_Mounter</v>
      </c>
      <c r="AS2717" s="22">
        <f t="shared" si="812"/>
        <v>3</v>
      </c>
      <c r="AT2717" s="24" t="str">
        <f t="shared" si="813"/>
        <v>0-3 months</v>
      </c>
      <c r="AU2717" s="22" t="s">
        <v>3744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5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6"/>
        <v>1.13</v>
      </c>
      <c r="Z2718" s="18">
        <f t="shared" si="814"/>
        <v>850000</v>
      </c>
      <c r="AA2718" s="13">
        <v>1.21</v>
      </c>
      <c r="AB2718" s="21">
        <f t="shared" si="799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1"/>
        <v>499582152.5142017</v>
      </c>
      <c r="AJ2718" s="19">
        <f t="shared" si="802"/>
        <v>59520528.679470733</v>
      </c>
      <c r="AK2718" s="20">
        <f t="shared" si="808"/>
        <v>0.11914062257814291</v>
      </c>
      <c r="AL2718" s="17"/>
      <c r="AM2718" s="17"/>
      <c r="AN2718" s="17"/>
      <c r="AO2718" s="17"/>
      <c r="AP2718" s="28" t="str">
        <f t="shared" si="809"/>
        <v>CancelCancel</v>
      </c>
      <c r="AQ2718" s="28" t="str">
        <f t="shared" si="810"/>
        <v>CancelCancelRMB</v>
      </c>
      <c r="AR2718" s="206" t="str">
        <f t="shared" si="811"/>
        <v>YAMAHA_Mounter</v>
      </c>
      <c r="AS2718" s="22" t="str">
        <f t="shared" si="812"/>
        <v/>
      </c>
      <c r="AT2718" s="24" t="str">
        <f t="shared" si="813"/>
        <v/>
      </c>
      <c r="AU2718" s="22" t="s">
        <v>3751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5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6"/>
        <v>1</v>
      </c>
      <c r="Z2719" s="18">
        <f t="shared" si="814"/>
        <v>12300000</v>
      </c>
      <c r="AA2719" s="13">
        <v>6.25E-2</v>
      </c>
      <c r="AB2719" s="21">
        <f t="shared" si="799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1"/>
        <v>499582152.5142017</v>
      </c>
      <c r="AJ2719" s="19">
        <f t="shared" si="802"/>
        <v>59520528.679470733</v>
      </c>
      <c r="AK2719" s="20">
        <f t="shared" si="808"/>
        <v>0.11914062257814291</v>
      </c>
      <c r="AL2719" s="17"/>
      <c r="AM2719" s="17"/>
      <c r="AN2719" s="17"/>
      <c r="AO2719" s="17"/>
      <c r="AP2719" s="28" t="str">
        <f t="shared" si="809"/>
        <v>CancelCancel</v>
      </c>
      <c r="AQ2719" s="28" t="str">
        <f t="shared" si="810"/>
        <v>CancelCancelJPY</v>
      </c>
      <c r="AR2719" s="206" t="str">
        <f t="shared" si="811"/>
        <v>YAMAHA_Mounter</v>
      </c>
      <c r="AS2719" s="22" t="str">
        <f t="shared" si="812"/>
        <v/>
      </c>
      <c r="AT2719" s="24" t="str">
        <f t="shared" si="813"/>
        <v/>
      </c>
      <c r="AU2719" s="22" t="s">
        <v>3745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5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4"/>
        <v>9398800</v>
      </c>
      <c r="AA2720" s="22">
        <v>5.2299999999999999E-2</v>
      </c>
      <c r="AB2720" s="197">
        <f t="shared" si="799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1"/>
        <v>25354039.366920356</v>
      </c>
      <c r="AJ2720" s="200">
        <f t="shared" si="802"/>
        <v>3028631.2816309328</v>
      </c>
      <c r="AK2720" s="201">
        <f t="shared" si="808"/>
        <v>0.11945360018579192</v>
      </c>
      <c r="AL2720" s="24"/>
      <c r="AM2720" s="24"/>
      <c r="AN2720" s="24"/>
      <c r="AO2720" s="24"/>
      <c r="AP2720" s="105" t="str">
        <f t="shared" si="809"/>
        <v>20248</v>
      </c>
      <c r="AQ2720" s="28" t="str">
        <f t="shared" si="810"/>
        <v>20248JPY</v>
      </c>
      <c r="AR2720" s="206" t="str">
        <f t="shared" si="811"/>
        <v>YAMAHA_Mounter</v>
      </c>
      <c r="AS2720" s="22">
        <f t="shared" si="812"/>
        <v>3</v>
      </c>
      <c r="AT2720" s="24" t="str">
        <f t="shared" si="813"/>
        <v>0-3 months</v>
      </c>
      <c r="AU2720" s="22" t="s">
        <v>3745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5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4"/>
        <v>11000000</v>
      </c>
      <c r="AA2721" s="13">
        <v>7.2700000000000001E-2</v>
      </c>
      <c r="AB2721" s="21">
        <f t="shared" si="799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1"/>
        <v>14005204.685000001</v>
      </c>
      <c r="AJ2721" s="19">
        <f t="shared" si="802"/>
        <v>1436995.246084</v>
      </c>
      <c r="AK2721" s="20">
        <f t="shared" si="808"/>
        <v>0.10260437304590525</v>
      </c>
      <c r="AL2721" s="17"/>
      <c r="AM2721" s="17"/>
      <c r="AN2721" s="17"/>
      <c r="AO2721" s="17"/>
      <c r="AP2721" s="28" t="str">
        <f t="shared" si="809"/>
        <v>20202</v>
      </c>
      <c r="AQ2721" s="28" t="str">
        <f t="shared" si="810"/>
        <v>20202JPY</v>
      </c>
      <c r="AR2721" s="206" t="str">
        <f t="shared" si="811"/>
        <v>YAMAHA_Mounter</v>
      </c>
      <c r="AS2721" s="22">
        <f t="shared" si="812"/>
        <v>2</v>
      </c>
      <c r="AT2721" s="24" t="str">
        <f t="shared" si="813"/>
        <v>0-3 months</v>
      </c>
      <c r="AU2721" s="22" t="s">
        <v>3746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5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4"/>
        <v>11000000</v>
      </c>
      <c r="AA2722" s="13">
        <v>7.2700000000000001E-2</v>
      </c>
      <c r="AB2722" s="21">
        <f t="shared" si="799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1"/>
        <v>14005204.685000001</v>
      </c>
      <c r="AJ2722" s="19">
        <f t="shared" si="802"/>
        <v>1436995.246084</v>
      </c>
      <c r="AK2722" s="20">
        <f t="shared" si="808"/>
        <v>0.10260437304590525</v>
      </c>
      <c r="AL2722" s="17"/>
      <c r="AM2722" s="17"/>
      <c r="AN2722" s="17"/>
      <c r="AO2722" s="17"/>
      <c r="AP2722" s="28" t="str">
        <f t="shared" si="809"/>
        <v>20202</v>
      </c>
      <c r="AQ2722" s="28" t="str">
        <f t="shared" si="810"/>
        <v>20202JPY</v>
      </c>
      <c r="AR2722" s="206" t="str">
        <f t="shared" si="811"/>
        <v>YAMAHA_Mounter</v>
      </c>
      <c r="AS2722" s="22">
        <f t="shared" si="812"/>
        <v>2</v>
      </c>
      <c r="AT2722" s="24" t="str">
        <f t="shared" si="813"/>
        <v>0-3 months</v>
      </c>
      <c r="AU2722" s="22" t="s">
        <v>3746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5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4"/>
        <v>11000000</v>
      </c>
      <c r="AA2723" s="13">
        <v>7.2700000000000001E-2</v>
      </c>
      <c r="AB2723" s="21">
        <f t="shared" si="799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1"/>
        <v>14005204.685000001</v>
      </c>
      <c r="AJ2723" s="19">
        <f t="shared" si="802"/>
        <v>1436995.246084</v>
      </c>
      <c r="AK2723" s="20">
        <f t="shared" si="808"/>
        <v>0.10260437304590525</v>
      </c>
      <c r="AL2723" s="17"/>
      <c r="AM2723" s="17"/>
      <c r="AN2723" s="17"/>
      <c r="AO2723" s="17"/>
      <c r="AP2723" s="28" t="str">
        <f t="shared" si="809"/>
        <v>20202</v>
      </c>
      <c r="AQ2723" s="28" t="str">
        <f t="shared" si="810"/>
        <v>20202JPY</v>
      </c>
      <c r="AR2723" s="206" t="str">
        <f t="shared" si="811"/>
        <v>YAMAHA_Mounter</v>
      </c>
      <c r="AS2723" s="22">
        <f t="shared" si="812"/>
        <v>2</v>
      </c>
      <c r="AT2723" s="24" t="str">
        <f t="shared" si="813"/>
        <v>0-3 months</v>
      </c>
      <c r="AU2723" s="22" t="s">
        <v>3746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5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4"/>
        <v>11000000</v>
      </c>
      <c r="AA2724" s="13">
        <v>7.2700000000000001E-2</v>
      </c>
      <c r="AB2724" s="21">
        <f t="shared" si="799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1"/>
        <v>14005204.685000001</v>
      </c>
      <c r="AJ2724" s="19">
        <f t="shared" si="802"/>
        <v>1436995.246084</v>
      </c>
      <c r="AK2724" s="20">
        <f t="shared" si="808"/>
        <v>0.10260437304590525</v>
      </c>
      <c r="AL2724" s="17"/>
      <c r="AM2724" s="17"/>
      <c r="AN2724" s="17"/>
      <c r="AO2724" s="17"/>
      <c r="AP2724" s="28" t="str">
        <f t="shared" si="809"/>
        <v>20202</v>
      </c>
      <c r="AQ2724" s="28" t="str">
        <f t="shared" si="810"/>
        <v>20202JPY</v>
      </c>
      <c r="AR2724" s="206" t="str">
        <f t="shared" si="811"/>
        <v>YAMAHA_Mounter</v>
      </c>
      <c r="AS2724" s="22">
        <f t="shared" si="812"/>
        <v>2</v>
      </c>
      <c r="AT2724" s="24" t="str">
        <f t="shared" si="813"/>
        <v>0-3 months</v>
      </c>
      <c r="AU2724" s="22" t="s">
        <v>3746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5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4"/>
        <v>11000000</v>
      </c>
      <c r="AA2725" s="13">
        <v>7.2700000000000001E-2</v>
      </c>
      <c r="AB2725" s="21">
        <f t="shared" si="799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1"/>
        <v>14005204.685000001</v>
      </c>
      <c r="AJ2725" s="19">
        <f t="shared" si="802"/>
        <v>1436995.246084</v>
      </c>
      <c r="AK2725" s="20">
        <f t="shared" si="808"/>
        <v>0.10260437304590525</v>
      </c>
      <c r="AL2725" s="17"/>
      <c r="AM2725" s="17"/>
      <c r="AN2725" s="17"/>
      <c r="AO2725" s="17"/>
      <c r="AP2725" s="28" t="str">
        <f t="shared" si="809"/>
        <v>20202</v>
      </c>
      <c r="AQ2725" s="28" t="str">
        <f t="shared" si="810"/>
        <v>20202JPY</v>
      </c>
      <c r="AR2725" s="206" t="str">
        <f t="shared" si="811"/>
        <v>YAMAHA_Mounter</v>
      </c>
      <c r="AS2725" s="22">
        <f t="shared" si="812"/>
        <v>2</v>
      </c>
      <c r="AT2725" s="24" t="str">
        <f t="shared" si="813"/>
        <v>0-3 months</v>
      </c>
      <c r="AU2725" s="22" t="s">
        <v>3746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5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4"/>
        <v>7722000</v>
      </c>
      <c r="AA2726" s="13">
        <v>7.2700000000000001E-2</v>
      </c>
      <c r="AB2726" s="21">
        <f t="shared" si="799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1"/>
        <v>14005204.685000001</v>
      </c>
      <c r="AJ2726" s="19">
        <f t="shared" si="802"/>
        <v>1436995.246084</v>
      </c>
      <c r="AK2726" s="20">
        <f t="shared" si="808"/>
        <v>0.10260437304590525</v>
      </c>
      <c r="AL2726" s="17"/>
      <c r="AM2726" s="17"/>
      <c r="AN2726" s="17"/>
      <c r="AO2726" s="17"/>
      <c r="AP2726" s="28" t="str">
        <f t="shared" si="809"/>
        <v>20202</v>
      </c>
      <c r="AQ2726" s="28" t="str">
        <f t="shared" si="810"/>
        <v>20202JPY</v>
      </c>
      <c r="AR2726" s="206" t="str">
        <f t="shared" si="811"/>
        <v>YAMAHA_Mounter</v>
      </c>
      <c r="AS2726" s="22">
        <f t="shared" si="812"/>
        <v>2</v>
      </c>
      <c r="AT2726" s="24" t="str">
        <f t="shared" si="813"/>
        <v>0-3 months</v>
      </c>
      <c r="AU2726" s="22" t="s">
        <v>3746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5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4"/>
        <v>7722000</v>
      </c>
      <c r="AA2727" s="13">
        <v>7.2700000000000001E-2</v>
      </c>
      <c r="AB2727" s="21">
        <f t="shared" si="799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1"/>
        <v>14005204.685000001</v>
      </c>
      <c r="AJ2727" s="19">
        <f t="shared" si="802"/>
        <v>1436995.246084</v>
      </c>
      <c r="AK2727" s="20">
        <f t="shared" si="808"/>
        <v>0.10260437304590525</v>
      </c>
      <c r="AL2727" s="17"/>
      <c r="AM2727" s="17"/>
      <c r="AN2727" s="17"/>
      <c r="AO2727" s="17"/>
      <c r="AP2727" s="28" t="str">
        <f t="shared" si="809"/>
        <v>20202</v>
      </c>
      <c r="AQ2727" s="28" t="str">
        <f t="shared" si="810"/>
        <v>20202JPY</v>
      </c>
      <c r="AR2727" s="206" t="str">
        <f t="shared" si="811"/>
        <v>YAMAHA_Mounter</v>
      </c>
      <c r="AS2727" s="22">
        <f t="shared" si="812"/>
        <v>2</v>
      </c>
      <c r="AT2727" s="24" t="str">
        <f t="shared" si="813"/>
        <v>0-3 months</v>
      </c>
      <c r="AU2727" s="22" t="s">
        <v>3746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5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4"/>
        <v>7722000</v>
      </c>
      <c r="AA2728" s="13">
        <v>7.2700000000000001E-2</v>
      </c>
      <c r="AB2728" s="21">
        <f t="shared" si="799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1"/>
        <v>14005204.685000001</v>
      </c>
      <c r="AJ2728" s="19">
        <f t="shared" si="802"/>
        <v>1436995.246084</v>
      </c>
      <c r="AK2728" s="20">
        <f t="shared" si="808"/>
        <v>0.10260437304590525</v>
      </c>
      <c r="AL2728" s="17"/>
      <c r="AM2728" s="17"/>
      <c r="AN2728" s="17"/>
      <c r="AO2728" s="17"/>
      <c r="AP2728" s="28" t="str">
        <f t="shared" si="809"/>
        <v>20202</v>
      </c>
      <c r="AQ2728" s="28" t="str">
        <f t="shared" si="810"/>
        <v>20202JPY</v>
      </c>
      <c r="AR2728" s="206" t="str">
        <f t="shared" si="811"/>
        <v>YAMAHA_Mounter</v>
      </c>
      <c r="AS2728" s="22">
        <f t="shared" si="812"/>
        <v>2</v>
      </c>
      <c r="AT2728" s="24" t="str">
        <f t="shared" si="813"/>
        <v>0-3 months</v>
      </c>
      <c r="AU2728" s="22" t="s">
        <v>3746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5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4"/>
        <v>7722000</v>
      </c>
      <c r="AA2729" s="13">
        <v>7.2700000000000001E-2</v>
      </c>
      <c r="AB2729" s="21">
        <f t="shared" si="799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1"/>
        <v>14005204.685000001</v>
      </c>
      <c r="AJ2729" s="19">
        <f t="shared" si="802"/>
        <v>1436995.246084</v>
      </c>
      <c r="AK2729" s="20">
        <f t="shared" si="808"/>
        <v>0.10260437304590525</v>
      </c>
      <c r="AL2729" s="17"/>
      <c r="AM2729" s="17"/>
      <c r="AN2729" s="17"/>
      <c r="AO2729" s="17"/>
      <c r="AP2729" s="28" t="str">
        <f t="shared" si="809"/>
        <v>20202</v>
      </c>
      <c r="AQ2729" s="28" t="str">
        <f t="shared" si="810"/>
        <v>20202JPY</v>
      </c>
      <c r="AR2729" s="206" t="str">
        <f t="shared" si="811"/>
        <v>YAMAHA_Mounter</v>
      </c>
      <c r="AS2729" s="22">
        <f t="shared" si="812"/>
        <v>2</v>
      </c>
      <c r="AT2729" s="24" t="str">
        <f t="shared" si="813"/>
        <v>0-3 months</v>
      </c>
      <c r="AU2729" s="22" t="s">
        <v>3746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5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4"/>
        <v>7722000</v>
      </c>
      <c r="AA2730" s="13">
        <v>7.2700000000000001E-2</v>
      </c>
      <c r="AB2730" s="21">
        <f t="shared" si="799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1"/>
        <v>14005204.685000001</v>
      </c>
      <c r="AJ2730" s="19">
        <f t="shared" si="802"/>
        <v>1436995.246084</v>
      </c>
      <c r="AK2730" s="20">
        <f t="shared" si="808"/>
        <v>0.10260437304590525</v>
      </c>
      <c r="AL2730" s="17"/>
      <c r="AM2730" s="17"/>
      <c r="AN2730" s="17"/>
      <c r="AO2730" s="17"/>
      <c r="AP2730" s="28" t="str">
        <f t="shared" si="809"/>
        <v>20202</v>
      </c>
      <c r="AQ2730" s="28" t="str">
        <f t="shared" si="810"/>
        <v>20202JPY</v>
      </c>
      <c r="AR2730" s="206" t="str">
        <f t="shared" si="811"/>
        <v>YAMAHA_Mounter</v>
      </c>
      <c r="AS2730" s="22">
        <f t="shared" si="812"/>
        <v>2</v>
      </c>
      <c r="AT2730" s="24" t="str">
        <f t="shared" si="813"/>
        <v>0-3 months</v>
      </c>
      <c r="AU2730" s="22" t="s">
        <v>3746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5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4"/>
        <v>7722000</v>
      </c>
      <c r="AA2731" s="13">
        <v>7.2700000000000001E-2</v>
      </c>
      <c r="AB2731" s="21">
        <f t="shared" si="799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1"/>
        <v>14005204.685000001</v>
      </c>
      <c r="AJ2731" s="19">
        <f t="shared" si="802"/>
        <v>1436995.246084</v>
      </c>
      <c r="AK2731" s="20">
        <f t="shared" si="808"/>
        <v>0.10260437304590525</v>
      </c>
      <c r="AL2731" s="17"/>
      <c r="AM2731" s="17"/>
      <c r="AN2731" s="17"/>
      <c r="AO2731" s="17"/>
      <c r="AP2731" s="28" t="str">
        <f t="shared" si="809"/>
        <v>20202</v>
      </c>
      <c r="AQ2731" s="28" t="str">
        <f t="shared" si="810"/>
        <v>20202JPY</v>
      </c>
      <c r="AR2731" s="206" t="str">
        <f t="shared" si="811"/>
        <v>YAMAHA_Mounter</v>
      </c>
      <c r="AS2731" s="22">
        <f t="shared" si="812"/>
        <v>2</v>
      </c>
      <c r="AT2731" s="24" t="str">
        <f t="shared" si="813"/>
        <v>0-3 months</v>
      </c>
      <c r="AU2731" s="22" t="s">
        <v>3746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5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4"/>
        <v>7448000</v>
      </c>
      <c r="AA2732" s="13">
        <v>7.6100000000000001E-2</v>
      </c>
      <c r="AB2732" s="21">
        <f t="shared" si="799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1"/>
        <v>44078731.611185849</v>
      </c>
      <c r="AJ2732" s="19">
        <f t="shared" si="802"/>
        <v>5508173.2163771465</v>
      </c>
      <c r="AK2732" s="20">
        <f t="shared" si="808"/>
        <v>0.12496215328889679</v>
      </c>
      <c r="AL2732" s="17"/>
      <c r="AM2732" s="17"/>
      <c r="AN2732" s="17"/>
      <c r="AO2732" s="17"/>
      <c r="AP2732" s="28" t="str">
        <f t="shared" si="809"/>
        <v>202011</v>
      </c>
      <c r="AQ2732" s="28" t="str">
        <f t="shared" si="810"/>
        <v>202011JPY</v>
      </c>
      <c r="AR2732" s="206" t="str">
        <f t="shared" si="811"/>
        <v>YAMAHA_Mounter</v>
      </c>
      <c r="AS2732" s="22">
        <f t="shared" si="812"/>
        <v>2</v>
      </c>
      <c r="AT2732" s="24" t="str">
        <f t="shared" si="813"/>
        <v>0-3 months</v>
      </c>
      <c r="AU2732" s="22" t="s">
        <v>3745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5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4"/>
        <v>7448000</v>
      </c>
      <c r="AA2733" s="13">
        <v>7.6100000000000001E-2</v>
      </c>
      <c r="AB2733" s="21">
        <f t="shared" si="799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1"/>
        <v>44078731.611185849</v>
      </c>
      <c r="AJ2733" s="19">
        <f t="shared" si="802"/>
        <v>5508173.2163771465</v>
      </c>
      <c r="AK2733" s="20">
        <f t="shared" si="808"/>
        <v>0.12496215328889679</v>
      </c>
      <c r="AL2733" s="17"/>
      <c r="AM2733" s="17"/>
      <c r="AN2733" s="17"/>
      <c r="AO2733" s="17"/>
      <c r="AP2733" s="28" t="str">
        <f t="shared" si="809"/>
        <v>202011</v>
      </c>
      <c r="AQ2733" s="28" t="str">
        <f t="shared" si="810"/>
        <v>202011JPY</v>
      </c>
      <c r="AR2733" s="206" t="str">
        <f t="shared" si="811"/>
        <v>YAMAHA_Mounter</v>
      </c>
      <c r="AS2733" s="22">
        <f t="shared" si="812"/>
        <v>2</v>
      </c>
      <c r="AT2733" s="24" t="str">
        <f t="shared" si="813"/>
        <v>0-3 months</v>
      </c>
      <c r="AU2733" s="22" t="s">
        <v>3745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5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4"/>
        <v>6300000</v>
      </c>
      <c r="AA2734" s="13">
        <v>7.6799999999999993E-2</v>
      </c>
      <c r="AB2734" s="21">
        <f t="shared" si="799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1"/>
        <v>45803245.025628321</v>
      </c>
      <c r="AJ2734" s="19">
        <f t="shared" si="802"/>
        <v>5664636.2584379362</v>
      </c>
      <c r="AK2734" s="20">
        <f t="shared" si="808"/>
        <v>0.12367325186825515</v>
      </c>
      <c r="AL2734" s="17"/>
      <c r="AM2734" s="17"/>
      <c r="AN2734" s="17"/>
      <c r="AO2734" s="17"/>
      <c r="AP2734" s="28" t="str">
        <f t="shared" si="809"/>
        <v>20211</v>
      </c>
      <c r="AQ2734" s="28" t="str">
        <f t="shared" si="810"/>
        <v>20211JPY</v>
      </c>
      <c r="AR2734" s="206" t="str">
        <f t="shared" si="811"/>
        <v>YAMAHA_Mounter</v>
      </c>
      <c r="AS2734" s="22">
        <f t="shared" si="812"/>
        <v>3</v>
      </c>
      <c r="AT2734" s="24" t="str">
        <f t="shared" si="813"/>
        <v>0-3 months</v>
      </c>
      <c r="AU2734" s="22" t="s">
        <v>3746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5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4"/>
        <v>6300000</v>
      </c>
      <c r="AA2735" s="13">
        <v>7.6799999999999993E-2</v>
      </c>
      <c r="AB2735" s="21">
        <f t="shared" si="799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1"/>
        <v>45803245.025628321</v>
      </c>
      <c r="AJ2735" s="19">
        <f t="shared" si="802"/>
        <v>5664636.2584379362</v>
      </c>
      <c r="AK2735" s="20">
        <f t="shared" si="808"/>
        <v>0.12367325186825515</v>
      </c>
      <c r="AL2735" s="17"/>
      <c r="AM2735" s="17"/>
      <c r="AN2735" s="17"/>
      <c r="AO2735" s="17"/>
      <c r="AP2735" s="28" t="str">
        <f t="shared" si="809"/>
        <v>20211</v>
      </c>
      <c r="AQ2735" s="28" t="str">
        <f t="shared" si="810"/>
        <v>20211JPY</v>
      </c>
      <c r="AR2735" s="206" t="str">
        <f t="shared" si="811"/>
        <v>YAMAHA_Mounter</v>
      </c>
      <c r="AS2735" s="22">
        <f t="shared" si="812"/>
        <v>3</v>
      </c>
      <c r="AT2735" s="24" t="str">
        <f t="shared" si="813"/>
        <v>0-3 months</v>
      </c>
      <c r="AU2735" s="22" t="s">
        <v>3746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5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4"/>
        <v>9526667</v>
      </c>
      <c r="AA2736" s="13">
        <v>5.8700000000000002E-2</v>
      </c>
      <c r="AB2736" s="21">
        <f t="shared" si="799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1"/>
        <v>499582152.5142017</v>
      </c>
      <c r="AJ2736" s="19">
        <f t="shared" si="802"/>
        <v>59520528.679470733</v>
      </c>
      <c r="AK2736" s="20">
        <f t="shared" si="808"/>
        <v>0.11914062257814291</v>
      </c>
      <c r="AL2736" s="17"/>
      <c r="AM2736" s="17"/>
      <c r="AN2736" s="17"/>
      <c r="AO2736" s="17"/>
      <c r="AP2736" s="28" t="str">
        <f t="shared" si="809"/>
        <v>CancelCancel</v>
      </c>
      <c r="AQ2736" s="28" t="str">
        <f t="shared" si="810"/>
        <v>CancelCancelJPY</v>
      </c>
      <c r="AR2736" s="206" t="str">
        <f t="shared" si="811"/>
        <v>YAMAHA_Mounter</v>
      </c>
      <c r="AS2736" s="22" t="str">
        <f t="shared" si="812"/>
        <v/>
      </c>
      <c r="AT2736" s="24" t="str">
        <f t="shared" si="813"/>
        <v/>
      </c>
      <c r="AU2736" s="22" t="s">
        <v>3746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5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4"/>
        <v>9526667</v>
      </c>
      <c r="AA2737" s="13">
        <v>5.8700000000000002E-2</v>
      </c>
      <c r="AB2737" s="21">
        <f t="shared" si="799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1"/>
        <v>499582152.5142017</v>
      </c>
      <c r="AJ2737" s="19">
        <f t="shared" si="802"/>
        <v>59520528.679470733</v>
      </c>
      <c r="AK2737" s="20">
        <f t="shared" si="808"/>
        <v>0.11914062257814291</v>
      </c>
      <c r="AL2737" s="17"/>
      <c r="AM2737" s="17"/>
      <c r="AN2737" s="17"/>
      <c r="AO2737" s="17"/>
      <c r="AP2737" s="28" t="str">
        <f t="shared" si="809"/>
        <v>CancelCancel</v>
      </c>
      <c r="AQ2737" s="28" t="str">
        <f t="shared" si="810"/>
        <v>CancelCancelJPY</v>
      </c>
      <c r="AR2737" s="206" t="str">
        <f t="shared" si="811"/>
        <v>YAMAHA_Mounter</v>
      </c>
      <c r="AS2737" s="22" t="str">
        <f t="shared" si="812"/>
        <v/>
      </c>
      <c r="AT2737" s="24" t="str">
        <f t="shared" si="813"/>
        <v/>
      </c>
      <c r="AU2737" s="22" t="s">
        <v>3746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5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4"/>
        <v>9526667</v>
      </c>
      <c r="AA2738" s="13">
        <v>5.8700000000000002E-2</v>
      </c>
      <c r="AB2738" s="21">
        <f t="shared" si="799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1"/>
        <v>499582152.5142017</v>
      </c>
      <c r="AJ2738" s="19">
        <f t="shared" si="802"/>
        <v>59520528.679470733</v>
      </c>
      <c r="AK2738" s="20">
        <f t="shared" si="808"/>
        <v>0.11914062257814291</v>
      </c>
      <c r="AL2738" s="17"/>
      <c r="AM2738" s="17"/>
      <c r="AN2738" s="17"/>
      <c r="AO2738" s="17"/>
      <c r="AP2738" s="28" t="str">
        <f t="shared" si="809"/>
        <v>CancelCancel</v>
      </c>
      <c r="AQ2738" s="28" t="str">
        <f t="shared" si="810"/>
        <v>CancelCancelJPY</v>
      </c>
      <c r="AR2738" s="206" t="str">
        <f t="shared" si="811"/>
        <v>YAMAHA_Mounter</v>
      </c>
      <c r="AS2738" s="22" t="str">
        <f t="shared" si="812"/>
        <v/>
      </c>
      <c r="AT2738" s="24" t="str">
        <f t="shared" si="813"/>
        <v/>
      </c>
      <c r="AU2738" s="22" t="s">
        <v>3746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5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4"/>
        <v>837083.3</v>
      </c>
      <c r="AA2739" s="22">
        <v>1.08</v>
      </c>
      <c r="AB2739" s="21">
        <f t="shared" si="799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1"/>
        <v>25354039.366920356</v>
      </c>
      <c r="AJ2739" s="27">
        <f t="shared" si="802"/>
        <v>3028631.2816309328</v>
      </c>
      <c r="AK2739" s="28">
        <f t="shared" si="808"/>
        <v>0.11945360018579192</v>
      </c>
      <c r="AL2739" s="24"/>
      <c r="AM2739" s="24"/>
      <c r="AN2739" s="24"/>
      <c r="AO2739" s="24"/>
      <c r="AP2739" s="28" t="str">
        <f t="shared" si="809"/>
        <v>20248</v>
      </c>
      <c r="AQ2739" s="28" t="str">
        <f t="shared" si="810"/>
        <v>20248RMB</v>
      </c>
      <c r="AR2739" s="206" t="str">
        <f t="shared" si="811"/>
        <v>YAMAHA_Mounter</v>
      </c>
      <c r="AS2739" s="22">
        <f t="shared" si="812"/>
        <v>4</v>
      </c>
      <c r="AT2739" s="24" t="str">
        <f t="shared" si="813"/>
        <v>4-6 months</v>
      </c>
      <c r="AU2739" s="22" t="s">
        <v>3751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5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4"/>
        <v>358750</v>
      </c>
      <c r="AA2740" s="22">
        <v>1.08</v>
      </c>
      <c r="AB2740" s="21">
        <f t="shared" si="799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1"/>
        <v>25354039.366920356</v>
      </c>
      <c r="AJ2740" s="27">
        <f t="shared" si="802"/>
        <v>3028631.2816309328</v>
      </c>
      <c r="AK2740" s="28">
        <f t="shared" si="808"/>
        <v>0.11945360018579192</v>
      </c>
      <c r="AL2740" s="24"/>
      <c r="AM2740" s="24"/>
      <c r="AN2740" s="24"/>
      <c r="AO2740" s="24"/>
      <c r="AP2740" s="28" t="str">
        <f t="shared" si="809"/>
        <v>20248</v>
      </c>
      <c r="AQ2740" s="28" t="str">
        <f t="shared" si="810"/>
        <v>20248RMB</v>
      </c>
      <c r="AR2740" s="206" t="str">
        <f t="shared" si="811"/>
        <v>YAMAHA_Mounter</v>
      </c>
      <c r="AS2740" s="22">
        <f t="shared" si="812"/>
        <v>4</v>
      </c>
      <c r="AT2740" s="24" t="str">
        <f t="shared" si="813"/>
        <v>4-6 months</v>
      </c>
      <c r="AU2740" s="22" t="s">
        <v>3751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5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4"/>
        <v>460000</v>
      </c>
      <c r="AA2741" s="22">
        <v>1.08</v>
      </c>
      <c r="AB2741" s="21">
        <f t="shared" si="799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1"/>
        <v>25354039.366920356</v>
      </c>
      <c r="AJ2741" s="27">
        <f t="shared" si="802"/>
        <v>3028631.2816309328</v>
      </c>
      <c r="AK2741" s="28">
        <f t="shared" si="808"/>
        <v>0.11945360018579192</v>
      </c>
      <c r="AL2741" s="24"/>
      <c r="AM2741" s="24"/>
      <c r="AN2741" s="24"/>
      <c r="AO2741" s="24"/>
      <c r="AP2741" s="28" t="str">
        <f t="shared" si="809"/>
        <v>20248</v>
      </c>
      <c r="AQ2741" s="28" t="str">
        <f t="shared" si="810"/>
        <v>20248RMB</v>
      </c>
      <c r="AR2741" s="206" t="str">
        <f t="shared" si="811"/>
        <v>YAMAHA_Mounter</v>
      </c>
      <c r="AS2741" s="22">
        <f t="shared" si="812"/>
        <v>4</v>
      </c>
      <c r="AT2741" s="24" t="str">
        <f t="shared" si="813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5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4"/>
        <v>15655000</v>
      </c>
      <c r="AA2742" s="13">
        <v>7.4899999999999994E-2</v>
      </c>
      <c r="AB2742" s="21">
        <f t="shared" si="799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1"/>
        <v>28011162.254106201</v>
      </c>
      <c r="AJ2742" s="19">
        <f t="shared" si="802"/>
        <v>3401347.1124888416</v>
      </c>
      <c r="AK2742" s="20">
        <f t="shared" si="808"/>
        <v>0.12142827497242578</v>
      </c>
      <c r="AL2742" s="17"/>
      <c r="AM2742" s="17"/>
      <c r="AN2742" s="17"/>
      <c r="AO2742" s="17"/>
      <c r="AP2742" s="28" t="str">
        <f t="shared" si="809"/>
        <v>202010</v>
      </c>
      <c r="AQ2742" s="28" t="str">
        <f t="shared" si="810"/>
        <v>202010JPY</v>
      </c>
      <c r="AR2742" s="206" t="str">
        <f t="shared" si="811"/>
        <v>YAMAHA_Mounter</v>
      </c>
      <c r="AS2742" s="22">
        <f t="shared" si="812"/>
        <v>2</v>
      </c>
      <c r="AT2742" s="24" t="str">
        <f t="shared" si="813"/>
        <v>0-3 months</v>
      </c>
      <c r="AU2742" s="22" t="s">
        <v>3745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5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4"/>
        <v>15655000</v>
      </c>
      <c r="AA2743" s="13">
        <v>7.4899999999999994E-2</v>
      </c>
      <c r="AB2743" s="21">
        <f t="shared" si="799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1"/>
        <v>28011162.254106201</v>
      </c>
      <c r="AJ2743" s="19">
        <f t="shared" si="802"/>
        <v>3401347.1124888416</v>
      </c>
      <c r="AK2743" s="20">
        <f t="shared" si="808"/>
        <v>0.12142827497242578</v>
      </c>
      <c r="AL2743" s="17"/>
      <c r="AM2743" s="17"/>
      <c r="AN2743" s="17"/>
      <c r="AO2743" s="17"/>
      <c r="AP2743" s="28" t="str">
        <f t="shared" si="809"/>
        <v>202010</v>
      </c>
      <c r="AQ2743" s="28" t="str">
        <f t="shared" si="810"/>
        <v>202010JPY</v>
      </c>
      <c r="AR2743" s="206" t="str">
        <f t="shared" si="811"/>
        <v>YAMAHA_Mounter</v>
      </c>
      <c r="AS2743" s="22">
        <f t="shared" si="812"/>
        <v>2</v>
      </c>
      <c r="AT2743" s="24" t="str">
        <f t="shared" si="813"/>
        <v>0-3 months</v>
      </c>
      <c r="AU2743" s="22" t="s">
        <v>3745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5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4"/>
        <v>7827500</v>
      </c>
      <c r="AA2744" s="13">
        <v>7.4899999999999994E-2</v>
      </c>
      <c r="AB2744" s="21">
        <f t="shared" si="799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1"/>
        <v>28011162.254106201</v>
      </c>
      <c r="AJ2744" s="19">
        <f t="shared" si="802"/>
        <v>3401347.1124888416</v>
      </c>
      <c r="AK2744" s="20">
        <f t="shared" si="808"/>
        <v>0.12142827497242578</v>
      </c>
      <c r="AL2744" s="17"/>
      <c r="AM2744" s="17"/>
      <c r="AN2744" s="17"/>
      <c r="AO2744" s="17"/>
      <c r="AP2744" s="28" t="str">
        <f t="shared" si="809"/>
        <v>202010</v>
      </c>
      <c r="AQ2744" s="28" t="str">
        <f t="shared" si="810"/>
        <v>202010JPY</v>
      </c>
      <c r="AR2744" s="206" t="str">
        <f t="shared" si="811"/>
        <v>YAMAHA_Mounter</v>
      </c>
      <c r="AS2744" s="22">
        <f t="shared" si="812"/>
        <v>2</v>
      </c>
      <c r="AT2744" s="24" t="str">
        <f t="shared" si="813"/>
        <v>0-3 months</v>
      </c>
      <c r="AU2744" s="22" t="s">
        <v>3745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5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4"/>
        <v>7827500</v>
      </c>
      <c r="AA2745" s="13">
        <v>7.4899999999999994E-2</v>
      </c>
      <c r="AB2745" s="21">
        <f t="shared" si="799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1"/>
        <v>47907808.356810622</v>
      </c>
      <c r="AJ2745" s="19">
        <f t="shared" si="802"/>
        <v>6027384.8806384448</v>
      </c>
      <c r="AK2745" s="20">
        <f t="shared" si="808"/>
        <v>0.12581216063459488</v>
      </c>
      <c r="AL2745" s="17"/>
      <c r="AM2745" s="17"/>
      <c r="AN2745" s="17"/>
      <c r="AO2745" s="17"/>
      <c r="AP2745" s="28" t="str">
        <f t="shared" si="809"/>
        <v>20209</v>
      </c>
      <c r="AQ2745" s="28" t="str">
        <f t="shared" si="810"/>
        <v>20209JPY</v>
      </c>
      <c r="AR2745" s="206" t="str">
        <f t="shared" si="811"/>
        <v>YAMAHA_Mounter</v>
      </c>
      <c r="AS2745" s="22">
        <f t="shared" si="812"/>
        <v>1</v>
      </c>
      <c r="AT2745" s="24" t="str">
        <f t="shared" si="813"/>
        <v>0-3 months</v>
      </c>
      <c r="AU2745" s="22" t="s">
        <v>3745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5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4"/>
        <v>7827500</v>
      </c>
      <c r="AA2746" s="13">
        <v>7.4899999999999994E-2</v>
      </c>
      <c r="AB2746" s="21">
        <f t="shared" si="799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1"/>
        <v>47907808.356810622</v>
      </c>
      <c r="AJ2746" s="19">
        <f t="shared" si="802"/>
        <v>6027384.8806384448</v>
      </c>
      <c r="AK2746" s="20">
        <f t="shared" si="808"/>
        <v>0.12581216063459488</v>
      </c>
      <c r="AL2746" s="17"/>
      <c r="AM2746" s="17"/>
      <c r="AN2746" s="17"/>
      <c r="AO2746" s="17"/>
      <c r="AP2746" s="28" t="str">
        <f t="shared" si="809"/>
        <v>20209</v>
      </c>
      <c r="AQ2746" s="28" t="str">
        <f t="shared" si="810"/>
        <v>20209JPY</v>
      </c>
      <c r="AR2746" s="206" t="str">
        <f t="shared" si="811"/>
        <v>YAMAHA_Mounter</v>
      </c>
      <c r="AS2746" s="22">
        <f t="shared" si="812"/>
        <v>1</v>
      </c>
      <c r="AT2746" s="24" t="str">
        <f t="shared" si="813"/>
        <v>0-3 months</v>
      </c>
      <c r="AU2746" s="22" t="s">
        <v>3745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5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4"/>
        <v>7827500</v>
      </c>
      <c r="AA2747" s="13">
        <v>7.4899999999999994E-2</v>
      </c>
      <c r="AB2747" s="21">
        <f t="shared" si="799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1"/>
        <v>47907808.356810622</v>
      </c>
      <c r="AJ2747" s="19">
        <f t="shared" si="802"/>
        <v>6027384.8806384448</v>
      </c>
      <c r="AK2747" s="20">
        <f t="shared" si="808"/>
        <v>0.12581216063459488</v>
      </c>
      <c r="AL2747" s="17"/>
      <c r="AM2747" s="17"/>
      <c r="AN2747" s="17"/>
      <c r="AO2747" s="17"/>
      <c r="AP2747" s="28" t="str">
        <f t="shared" si="809"/>
        <v>20209</v>
      </c>
      <c r="AQ2747" s="28" t="str">
        <f t="shared" si="810"/>
        <v>20209JPY</v>
      </c>
      <c r="AR2747" s="206" t="str">
        <f t="shared" si="811"/>
        <v>YAMAHA_Mounter</v>
      </c>
      <c r="AS2747" s="22">
        <f t="shared" si="812"/>
        <v>1</v>
      </c>
      <c r="AT2747" s="24" t="str">
        <f t="shared" si="813"/>
        <v>0-3 months</v>
      </c>
      <c r="AU2747" s="22" t="s">
        <v>3745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5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4"/>
        <v>7923395</v>
      </c>
      <c r="AA2748" s="22">
        <v>5.2299999999999999E-2</v>
      </c>
      <c r="AB2748" s="21">
        <f t="shared" ref="AB2748:AB2811" si="817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1"/>
        <v>25354039.366920356</v>
      </c>
      <c r="AJ2748" s="27">
        <f t="shared" si="802"/>
        <v>3028631.2816309328</v>
      </c>
      <c r="AK2748" s="28">
        <f t="shared" si="808"/>
        <v>0.11945360018579192</v>
      </c>
      <c r="AL2748" s="24"/>
      <c r="AM2748" s="24"/>
      <c r="AN2748" s="24"/>
      <c r="AO2748" s="24"/>
      <c r="AP2748" s="28" t="str">
        <f t="shared" si="809"/>
        <v>20248</v>
      </c>
      <c r="AQ2748" s="28" t="str">
        <f t="shared" si="810"/>
        <v>20248JPY</v>
      </c>
      <c r="AR2748" s="206" t="str">
        <f t="shared" si="811"/>
        <v>YAMAHA_Mounter</v>
      </c>
      <c r="AS2748" s="22">
        <f t="shared" si="812"/>
        <v>4</v>
      </c>
      <c r="AT2748" s="24" t="str">
        <f t="shared" si="813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5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4"/>
        <v>7923395</v>
      </c>
      <c r="AA2749" s="22">
        <v>5.2299999999999999E-2</v>
      </c>
      <c r="AB2749" s="21">
        <f t="shared" si="817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1"/>
        <v>25354039.366920356</v>
      </c>
      <c r="AJ2749" s="27">
        <f t="shared" si="802"/>
        <v>3028631.2816309328</v>
      </c>
      <c r="AK2749" s="28">
        <f t="shared" si="808"/>
        <v>0.11945360018579192</v>
      </c>
      <c r="AL2749" s="24"/>
      <c r="AM2749" s="24"/>
      <c r="AN2749" s="24"/>
      <c r="AO2749" s="24"/>
      <c r="AP2749" s="28" t="str">
        <f t="shared" si="809"/>
        <v>20248</v>
      </c>
      <c r="AQ2749" s="28" t="str">
        <f t="shared" si="810"/>
        <v>20248JPY</v>
      </c>
      <c r="AR2749" s="206" t="str">
        <f t="shared" si="811"/>
        <v>YAMAHA_Mounter</v>
      </c>
      <c r="AS2749" s="22">
        <f t="shared" si="812"/>
        <v>4</v>
      </c>
      <c r="AT2749" s="24" t="str">
        <f t="shared" si="813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5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4"/>
        <v>7923395</v>
      </c>
      <c r="AA2750" s="22">
        <v>5.2299999999999999E-2</v>
      </c>
      <c r="AB2750" s="21">
        <f t="shared" si="817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1"/>
        <v>25354039.366920356</v>
      </c>
      <c r="AJ2750" s="27">
        <f t="shared" si="802"/>
        <v>3028631.2816309328</v>
      </c>
      <c r="AK2750" s="28">
        <f t="shared" si="808"/>
        <v>0.11945360018579192</v>
      </c>
      <c r="AL2750" s="24"/>
      <c r="AM2750" s="24"/>
      <c r="AN2750" s="24"/>
      <c r="AO2750" s="24"/>
      <c r="AP2750" s="28" t="str">
        <f t="shared" si="809"/>
        <v>20248</v>
      </c>
      <c r="AQ2750" s="28" t="str">
        <f t="shared" si="810"/>
        <v>20248JPY</v>
      </c>
      <c r="AR2750" s="206" t="str">
        <f t="shared" si="811"/>
        <v>YAMAHA_Mounter</v>
      </c>
      <c r="AS2750" s="22">
        <f t="shared" si="812"/>
        <v>4</v>
      </c>
      <c r="AT2750" s="24" t="str">
        <f t="shared" si="813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5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4"/>
        <v>7923395</v>
      </c>
      <c r="AA2751" s="22">
        <v>5.2299999999999999E-2</v>
      </c>
      <c r="AB2751" s="21">
        <f t="shared" si="817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1"/>
        <v>25354039.366920356</v>
      </c>
      <c r="AJ2751" s="27">
        <f t="shared" si="802"/>
        <v>3028631.2816309328</v>
      </c>
      <c r="AK2751" s="28">
        <f t="shared" si="808"/>
        <v>0.11945360018579192</v>
      </c>
      <c r="AL2751" s="24"/>
      <c r="AM2751" s="24"/>
      <c r="AN2751" s="24"/>
      <c r="AO2751" s="24"/>
      <c r="AP2751" s="28" t="str">
        <f t="shared" si="809"/>
        <v>20248</v>
      </c>
      <c r="AQ2751" s="28" t="str">
        <f t="shared" si="810"/>
        <v>20248JPY</v>
      </c>
      <c r="AR2751" s="206" t="str">
        <f t="shared" si="811"/>
        <v>YAMAHA_Mounter</v>
      </c>
      <c r="AS2751" s="22">
        <f t="shared" si="812"/>
        <v>4</v>
      </c>
      <c r="AT2751" s="24" t="str">
        <f t="shared" si="813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5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4"/>
        <v>1100000</v>
      </c>
      <c r="AA2752" s="13">
        <v>1.095</v>
      </c>
      <c r="AB2752" s="21">
        <f t="shared" si="817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1"/>
        <v>28065694.408805311</v>
      </c>
      <c r="AJ2752" s="19">
        <f t="shared" si="802"/>
        <v>4157433.2906989697</v>
      </c>
      <c r="AK2752" s="20">
        <f t="shared" si="808"/>
        <v>0.14813220831602228</v>
      </c>
      <c r="AL2752" s="17"/>
      <c r="AM2752" s="17"/>
      <c r="AN2752" s="17"/>
      <c r="AO2752" s="17"/>
      <c r="AP2752" s="28" t="str">
        <f t="shared" si="809"/>
        <v>20205</v>
      </c>
      <c r="AQ2752" s="28" t="str">
        <f t="shared" si="810"/>
        <v>20205RMB</v>
      </c>
      <c r="AR2752" s="206" t="str">
        <f t="shared" si="811"/>
        <v>YAMAHA_Mounter</v>
      </c>
      <c r="AS2752" s="22">
        <f t="shared" si="812"/>
        <v>1</v>
      </c>
      <c r="AT2752" s="24" t="str">
        <f t="shared" si="813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5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4"/>
        <v>623000</v>
      </c>
      <c r="AA2753" s="13">
        <v>1.1950000000000001</v>
      </c>
      <c r="AB2753" s="21">
        <f t="shared" si="817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1"/>
        <v>44014086.982070789</v>
      </c>
      <c r="AJ2753" s="19">
        <f t="shared" si="802"/>
        <v>6419974.0221889298</v>
      </c>
      <c r="AK2753" s="20">
        <f t="shared" si="808"/>
        <v>0.14586180158193709</v>
      </c>
      <c r="AL2753" s="17"/>
      <c r="AM2753" s="17"/>
      <c r="AN2753" s="17"/>
      <c r="AO2753" s="17"/>
      <c r="AP2753" s="28" t="str">
        <f t="shared" si="809"/>
        <v>20225</v>
      </c>
      <c r="AQ2753" s="28" t="str">
        <f t="shared" si="810"/>
        <v>20225RMB</v>
      </c>
      <c r="AR2753" s="206" t="str">
        <f t="shared" si="811"/>
        <v>YAMAHA_Mounter</v>
      </c>
      <c r="AS2753" s="22">
        <f t="shared" si="812"/>
        <v>12</v>
      </c>
      <c r="AT2753" s="24" t="str">
        <f t="shared" si="813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5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4"/>
        <v>442500</v>
      </c>
      <c r="AA2754" s="13">
        <v>1.175</v>
      </c>
      <c r="AB2754" s="21">
        <f t="shared" si="817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18">IF(P2754="C66 SERVICE","",SUMIFS(AB:AB,F:F,F2754,G:G,G2754,E:E,E2754))</f>
        <v>35682787.057522126</v>
      </c>
      <c r="AJ2754" s="19">
        <f t="shared" ref="AJ2754:AJ2817" si="819">IF(P2754="C66 SERVICE","",SUMIFS(AC:AC,F:F,F2754,G:G,G2754,E:E,E2754))</f>
        <v>5833368.3789623892</v>
      </c>
      <c r="AK2754" s="20">
        <f t="shared" si="808"/>
        <v>0.16347849649632912</v>
      </c>
      <c r="AL2754" s="17"/>
      <c r="AM2754" s="17"/>
      <c r="AN2754" s="17"/>
      <c r="AO2754" s="17"/>
      <c r="AP2754" s="28" t="str">
        <f t="shared" si="809"/>
        <v>20226</v>
      </c>
      <c r="AQ2754" s="28" t="str">
        <f t="shared" si="810"/>
        <v>20226RMB</v>
      </c>
      <c r="AR2754" s="206" t="str">
        <f t="shared" si="811"/>
        <v>YAMAHA_Mounter</v>
      </c>
      <c r="AS2754" s="22">
        <f t="shared" si="812"/>
        <v>1</v>
      </c>
      <c r="AT2754" s="24" t="str">
        <f t="shared" si="813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5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4"/>
        <v>265000</v>
      </c>
      <c r="AA2755" s="13">
        <v>1.1499999999999999</v>
      </c>
      <c r="AB2755" s="21">
        <f t="shared" si="817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18"/>
        <v>26754147.763010349</v>
      </c>
      <c r="AJ2755" s="19">
        <f t="shared" si="819"/>
        <v>3429137.9965357962</v>
      </c>
      <c r="AK2755" s="20">
        <f t="shared" si="808"/>
        <v>0.12817220069617921</v>
      </c>
      <c r="AL2755" s="17"/>
      <c r="AM2755" s="17"/>
      <c r="AN2755" s="17"/>
      <c r="AO2755" s="17"/>
      <c r="AP2755" s="28" t="str">
        <f t="shared" si="809"/>
        <v>20188</v>
      </c>
      <c r="AQ2755" s="28" t="str">
        <f t="shared" si="810"/>
        <v>20188RMB</v>
      </c>
      <c r="AR2755" s="206" t="str">
        <f t="shared" si="811"/>
        <v>HELLER</v>
      </c>
      <c r="AS2755" s="22">
        <f t="shared" si="812"/>
        <v>1</v>
      </c>
      <c r="AT2755" s="24" t="str">
        <f t="shared" si="813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5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4"/>
        <v>979000</v>
      </c>
      <c r="AA2756" s="13">
        <v>1.2150000000000001</v>
      </c>
      <c r="AB2756" s="21">
        <f t="shared" si="817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18"/>
        <v>25380121.402654871</v>
      </c>
      <c r="AJ2756" s="19">
        <f t="shared" si="819"/>
        <v>3850343.1237796471</v>
      </c>
      <c r="AK2756" s="20">
        <f t="shared" si="808"/>
        <v>0.1517070412191521</v>
      </c>
      <c r="AL2756" s="17"/>
      <c r="AM2756" s="17"/>
      <c r="AN2756" s="17"/>
      <c r="AO2756" s="17"/>
      <c r="AP2756" s="28" t="str">
        <f t="shared" si="809"/>
        <v>202112</v>
      </c>
      <c r="AQ2756" s="28" t="str">
        <f t="shared" si="810"/>
        <v>202112RMB</v>
      </c>
      <c r="AR2756" s="206" t="str">
        <f t="shared" si="811"/>
        <v>YAMAHA_Mounter</v>
      </c>
      <c r="AS2756" s="22">
        <f t="shared" si="812"/>
        <v>1</v>
      </c>
      <c r="AT2756" s="24" t="str">
        <f t="shared" si="813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5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4"/>
        <v>2612000</v>
      </c>
      <c r="AA2757" s="13">
        <v>1.18</v>
      </c>
      <c r="AB2757" s="21">
        <f t="shared" si="817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18"/>
        <v>29946107.503386207</v>
      </c>
      <c r="AJ2757" s="19">
        <f t="shared" si="819"/>
        <v>3987206.4954923098</v>
      </c>
      <c r="AK2757" s="20">
        <f t="shared" si="808"/>
        <v>0.13314606898547499</v>
      </c>
      <c r="AL2757" s="17"/>
      <c r="AM2757" s="17"/>
      <c r="AN2757" s="17"/>
      <c r="AO2757" s="17"/>
      <c r="AP2757" s="28" t="str">
        <f t="shared" si="809"/>
        <v>20187</v>
      </c>
      <c r="AQ2757" s="28" t="str">
        <f t="shared" si="810"/>
        <v>20187RMB</v>
      </c>
      <c r="AR2757" s="206" t="str">
        <f t="shared" si="811"/>
        <v>YAMAHA_Mounter</v>
      </c>
      <c r="AS2757" s="22">
        <f t="shared" si="812"/>
        <v>3</v>
      </c>
      <c r="AT2757" s="24" t="str">
        <f t="shared" si="813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5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4"/>
        <v>1306000</v>
      </c>
      <c r="AA2758" s="13">
        <v>1.1399999999999999</v>
      </c>
      <c r="AB2758" s="21">
        <f t="shared" si="817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18"/>
        <v>10786543.370020689</v>
      </c>
      <c r="AJ2758" s="19">
        <f t="shared" si="819"/>
        <v>1330367.5841569281</v>
      </c>
      <c r="AK2758" s="20">
        <f t="shared" ref="AK2758:AK2821" si="825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6">IF(F2758="","",F2758&amp;G2758)</f>
        <v>201810</v>
      </c>
      <c r="AQ2758" s="28" t="str">
        <f t="shared" ref="AQ2758:AQ2821" si="827">IF(W2758="","",F2758&amp;G2758&amp;W2758)</f>
        <v>201810RMB</v>
      </c>
      <c r="AR2758" s="206" t="str">
        <f t="shared" ref="AR2758:AR2821" si="828">IFERROR(IF(AND(M2758="YAMAHA", R2758="C28"), "YAMAHA_Non_Mounter", IF(AND(M2758="YAMAHA", R2758="C49"), "YAMAHA_Mounter", M2758)),"")</f>
        <v>YAMAHA_Mounter</v>
      </c>
      <c r="AS2758" s="22">
        <f t="shared" ref="AS2758:AS2821" si="829">IFERROR(IF(OR(G2758="TBA", G2758=""), "", DATEDIF(DATE(B2758, C2758, 1), DATE(F2758, G2758, 1), "M")),"")</f>
        <v>3</v>
      </c>
      <c r="AT2758" s="24" t="str">
        <f t="shared" ref="AT2758:AT2821" si="830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5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4"/>
        <v>653000</v>
      </c>
      <c r="AA2759" s="13">
        <v>1.23</v>
      </c>
      <c r="AB2759" s="21">
        <f t="shared" si="817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18"/>
        <v>29288201.603076916</v>
      </c>
      <c r="AJ2759" s="19">
        <f t="shared" si="819"/>
        <v>3870159.1769246152</v>
      </c>
      <c r="AK2759" s="20">
        <f t="shared" si="825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6"/>
        <v>20184</v>
      </c>
      <c r="AQ2759" s="28" t="str">
        <f t="shared" si="827"/>
        <v>20184RMB</v>
      </c>
      <c r="AR2759" s="206" t="str">
        <f t="shared" si="828"/>
        <v>YAMAHA_Mounter</v>
      </c>
      <c r="AS2759" s="22">
        <f t="shared" si="829"/>
        <v>1</v>
      </c>
      <c r="AT2759" s="24" t="str">
        <f t="shared" si="830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5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4"/>
        <v>1535000</v>
      </c>
      <c r="AA2760" s="13">
        <v>1.1599999999999999</v>
      </c>
      <c r="AB2760" s="21">
        <f t="shared" si="817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18"/>
        <v>47416008.333399981</v>
      </c>
      <c r="AJ2760" s="19">
        <f t="shared" si="819"/>
        <v>6981738.4465290187</v>
      </c>
      <c r="AK2760" s="20">
        <f t="shared" si="825"/>
        <v>0.14724433143839863</v>
      </c>
      <c r="AL2760" s="17"/>
      <c r="AM2760" s="17"/>
      <c r="AN2760" s="17"/>
      <c r="AO2760" s="17"/>
      <c r="AP2760" s="28" t="str">
        <f t="shared" si="826"/>
        <v>20193</v>
      </c>
      <c r="AQ2760" s="28" t="str">
        <f t="shared" si="827"/>
        <v>20193RMB</v>
      </c>
      <c r="AR2760" s="206" t="str">
        <f t="shared" si="828"/>
        <v>YAMAHA_Mounter</v>
      </c>
      <c r="AS2760" s="22">
        <f t="shared" si="829"/>
        <v>2</v>
      </c>
      <c r="AT2760" s="24" t="str">
        <f t="shared" si="830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5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4"/>
        <v>900000</v>
      </c>
      <c r="AA2761" s="13">
        <v>1.105</v>
      </c>
      <c r="AB2761" s="21">
        <f t="shared" si="817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18"/>
        <v>499582152.5142017</v>
      </c>
      <c r="AJ2761" s="19">
        <f t="shared" si="819"/>
        <v>59520528.679470733</v>
      </c>
      <c r="AK2761" s="20">
        <f t="shared" si="825"/>
        <v>0.11914062257814291</v>
      </c>
      <c r="AL2761" s="17"/>
      <c r="AM2761" s="17"/>
      <c r="AN2761" s="17"/>
      <c r="AO2761" s="17"/>
      <c r="AP2761" s="28" t="str">
        <f t="shared" si="826"/>
        <v>CancelCancel</v>
      </c>
      <c r="AQ2761" s="28" t="str">
        <f t="shared" si="827"/>
        <v>CancelCancelRMB</v>
      </c>
      <c r="AR2761" s="206" t="str">
        <f t="shared" si="828"/>
        <v>YAMAHA_Mounter</v>
      </c>
      <c r="AS2761" s="22" t="str">
        <f t="shared" si="829"/>
        <v/>
      </c>
      <c r="AT2761" s="24" t="str">
        <f t="shared" si="830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5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1">IF(X2762="","",X2762*MAX(O2762,N2762))</f>
        <v>570000</v>
      </c>
      <c r="AA2762" s="13">
        <v>1.105</v>
      </c>
      <c r="AB2762" s="21">
        <f t="shared" si="817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18"/>
        <v>499582152.5142017</v>
      </c>
      <c r="AJ2762" s="19">
        <f t="shared" si="819"/>
        <v>59520528.679470733</v>
      </c>
      <c r="AK2762" s="20">
        <f t="shared" si="825"/>
        <v>0.11914062257814291</v>
      </c>
      <c r="AL2762" s="17"/>
      <c r="AM2762" s="17"/>
      <c r="AN2762" s="17"/>
      <c r="AO2762" s="17"/>
      <c r="AP2762" s="28" t="str">
        <f t="shared" si="826"/>
        <v>CancelCancel</v>
      </c>
      <c r="AQ2762" s="28" t="str">
        <f t="shared" si="827"/>
        <v>CancelCancelRMB</v>
      </c>
      <c r="AR2762" s="206" t="str">
        <f t="shared" si="828"/>
        <v>YAMAHA_Mounter</v>
      </c>
      <c r="AS2762" s="22" t="str">
        <f t="shared" si="829"/>
        <v/>
      </c>
      <c r="AT2762" s="24" t="str">
        <f t="shared" si="830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5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1"/>
        <v>2337501</v>
      </c>
      <c r="AA2763" s="13">
        <v>1.1599999999999999</v>
      </c>
      <c r="AB2763" s="21">
        <f t="shared" si="817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18"/>
        <v>499582152.5142017</v>
      </c>
      <c r="AJ2763" s="19">
        <f t="shared" si="819"/>
        <v>59520528.679470733</v>
      </c>
      <c r="AK2763" s="20">
        <f t="shared" si="825"/>
        <v>0.11914062257814291</v>
      </c>
      <c r="AL2763" s="17"/>
      <c r="AM2763" s="17"/>
      <c r="AN2763" s="17"/>
      <c r="AO2763" s="17"/>
      <c r="AP2763" s="28" t="str">
        <f t="shared" si="826"/>
        <v>CancelCancel</v>
      </c>
      <c r="AQ2763" s="28" t="str">
        <f t="shared" si="827"/>
        <v>CancelCancelRMB</v>
      </c>
      <c r="AR2763" s="206" t="str">
        <f t="shared" si="828"/>
        <v>YAMAHA_Mounter</v>
      </c>
      <c r="AS2763" s="22" t="str">
        <f t="shared" si="829"/>
        <v/>
      </c>
      <c r="AT2763" s="24" t="str">
        <f t="shared" si="830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5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1"/>
        <v>1147500</v>
      </c>
      <c r="AA2764" s="13">
        <v>1.1599999999999999</v>
      </c>
      <c r="AB2764" s="21">
        <f t="shared" si="817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18"/>
        <v>499582152.5142017</v>
      </c>
      <c r="AJ2764" s="19">
        <f t="shared" si="819"/>
        <v>59520528.679470733</v>
      </c>
      <c r="AK2764" s="20">
        <f t="shared" si="825"/>
        <v>0.11914062257814291</v>
      </c>
      <c r="AL2764" s="17"/>
      <c r="AM2764" s="17"/>
      <c r="AN2764" s="17"/>
      <c r="AO2764" s="17"/>
      <c r="AP2764" s="28" t="str">
        <f t="shared" si="826"/>
        <v>CancelCancel</v>
      </c>
      <c r="AQ2764" s="28" t="str">
        <f t="shared" si="827"/>
        <v>CancelCancelRMB</v>
      </c>
      <c r="AR2764" s="206" t="str">
        <f t="shared" si="828"/>
        <v>YAMAHA_Mounter</v>
      </c>
      <c r="AS2764" s="22" t="str">
        <f t="shared" si="829"/>
        <v/>
      </c>
      <c r="AT2764" s="24" t="str">
        <f t="shared" si="830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5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1"/>
        <v>1520000</v>
      </c>
      <c r="AA2765" s="13">
        <v>1.1599999999999999</v>
      </c>
      <c r="AB2765" s="21">
        <f t="shared" si="817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18"/>
        <v>499582152.5142017</v>
      </c>
      <c r="AJ2765" s="19">
        <f t="shared" si="819"/>
        <v>59520528.679470733</v>
      </c>
      <c r="AK2765" s="20">
        <f t="shared" si="825"/>
        <v>0.11914062257814291</v>
      </c>
      <c r="AL2765" s="17"/>
      <c r="AM2765" s="17"/>
      <c r="AN2765" s="17"/>
      <c r="AO2765" s="17"/>
      <c r="AP2765" s="28" t="str">
        <f t="shared" si="826"/>
        <v>CancelCancel</v>
      </c>
      <c r="AQ2765" s="28" t="str">
        <f t="shared" si="827"/>
        <v>CancelCancelRMB</v>
      </c>
      <c r="AR2765" s="206" t="str">
        <f t="shared" si="828"/>
        <v>YAMAHA_Mounter</v>
      </c>
      <c r="AS2765" s="22" t="str">
        <f t="shared" si="829"/>
        <v/>
      </c>
      <c r="AT2765" s="24" t="str">
        <f t="shared" si="830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5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1"/>
        <v>504774</v>
      </c>
      <c r="AA2766" s="13">
        <v>1.175</v>
      </c>
      <c r="AB2766" s="21">
        <f t="shared" si="817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18"/>
        <v>48763143.537654862</v>
      </c>
      <c r="AJ2766" s="19">
        <f t="shared" si="819"/>
        <v>5924029.9702154724</v>
      </c>
      <c r="AK2766" s="20">
        <f t="shared" si="825"/>
        <v>0.1214858095774925</v>
      </c>
      <c r="AL2766" s="17"/>
      <c r="AM2766" s="17"/>
      <c r="AN2766" s="17"/>
      <c r="AO2766" s="17"/>
      <c r="AP2766" s="28" t="str">
        <f t="shared" si="826"/>
        <v>202012</v>
      </c>
      <c r="AQ2766" s="28" t="str">
        <f t="shared" si="827"/>
        <v>202012RMB</v>
      </c>
      <c r="AR2766" s="206" t="str">
        <f t="shared" si="828"/>
        <v>YAMAHA_Mounter</v>
      </c>
      <c r="AS2766" s="22">
        <f t="shared" si="829"/>
        <v>3</v>
      </c>
      <c r="AT2766" s="24" t="str">
        <f t="shared" si="830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5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1"/>
        <v>504774</v>
      </c>
      <c r="AA2767" s="13">
        <v>1.175</v>
      </c>
      <c r="AB2767" s="21">
        <f t="shared" si="817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18"/>
        <v>48763143.537654862</v>
      </c>
      <c r="AJ2767" s="19">
        <f t="shared" si="819"/>
        <v>5924029.9702154724</v>
      </c>
      <c r="AK2767" s="20">
        <f t="shared" si="825"/>
        <v>0.1214858095774925</v>
      </c>
      <c r="AL2767" s="17"/>
      <c r="AM2767" s="17"/>
      <c r="AN2767" s="17"/>
      <c r="AO2767" s="17"/>
      <c r="AP2767" s="28" t="str">
        <f t="shared" si="826"/>
        <v>202012</v>
      </c>
      <c r="AQ2767" s="28" t="str">
        <f t="shared" si="827"/>
        <v>202012RMB</v>
      </c>
      <c r="AR2767" s="206" t="str">
        <f t="shared" si="828"/>
        <v>YAMAHA_Mounter</v>
      </c>
      <c r="AS2767" s="22">
        <f t="shared" si="829"/>
        <v>3</v>
      </c>
      <c r="AT2767" s="24" t="str">
        <f t="shared" si="830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5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1"/>
        <v>600687.5</v>
      </c>
      <c r="AA2768" s="13">
        <v>1.135</v>
      </c>
      <c r="AB2768" s="21">
        <f t="shared" si="817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18"/>
        <v>34015877.71150443</v>
      </c>
      <c r="AJ2768" s="19">
        <f t="shared" si="819"/>
        <v>4446292.375441948</v>
      </c>
      <c r="AK2768" s="20">
        <f t="shared" si="825"/>
        <v>0.13071226364205143</v>
      </c>
      <c r="AL2768" s="17"/>
      <c r="AM2768" s="17"/>
      <c r="AN2768" s="17"/>
      <c r="AO2768" s="17"/>
      <c r="AP2768" s="28" t="str">
        <f t="shared" si="826"/>
        <v>20197</v>
      </c>
      <c r="AQ2768" s="28" t="str">
        <f t="shared" si="827"/>
        <v>20197RMB</v>
      </c>
      <c r="AR2768" s="206" t="str">
        <f t="shared" si="828"/>
        <v>YAMAHA_Mounter</v>
      </c>
      <c r="AS2768" s="22">
        <f t="shared" si="829"/>
        <v>0</v>
      </c>
      <c r="AT2768" s="24" t="str">
        <f t="shared" si="830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5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1"/>
        <v>600687.5</v>
      </c>
      <c r="AA2769" s="13">
        <v>1.135</v>
      </c>
      <c r="AB2769" s="21">
        <f t="shared" si="817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18"/>
        <v>34015877.71150443</v>
      </c>
      <c r="AJ2769" s="19">
        <f t="shared" si="819"/>
        <v>4446292.375441948</v>
      </c>
      <c r="AK2769" s="20">
        <f t="shared" si="825"/>
        <v>0.13071226364205143</v>
      </c>
      <c r="AL2769" s="17"/>
      <c r="AM2769" s="17"/>
      <c r="AN2769" s="17"/>
      <c r="AO2769" s="17"/>
      <c r="AP2769" s="28" t="str">
        <f t="shared" si="826"/>
        <v>20197</v>
      </c>
      <c r="AQ2769" s="28" t="str">
        <f t="shared" si="827"/>
        <v>20197RMB</v>
      </c>
      <c r="AR2769" s="206" t="str">
        <f t="shared" si="828"/>
        <v>YAMAHA_Mounter</v>
      </c>
      <c r="AS2769" s="22">
        <f t="shared" si="829"/>
        <v>0</v>
      </c>
      <c r="AT2769" s="24" t="str">
        <f t="shared" si="830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5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1"/>
        <v>600687.5</v>
      </c>
      <c r="AA2770" s="13">
        <v>1.135</v>
      </c>
      <c r="AB2770" s="21">
        <f t="shared" si="817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18"/>
        <v>34015877.71150443</v>
      </c>
      <c r="AJ2770" s="19">
        <f t="shared" si="819"/>
        <v>4446292.375441948</v>
      </c>
      <c r="AK2770" s="20">
        <f t="shared" si="825"/>
        <v>0.13071226364205143</v>
      </c>
      <c r="AL2770" s="17"/>
      <c r="AM2770" s="17"/>
      <c r="AN2770" s="17"/>
      <c r="AO2770" s="17"/>
      <c r="AP2770" s="28" t="str">
        <f t="shared" si="826"/>
        <v>20197</v>
      </c>
      <c r="AQ2770" s="28" t="str">
        <f t="shared" si="827"/>
        <v>20197RMB</v>
      </c>
      <c r="AR2770" s="206" t="str">
        <f t="shared" si="828"/>
        <v>YAMAHA_Mounter</v>
      </c>
      <c r="AS2770" s="22">
        <f t="shared" si="829"/>
        <v>0</v>
      </c>
      <c r="AT2770" s="24" t="str">
        <f t="shared" si="830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5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1"/>
        <v>600687.5</v>
      </c>
      <c r="AA2771" s="13">
        <v>1.135</v>
      </c>
      <c r="AB2771" s="21">
        <f t="shared" si="817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18"/>
        <v>34015877.71150443</v>
      </c>
      <c r="AJ2771" s="19">
        <f t="shared" si="819"/>
        <v>4446292.375441948</v>
      </c>
      <c r="AK2771" s="20">
        <f t="shared" si="825"/>
        <v>0.13071226364205143</v>
      </c>
      <c r="AL2771" s="17"/>
      <c r="AM2771" s="17"/>
      <c r="AN2771" s="17"/>
      <c r="AO2771" s="17"/>
      <c r="AP2771" s="28" t="str">
        <f t="shared" si="826"/>
        <v>20197</v>
      </c>
      <c r="AQ2771" s="28" t="str">
        <f t="shared" si="827"/>
        <v>20197RMB</v>
      </c>
      <c r="AR2771" s="206" t="str">
        <f t="shared" si="828"/>
        <v>YAMAHA_Mounter</v>
      </c>
      <c r="AS2771" s="22">
        <f t="shared" si="829"/>
        <v>0</v>
      </c>
      <c r="AT2771" s="24" t="str">
        <f t="shared" si="830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5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1"/>
        <v>764375</v>
      </c>
      <c r="AA2772" s="13">
        <v>1.135</v>
      </c>
      <c r="AB2772" s="21">
        <f t="shared" si="817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18"/>
        <v>34015877.71150443</v>
      </c>
      <c r="AJ2772" s="19">
        <f t="shared" si="819"/>
        <v>4446292.375441948</v>
      </c>
      <c r="AK2772" s="20">
        <f t="shared" si="825"/>
        <v>0.13071226364205143</v>
      </c>
      <c r="AL2772" s="17"/>
      <c r="AM2772" s="17"/>
      <c r="AN2772" s="17"/>
      <c r="AO2772" s="17"/>
      <c r="AP2772" s="28" t="str">
        <f t="shared" si="826"/>
        <v>20197</v>
      </c>
      <c r="AQ2772" s="28" t="str">
        <f t="shared" si="827"/>
        <v>20197RMB</v>
      </c>
      <c r="AR2772" s="206" t="str">
        <f t="shared" si="828"/>
        <v>YAMAHA_Mounter</v>
      </c>
      <c r="AS2772" s="22">
        <f t="shared" si="829"/>
        <v>0</v>
      </c>
      <c r="AT2772" s="24" t="str">
        <f t="shared" si="830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5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1"/>
        <v>764375</v>
      </c>
      <c r="AA2773" s="13">
        <v>1.135</v>
      </c>
      <c r="AB2773" s="21">
        <f t="shared" si="817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18"/>
        <v>34015877.71150443</v>
      </c>
      <c r="AJ2773" s="19">
        <f t="shared" si="819"/>
        <v>4446292.375441948</v>
      </c>
      <c r="AK2773" s="20">
        <f t="shared" si="825"/>
        <v>0.13071226364205143</v>
      </c>
      <c r="AL2773" s="17"/>
      <c r="AM2773" s="17"/>
      <c r="AN2773" s="17"/>
      <c r="AO2773" s="17"/>
      <c r="AP2773" s="28" t="str">
        <f t="shared" si="826"/>
        <v>20197</v>
      </c>
      <c r="AQ2773" s="28" t="str">
        <f t="shared" si="827"/>
        <v>20197RMB</v>
      </c>
      <c r="AR2773" s="206" t="str">
        <f t="shared" si="828"/>
        <v>YAMAHA_Mounter</v>
      </c>
      <c r="AS2773" s="22">
        <f t="shared" si="829"/>
        <v>0</v>
      </c>
      <c r="AT2773" s="24" t="str">
        <f t="shared" si="830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2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1"/>
        <v>764375</v>
      </c>
      <c r="AA2774" s="13">
        <v>1.135</v>
      </c>
      <c r="AB2774" s="21">
        <f t="shared" si="817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18"/>
        <v>31296887.037898075</v>
      </c>
      <c r="AJ2774" s="19">
        <f t="shared" si="819"/>
        <v>3588873.9502021763</v>
      </c>
      <c r="AK2774" s="20">
        <f t="shared" si="825"/>
        <v>0.11467191436184473</v>
      </c>
      <c r="AL2774" s="17"/>
      <c r="AM2774" s="17"/>
      <c r="AN2774" s="17"/>
      <c r="AO2774" s="17"/>
      <c r="AP2774" s="28" t="str">
        <f t="shared" si="826"/>
        <v>20196</v>
      </c>
      <c r="AQ2774" s="28" t="str">
        <f t="shared" si="827"/>
        <v>20196RMB</v>
      </c>
      <c r="AR2774" s="206" t="str">
        <f t="shared" si="828"/>
        <v>YAMAHA_Mounter</v>
      </c>
      <c r="AS2774" s="22">
        <f t="shared" si="829"/>
        <v>1</v>
      </c>
      <c r="AT2774" s="24" t="str">
        <f t="shared" si="830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2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1"/>
        <v>764375</v>
      </c>
      <c r="AA2775" s="13">
        <v>1.135</v>
      </c>
      <c r="AB2775" s="21">
        <f t="shared" si="817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18"/>
        <v>31296887.037898075</v>
      </c>
      <c r="AJ2775" s="19">
        <f t="shared" si="819"/>
        <v>3588873.9502021763</v>
      </c>
      <c r="AK2775" s="20">
        <f t="shared" si="825"/>
        <v>0.11467191436184473</v>
      </c>
      <c r="AL2775" s="17"/>
      <c r="AM2775" s="17"/>
      <c r="AN2775" s="17"/>
      <c r="AO2775" s="17"/>
      <c r="AP2775" s="28" t="str">
        <f t="shared" si="826"/>
        <v>20196</v>
      </c>
      <c r="AQ2775" s="28" t="str">
        <f t="shared" si="827"/>
        <v>20196RMB</v>
      </c>
      <c r="AR2775" s="206" t="str">
        <f t="shared" si="828"/>
        <v>YAMAHA_Mounter</v>
      </c>
      <c r="AS2775" s="22">
        <f t="shared" si="829"/>
        <v>1</v>
      </c>
      <c r="AT2775" s="24" t="str">
        <f t="shared" si="830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2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1"/>
        <v>613750</v>
      </c>
      <c r="AA2776" s="13">
        <v>1.135</v>
      </c>
      <c r="AB2776" s="21">
        <f t="shared" si="817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18"/>
        <v>31296887.037898075</v>
      </c>
      <c r="AJ2776" s="19">
        <f t="shared" si="819"/>
        <v>3588873.9502021763</v>
      </c>
      <c r="AK2776" s="20">
        <f t="shared" si="825"/>
        <v>0.11467191436184473</v>
      </c>
      <c r="AL2776" s="17"/>
      <c r="AM2776" s="17"/>
      <c r="AN2776" s="17"/>
      <c r="AO2776" s="17"/>
      <c r="AP2776" s="28" t="str">
        <f t="shared" si="826"/>
        <v>20196</v>
      </c>
      <c r="AQ2776" s="28" t="str">
        <f t="shared" si="827"/>
        <v>20196RMB</v>
      </c>
      <c r="AR2776" s="206" t="str">
        <f t="shared" si="828"/>
        <v>YAMAHA_Mounter</v>
      </c>
      <c r="AS2776" s="22">
        <f t="shared" si="829"/>
        <v>1</v>
      </c>
      <c r="AT2776" s="24" t="str">
        <f t="shared" si="830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2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1"/>
        <v>760000</v>
      </c>
      <c r="AA2777" s="13">
        <v>1.135</v>
      </c>
      <c r="AB2777" s="21">
        <f t="shared" si="817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18"/>
        <v>31296887.037898075</v>
      </c>
      <c r="AJ2777" s="19">
        <f t="shared" si="819"/>
        <v>3588873.9502021763</v>
      </c>
      <c r="AK2777" s="20">
        <f t="shared" si="825"/>
        <v>0.11467191436184473</v>
      </c>
      <c r="AL2777" s="17"/>
      <c r="AM2777" s="17"/>
      <c r="AN2777" s="17"/>
      <c r="AO2777" s="17"/>
      <c r="AP2777" s="28" t="str">
        <f t="shared" si="826"/>
        <v>20196</v>
      </c>
      <c r="AQ2777" s="28" t="str">
        <f t="shared" si="827"/>
        <v>20196RMB</v>
      </c>
      <c r="AR2777" s="206" t="str">
        <f t="shared" si="828"/>
        <v>YAMAHA_Mounter</v>
      </c>
      <c r="AS2777" s="22">
        <f t="shared" si="829"/>
        <v>1</v>
      </c>
      <c r="AT2777" s="24" t="str">
        <f t="shared" si="830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2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1"/>
        <v>613750</v>
      </c>
      <c r="AA2778" s="13">
        <v>1.135</v>
      </c>
      <c r="AB2778" s="21">
        <f t="shared" si="817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18"/>
        <v>499582152.5142017</v>
      </c>
      <c r="AJ2778" s="19">
        <f t="shared" si="819"/>
        <v>59520528.679470733</v>
      </c>
      <c r="AK2778" s="20">
        <f t="shared" si="825"/>
        <v>0.11914062257814291</v>
      </c>
      <c r="AL2778" s="17"/>
      <c r="AM2778" s="17"/>
      <c r="AN2778" s="17"/>
      <c r="AO2778" s="17"/>
      <c r="AP2778" s="28" t="str">
        <f t="shared" si="826"/>
        <v>CancelCancel</v>
      </c>
      <c r="AQ2778" s="28" t="str">
        <f t="shared" si="827"/>
        <v>CancelCancelRMB</v>
      </c>
      <c r="AR2778" s="206" t="str">
        <f t="shared" si="828"/>
        <v>YAMAHA_Mounter</v>
      </c>
      <c r="AS2778" s="22" t="str">
        <f t="shared" si="829"/>
        <v/>
      </c>
      <c r="AT2778" s="24" t="str">
        <f t="shared" si="830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2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1"/>
        <v>760000</v>
      </c>
      <c r="AA2779" s="13">
        <v>1.135</v>
      </c>
      <c r="AB2779" s="21">
        <f t="shared" si="817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18"/>
        <v>499582152.5142017</v>
      </c>
      <c r="AJ2779" s="19">
        <f t="shared" si="819"/>
        <v>59520528.679470733</v>
      </c>
      <c r="AK2779" s="20">
        <f t="shared" si="825"/>
        <v>0.11914062257814291</v>
      </c>
      <c r="AL2779" s="17"/>
      <c r="AM2779" s="17"/>
      <c r="AN2779" s="17"/>
      <c r="AO2779" s="17"/>
      <c r="AP2779" s="28" t="str">
        <f t="shared" si="826"/>
        <v>CancelCancel</v>
      </c>
      <c r="AQ2779" s="28" t="str">
        <f t="shared" si="827"/>
        <v>CancelCancelRMB</v>
      </c>
      <c r="AR2779" s="206" t="str">
        <f t="shared" si="828"/>
        <v>YAMAHA_Mounter</v>
      </c>
      <c r="AS2779" s="22" t="str">
        <f t="shared" si="829"/>
        <v/>
      </c>
      <c r="AT2779" s="24" t="str">
        <f t="shared" si="830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2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1"/>
        <v>613750</v>
      </c>
      <c r="AA2780" s="13">
        <v>1.135</v>
      </c>
      <c r="AB2780" s="21">
        <f t="shared" si="817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18"/>
        <v>499582152.5142017</v>
      </c>
      <c r="AJ2780" s="19">
        <f t="shared" si="819"/>
        <v>59520528.679470733</v>
      </c>
      <c r="AK2780" s="20">
        <f t="shared" si="825"/>
        <v>0.11914062257814291</v>
      </c>
      <c r="AL2780" s="17"/>
      <c r="AM2780" s="17"/>
      <c r="AN2780" s="17"/>
      <c r="AO2780" s="17"/>
      <c r="AP2780" s="28" t="str">
        <f t="shared" si="826"/>
        <v>CancelCancel</v>
      </c>
      <c r="AQ2780" s="28" t="str">
        <f t="shared" si="827"/>
        <v>CancelCancelRMB</v>
      </c>
      <c r="AR2780" s="206" t="str">
        <f t="shared" si="828"/>
        <v>YAMAHA_Mounter</v>
      </c>
      <c r="AS2780" s="22" t="str">
        <f t="shared" si="829"/>
        <v/>
      </c>
      <c r="AT2780" s="24" t="str">
        <f t="shared" si="830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2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1"/>
        <v>1528750</v>
      </c>
      <c r="AA2781" s="13">
        <v>1.135</v>
      </c>
      <c r="AB2781" s="21">
        <f t="shared" si="817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18"/>
        <v>499582152.5142017</v>
      </c>
      <c r="AJ2781" s="19">
        <f t="shared" si="819"/>
        <v>59520528.679470733</v>
      </c>
      <c r="AK2781" s="20">
        <f t="shared" si="825"/>
        <v>0.11914062257814291</v>
      </c>
      <c r="AL2781" s="17"/>
      <c r="AM2781" s="17"/>
      <c r="AN2781" s="17"/>
      <c r="AO2781" s="17"/>
      <c r="AP2781" s="28" t="str">
        <f t="shared" si="826"/>
        <v>CancelCancel</v>
      </c>
      <c r="AQ2781" s="28" t="str">
        <f t="shared" si="827"/>
        <v>CancelCancelRMB</v>
      </c>
      <c r="AR2781" s="206" t="str">
        <f t="shared" si="828"/>
        <v>YAMAHA_Mounter</v>
      </c>
      <c r="AS2781" s="22" t="str">
        <f t="shared" si="829"/>
        <v/>
      </c>
      <c r="AT2781" s="24" t="str">
        <f t="shared" si="830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2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1"/>
        <v>610000</v>
      </c>
      <c r="AA2782" s="13">
        <v>1.23</v>
      </c>
      <c r="AB2782" s="21">
        <f t="shared" si="817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18"/>
        <v>34109166.105589926</v>
      </c>
      <c r="AJ2782" s="19">
        <f t="shared" si="819"/>
        <v>4642032.7199573703</v>
      </c>
      <c r="AK2782" s="20">
        <f t="shared" si="825"/>
        <v>0.13609340977692849</v>
      </c>
      <c r="AL2782" s="17"/>
      <c r="AM2782" s="17"/>
      <c r="AN2782" s="17"/>
      <c r="AO2782" s="17"/>
      <c r="AP2782" s="28" t="str">
        <f t="shared" si="826"/>
        <v>20185</v>
      </c>
      <c r="AQ2782" s="28" t="str">
        <f t="shared" si="827"/>
        <v>20185RMB</v>
      </c>
      <c r="AR2782" s="206" t="str">
        <f t="shared" si="828"/>
        <v>YAMAHA_Mounter</v>
      </c>
      <c r="AS2782" s="22">
        <f t="shared" si="829"/>
        <v>4</v>
      </c>
      <c r="AT2782" s="24" t="str">
        <f t="shared" si="830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2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1"/>
        <v>490000</v>
      </c>
      <c r="AA2783" s="13">
        <v>1.23</v>
      </c>
      <c r="AB2783" s="21">
        <f t="shared" si="817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18"/>
        <v>34109166.105589926</v>
      </c>
      <c r="AJ2783" s="19">
        <f t="shared" si="819"/>
        <v>4642032.7199573703</v>
      </c>
      <c r="AK2783" s="20">
        <f t="shared" si="825"/>
        <v>0.13609340977692849</v>
      </c>
      <c r="AL2783" s="17"/>
      <c r="AM2783" s="17"/>
      <c r="AN2783" s="17"/>
      <c r="AO2783" s="17"/>
      <c r="AP2783" s="28" t="str">
        <f t="shared" si="826"/>
        <v>20185</v>
      </c>
      <c r="AQ2783" s="28" t="str">
        <f t="shared" si="827"/>
        <v>20185RMB</v>
      </c>
      <c r="AR2783" s="206" t="str">
        <f t="shared" si="828"/>
        <v>YAMAHA_Mounter</v>
      </c>
      <c r="AS2783" s="22">
        <f t="shared" si="829"/>
        <v>4</v>
      </c>
      <c r="AT2783" s="24" t="str">
        <f t="shared" si="830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2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3">IF(W2784="RMB","1.13", "1")</f>
        <v>1</v>
      </c>
      <c r="Z2784" s="18">
        <f t="shared" si="831"/>
        <v>12000000</v>
      </c>
      <c r="AA2784" s="13">
        <v>7.2800000000000004E-2</v>
      </c>
      <c r="AB2784" s="21">
        <f t="shared" si="817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18"/>
        <v>63006605.696460173</v>
      </c>
      <c r="AJ2784" s="19">
        <f t="shared" si="819"/>
        <v>8897485.660753984</v>
      </c>
      <c r="AK2784" s="20">
        <f t="shared" si="825"/>
        <v>0.141215124388995</v>
      </c>
      <c r="AL2784" s="17"/>
      <c r="AM2784" s="17"/>
      <c r="AN2784" s="17"/>
      <c r="AO2784" s="17"/>
      <c r="AP2784" s="28" t="str">
        <f t="shared" si="826"/>
        <v>20215</v>
      </c>
      <c r="AQ2784" s="28" t="str">
        <f t="shared" si="827"/>
        <v>20215JPY</v>
      </c>
      <c r="AR2784" s="206" t="str">
        <f t="shared" si="828"/>
        <v>YAMAHA_Mounter</v>
      </c>
      <c r="AS2784" s="22">
        <f t="shared" si="829"/>
        <v>4</v>
      </c>
      <c r="AT2784" s="24" t="str">
        <f t="shared" si="830"/>
        <v>4-6 months</v>
      </c>
      <c r="AU2784" s="22" t="s">
        <v>3745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2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3"/>
        <v>1</v>
      </c>
      <c r="Z2785" s="18">
        <f t="shared" si="831"/>
        <v>12000000</v>
      </c>
      <c r="AA2785" s="13">
        <v>7.2800000000000004E-2</v>
      </c>
      <c r="AB2785" s="21">
        <f t="shared" si="817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18"/>
        <v>63006605.696460173</v>
      </c>
      <c r="AJ2785" s="19">
        <f t="shared" si="819"/>
        <v>8897485.660753984</v>
      </c>
      <c r="AK2785" s="20">
        <f t="shared" si="825"/>
        <v>0.141215124388995</v>
      </c>
      <c r="AL2785" s="17"/>
      <c r="AM2785" s="17"/>
      <c r="AN2785" s="17"/>
      <c r="AO2785" s="17"/>
      <c r="AP2785" s="28" t="str">
        <f t="shared" si="826"/>
        <v>20215</v>
      </c>
      <c r="AQ2785" s="28" t="str">
        <f t="shared" si="827"/>
        <v>20215JPY</v>
      </c>
      <c r="AR2785" s="206" t="str">
        <f t="shared" si="828"/>
        <v>YAMAHA_Mounter</v>
      </c>
      <c r="AS2785" s="22">
        <f t="shared" si="829"/>
        <v>4</v>
      </c>
      <c r="AT2785" s="24" t="str">
        <f t="shared" si="830"/>
        <v>4-6 months</v>
      </c>
      <c r="AU2785" s="22" t="s">
        <v>3745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2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3"/>
        <v>1</v>
      </c>
      <c r="Z2786" s="18">
        <f t="shared" si="831"/>
        <v>12000000</v>
      </c>
      <c r="AA2786" s="13">
        <v>7.2800000000000004E-2</v>
      </c>
      <c r="AB2786" s="21">
        <f t="shared" si="817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18"/>
        <v>63006605.696460173</v>
      </c>
      <c r="AJ2786" s="19">
        <f t="shared" si="819"/>
        <v>8897485.660753984</v>
      </c>
      <c r="AK2786" s="20">
        <f t="shared" si="825"/>
        <v>0.141215124388995</v>
      </c>
      <c r="AL2786" s="17"/>
      <c r="AM2786" s="17"/>
      <c r="AN2786" s="17"/>
      <c r="AO2786" s="17"/>
      <c r="AP2786" s="28" t="str">
        <f t="shared" si="826"/>
        <v>20215</v>
      </c>
      <c r="AQ2786" s="28" t="str">
        <f t="shared" si="827"/>
        <v>20215JPY</v>
      </c>
      <c r="AR2786" s="206" t="str">
        <f t="shared" si="828"/>
        <v>YAMAHA_Mounter</v>
      </c>
      <c r="AS2786" s="22">
        <f t="shared" si="829"/>
        <v>4</v>
      </c>
      <c r="AT2786" s="24" t="str">
        <f t="shared" si="830"/>
        <v>4-6 months</v>
      </c>
      <c r="AU2786" s="22" t="s">
        <v>3745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2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3"/>
        <v>1</v>
      </c>
      <c r="Z2787" s="18">
        <f t="shared" si="831"/>
        <v>9300000</v>
      </c>
      <c r="AA2787" s="13">
        <v>7.2800000000000004E-2</v>
      </c>
      <c r="AB2787" s="21">
        <f t="shared" si="817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18"/>
        <v>63006605.696460173</v>
      </c>
      <c r="AJ2787" s="19">
        <f t="shared" si="819"/>
        <v>8897485.660753984</v>
      </c>
      <c r="AK2787" s="20">
        <f t="shared" si="825"/>
        <v>0.141215124388995</v>
      </c>
      <c r="AL2787" s="17"/>
      <c r="AM2787" s="17"/>
      <c r="AN2787" s="17"/>
      <c r="AO2787" s="17"/>
      <c r="AP2787" s="28" t="str">
        <f t="shared" si="826"/>
        <v>20215</v>
      </c>
      <c r="AQ2787" s="28" t="str">
        <f t="shared" si="827"/>
        <v>20215JPY</v>
      </c>
      <c r="AR2787" s="206" t="str">
        <f t="shared" si="828"/>
        <v>YAMAHA_Mounter</v>
      </c>
      <c r="AS2787" s="22">
        <f t="shared" si="829"/>
        <v>4</v>
      </c>
      <c r="AT2787" s="24" t="str">
        <f t="shared" si="830"/>
        <v>4-6 months</v>
      </c>
      <c r="AU2787" s="22" t="s">
        <v>3745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2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3"/>
        <v>1</v>
      </c>
      <c r="Z2788" s="18">
        <f t="shared" si="831"/>
        <v>9300000</v>
      </c>
      <c r="AA2788" s="13">
        <v>7.2800000000000004E-2</v>
      </c>
      <c r="AB2788" s="21">
        <f t="shared" si="817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18"/>
        <v>63006605.696460173</v>
      </c>
      <c r="AJ2788" s="19">
        <f t="shared" si="819"/>
        <v>8897485.660753984</v>
      </c>
      <c r="AK2788" s="20">
        <f t="shared" si="825"/>
        <v>0.141215124388995</v>
      </c>
      <c r="AL2788" s="17"/>
      <c r="AM2788" s="17"/>
      <c r="AN2788" s="17"/>
      <c r="AO2788" s="17"/>
      <c r="AP2788" s="28" t="str">
        <f t="shared" si="826"/>
        <v>20215</v>
      </c>
      <c r="AQ2788" s="28" t="str">
        <f t="shared" si="827"/>
        <v>20215JPY</v>
      </c>
      <c r="AR2788" s="206" t="str">
        <f t="shared" si="828"/>
        <v>YAMAHA_Mounter</v>
      </c>
      <c r="AS2788" s="22">
        <f t="shared" si="829"/>
        <v>4</v>
      </c>
      <c r="AT2788" s="24" t="str">
        <f t="shared" si="830"/>
        <v>4-6 months</v>
      </c>
      <c r="AU2788" s="22" t="s">
        <v>3745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2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3"/>
        <v>1</v>
      </c>
      <c r="Z2789" s="18">
        <f t="shared" si="831"/>
        <v>9300000</v>
      </c>
      <c r="AA2789" s="13">
        <v>7.2800000000000004E-2</v>
      </c>
      <c r="AB2789" s="21">
        <f t="shared" si="817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18"/>
        <v>63006605.696460173</v>
      </c>
      <c r="AJ2789" s="19">
        <f t="shared" si="819"/>
        <v>8897485.660753984</v>
      </c>
      <c r="AK2789" s="20">
        <f t="shared" si="825"/>
        <v>0.141215124388995</v>
      </c>
      <c r="AL2789" s="17"/>
      <c r="AM2789" s="17"/>
      <c r="AN2789" s="17"/>
      <c r="AO2789" s="17"/>
      <c r="AP2789" s="28" t="str">
        <f t="shared" si="826"/>
        <v>20215</v>
      </c>
      <c r="AQ2789" s="28" t="str">
        <f t="shared" si="827"/>
        <v>20215JPY</v>
      </c>
      <c r="AR2789" s="206" t="str">
        <f t="shared" si="828"/>
        <v>YAMAHA_Mounter</v>
      </c>
      <c r="AS2789" s="22">
        <f t="shared" si="829"/>
        <v>4</v>
      </c>
      <c r="AT2789" s="24" t="str">
        <f t="shared" si="830"/>
        <v>4-6 months</v>
      </c>
      <c r="AU2789" s="22" t="s">
        <v>3745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2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1"/>
        <v>15000000</v>
      </c>
      <c r="AA2790" s="22">
        <v>5.2299999999999999E-2</v>
      </c>
      <c r="AB2790" s="21">
        <f t="shared" si="817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18"/>
        <v>25354039.366920356</v>
      </c>
      <c r="AJ2790" s="27">
        <f t="shared" si="819"/>
        <v>3028631.2816309328</v>
      </c>
      <c r="AK2790" s="28">
        <f t="shared" si="825"/>
        <v>0.11945360018579192</v>
      </c>
      <c r="AL2790" s="24"/>
      <c r="AM2790" s="24"/>
      <c r="AN2790" s="24"/>
      <c r="AO2790" s="24"/>
      <c r="AP2790" s="28" t="str">
        <f t="shared" si="826"/>
        <v>20248</v>
      </c>
      <c r="AQ2790" s="28" t="str">
        <f t="shared" si="827"/>
        <v>20248JPY</v>
      </c>
      <c r="AR2790" s="206" t="str">
        <f t="shared" si="828"/>
        <v>YAMAHA_Mounter</v>
      </c>
      <c r="AS2790" s="22">
        <f t="shared" si="829"/>
        <v>4</v>
      </c>
      <c r="AT2790" s="24" t="str">
        <f t="shared" si="830"/>
        <v>4-6 months</v>
      </c>
      <c r="AU2790" s="22" t="s">
        <v>3746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2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1"/>
        <v>600000</v>
      </c>
      <c r="AA2791" s="22">
        <v>1.0640000000000001</v>
      </c>
      <c r="AB2791" s="21">
        <f t="shared" si="817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18"/>
        <v>499582152.5142017</v>
      </c>
      <c r="AJ2791" s="27">
        <f t="shared" si="819"/>
        <v>59520528.679470733</v>
      </c>
      <c r="AK2791" s="28">
        <f t="shared" si="825"/>
        <v>0.11914062257814291</v>
      </c>
      <c r="AL2791" s="24"/>
      <c r="AM2791" s="24"/>
      <c r="AN2791" s="24"/>
      <c r="AO2791" s="24"/>
      <c r="AP2791" s="28" t="str">
        <f t="shared" si="826"/>
        <v>CancelCancel</v>
      </c>
      <c r="AQ2791" s="28" t="str">
        <f t="shared" si="827"/>
        <v>CancelCancelRMB</v>
      </c>
      <c r="AR2791" s="206" t="str">
        <f t="shared" si="828"/>
        <v>YAMAHA_Mounter</v>
      </c>
      <c r="AS2791" s="22" t="str">
        <f t="shared" si="829"/>
        <v/>
      </c>
      <c r="AT2791" s="24" t="str">
        <f t="shared" si="830"/>
        <v/>
      </c>
      <c r="AU2791" s="22" t="s">
        <v>3751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2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4">IF(W2792="RMB","1.13", "1")</f>
        <v>1</v>
      </c>
      <c r="Z2792" s="18">
        <f t="shared" si="831"/>
        <v>14000000</v>
      </c>
      <c r="AA2792" s="13">
        <v>7.3999999999999996E-2</v>
      </c>
      <c r="AB2792" s="21">
        <f t="shared" si="817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18"/>
        <v>499582152.5142017</v>
      </c>
      <c r="AJ2792" s="19">
        <f t="shared" si="819"/>
        <v>59520528.679470733</v>
      </c>
      <c r="AK2792" s="20">
        <f t="shared" si="825"/>
        <v>0.11914062257814291</v>
      </c>
      <c r="AL2792" s="17"/>
      <c r="AM2792" s="17"/>
      <c r="AN2792" s="17"/>
      <c r="AO2792" s="17"/>
      <c r="AP2792" s="28" t="str">
        <f t="shared" si="826"/>
        <v>CancelCancel</v>
      </c>
      <c r="AQ2792" s="28" t="str">
        <f t="shared" si="827"/>
        <v>CancelCancelJPY</v>
      </c>
      <c r="AR2792" s="206" t="str">
        <f t="shared" si="828"/>
        <v>YAMAHA_Mounter</v>
      </c>
      <c r="AS2792" s="22" t="str">
        <f t="shared" si="829"/>
        <v/>
      </c>
      <c r="AT2792" s="24" t="str">
        <f t="shared" si="830"/>
        <v/>
      </c>
      <c r="AU2792" s="22" t="s">
        <v>3745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2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4"/>
        <v>1</v>
      </c>
      <c r="Z2793" s="18">
        <f t="shared" si="831"/>
        <v>10500000</v>
      </c>
      <c r="AA2793" s="13">
        <v>7.3999999999999996E-2</v>
      </c>
      <c r="AB2793" s="21">
        <f t="shared" si="817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18"/>
        <v>499582152.5142017</v>
      </c>
      <c r="AJ2793" s="19">
        <f t="shared" si="819"/>
        <v>59520528.679470733</v>
      </c>
      <c r="AK2793" s="20">
        <f t="shared" si="825"/>
        <v>0.11914062257814291</v>
      </c>
      <c r="AL2793" s="17"/>
      <c r="AM2793" s="17"/>
      <c r="AN2793" s="17"/>
      <c r="AO2793" s="17"/>
      <c r="AP2793" s="28" t="str">
        <f t="shared" si="826"/>
        <v>CancelCancel</v>
      </c>
      <c r="AQ2793" s="28" t="str">
        <f t="shared" si="827"/>
        <v>CancelCancelJPY</v>
      </c>
      <c r="AR2793" s="206" t="str">
        <f t="shared" si="828"/>
        <v>YAMAHA_Mounter</v>
      </c>
      <c r="AS2793" s="22" t="str">
        <f t="shared" si="829"/>
        <v/>
      </c>
      <c r="AT2793" s="24" t="str">
        <f t="shared" si="830"/>
        <v/>
      </c>
      <c r="AU2793" s="22" t="s">
        <v>3745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2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4"/>
        <v>1</v>
      </c>
      <c r="Z2794" s="18">
        <f t="shared" si="831"/>
        <v>28000000</v>
      </c>
      <c r="AA2794" s="13">
        <v>7.3999999999999996E-2</v>
      </c>
      <c r="AB2794" s="21">
        <f t="shared" si="817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18"/>
        <v>499582152.5142017</v>
      </c>
      <c r="AJ2794" s="19">
        <f t="shared" si="819"/>
        <v>59520528.679470733</v>
      </c>
      <c r="AK2794" s="20">
        <f t="shared" si="825"/>
        <v>0.11914062257814291</v>
      </c>
      <c r="AL2794" s="17"/>
      <c r="AM2794" s="17"/>
      <c r="AN2794" s="17"/>
      <c r="AO2794" s="17"/>
      <c r="AP2794" s="28" t="str">
        <f t="shared" si="826"/>
        <v>CancelCancel</v>
      </c>
      <c r="AQ2794" s="28" t="str">
        <f t="shared" si="827"/>
        <v>CancelCancelJPY</v>
      </c>
      <c r="AR2794" s="206" t="str">
        <f t="shared" si="828"/>
        <v>YAMAHA_Mounter</v>
      </c>
      <c r="AS2794" s="22" t="str">
        <f t="shared" si="829"/>
        <v/>
      </c>
      <c r="AT2794" s="24" t="str">
        <f t="shared" si="830"/>
        <v/>
      </c>
      <c r="AU2794" s="22" t="s">
        <v>3745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2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4"/>
        <v>1</v>
      </c>
      <c r="Z2795" s="18">
        <f t="shared" si="831"/>
        <v>42000000</v>
      </c>
      <c r="AA2795" s="13">
        <v>7.3400000000000007E-2</v>
      </c>
      <c r="AB2795" s="21">
        <f t="shared" si="817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18"/>
        <v>499582152.5142017</v>
      </c>
      <c r="AJ2795" s="19">
        <f t="shared" si="819"/>
        <v>59520528.679470733</v>
      </c>
      <c r="AK2795" s="20">
        <f t="shared" si="825"/>
        <v>0.11914062257814291</v>
      </c>
      <c r="AL2795" s="17"/>
      <c r="AM2795" s="17"/>
      <c r="AN2795" s="17"/>
      <c r="AO2795" s="17"/>
      <c r="AP2795" s="28" t="str">
        <f t="shared" si="826"/>
        <v>CancelCancel</v>
      </c>
      <c r="AQ2795" s="28" t="str">
        <f t="shared" si="827"/>
        <v>CancelCancelJPY</v>
      </c>
      <c r="AR2795" s="206" t="str">
        <f t="shared" si="828"/>
        <v>YAMAHA_Mounter</v>
      </c>
      <c r="AS2795" s="22" t="str">
        <f t="shared" si="829"/>
        <v/>
      </c>
      <c r="AT2795" s="24" t="str">
        <f t="shared" si="830"/>
        <v/>
      </c>
      <c r="AU2795" s="22" t="s">
        <v>3745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2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4"/>
        <v>1</v>
      </c>
      <c r="Z2796" s="18">
        <f t="shared" si="831"/>
        <v>10500000</v>
      </c>
      <c r="AA2796" s="13">
        <v>7.3999999999999996E-2</v>
      </c>
      <c r="AB2796" s="21">
        <f t="shared" si="817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18"/>
        <v>499582152.5142017</v>
      </c>
      <c r="AJ2796" s="19">
        <f t="shared" si="819"/>
        <v>59520528.679470733</v>
      </c>
      <c r="AK2796" s="20">
        <f t="shared" si="825"/>
        <v>0.11914062257814291</v>
      </c>
      <c r="AL2796" s="17"/>
      <c r="AM2796" s="17"/>
      <c r="AN2796" s="17"/>
      <c r="AO2796" s="17"/>
      <c r="AP2796" s="28" t="str">
        <f t="shared" si="826"/>
        <v>CancelCancel</v>
      </c>
      <c r="AQ2796" s="28" t="str">
        <f t="shared" si="827"/>
        <v>CancelCancelJPY</v>
      </c>
      <c r="AR2796" s="206" t="str">
        <f t="shared" si="828"/>
        <v>YAMAHA_Mounter</v>
      </c>
      <c r="AS2796" s="22" t="str">
        <f t="shared" si="829"/>
        <v/>
      </c>
      <c r="AT2796" s="24" t="str">
        <f t="shared" si="830"/>
        <v/>
      </c>
      <c r="AU2796" s="22" t="s">
        <v>3745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2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4"/>
        <v>1</v>
      </c>
      <c r="Z2797" s="18">
        <f t="shared" si="831"/>
        <v>21000000</v>
      </c>
      <c r="AA2797" s="13">
        <v>7.3999999999999996E-2</v>
      </c>
      <c r="AB2797" s="21">
        <f t="shared" si="817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18"/>
        <v>499582152.5142017</v>
      </c>
      <c r="AJ2797" s="19">
        <f t="shared" si="819"/>
        <v>59520528.679470733</v>
      </c>
      <c r="AK2797" s="20">
        <f t="shared" si="825"/>
        <v>0.11914062257814291</v>
      </c>
      <c r="AL2797" s="17"/>
      <c r="AM2797" s="17"/>
      <c r="AN2797" s="17"/>
      <c r="AO2797" s="17"/>
      <c r="AP2797" s="28" t="str">
        <f t="shared" si="826"/>
        <v>CancelCancel</v>
      </c>
      <c r="AQ2797" s="28" t="str">
        <f t="shared" si="827"/>
        <v>CancelCancelJPY</v>
      </c>
      <c r="AR2797" s="206" t="str">
        <f t="shared" si="828"/>
        <v>YAMAHA_Mounter</v>
      </c>
      <c r="AS2797" s="22" t="str">
        <f t="shared" si="829"/>
        <v/>
      </c>
      <c r="AT2797" s="24" t="str">
        <f t="shared" si="830"/>
        <v/>
      </c>
      <c r="AU2797" s="22" t="s">
        <v>3745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2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4"/>
        <v>1</v>
      </c>
      <c r="Z2798" s="18">
        <f t="shared" si="831"/>
        <v>13500000</v>
      </c>
      <c r="AA2798" s="13">
        <v>5.4199999999999998E-2</v>
      </c>
      <c r="AB2798" s="21">
        <f t="shared" si="817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18"/>
        <v>499582152.5142017</v>
      </c>
      <c r="AJ2798" s="19">
        <f t="shared" si="819"/>
        <v>59520528.679470733</v>
      </c>
      <c r="AK2798" s="20">
        <f t="shared" si="825"/>
        <v>0.11914062257814291</v>
      </c>
      <c r="AL2798" s="17"/>
      <c r="AM2798" s="17"/>
      <c r="AN2798" s="17"/>
      <c r="AO2798" s="17" t="s">
        <v>2626</v>
      </c>
      <c r="AP2798" s="28" t="str">
        <f t="shared" si="826"/>
        <v>CancelCancel</v>
      </c>
      <c r="AQ2798" s="28" t="str">
        <f t="shared" si="827"/>
        <v>CancelCancelJPY</v>
      </c>
      <c r="AR2798" s="206" t="str">
        <f t="shared" si="828"/>
        <v>YAMAHA_Mounter</v>
      </c>
      <c r="AS2798" s="22" t="str">
        <f t="shared" si="829"/>
        <v/>
      </c>
      <c r="AT2798" s="24" t="str">
        <f t="shared" si="830"/>
        <v/>
      </c>
      <c r="AU2798" s="22" t="s">
        <v>3745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2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4"/>
        <v>1</v>
      </c>
      <c r="Z2799" s="18">
        <f t="shared" si="831"/>
        <v>13500000</v>
      </c>
      <c r="AA2799" s="13">
        <v>5.4199999999999998E-2</v>
      </c>
      <c r="AB2799" s="21">
        <f t="shared" si="817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18"/>
        <v>499582152.5142017</v>
      </c>
      <c r="AJ2799" s="19">
        <f t="shared" si="819"/>
        <v>59520528.679470733</v>
      </c>
      <c r="AK2799" s="20">
        <f t="shared" si="825"/>
        <v>0.11914062257814291</v>
      </c>
      <c r="AL2799" s="17"/>
      <c r="AM2799" s="17"/>
      <c r="AN2799" s="17"/>
      <c r="AO2799" s="17" t="s">
        <v>2626</v>
      </c>
      <c r="AP2799" s="28" t="str">
        <f t="shared" si="826"/>
        <v>CancelCancel</v>
      </c>
      <c r="AQ2799" s="28" t="str">
        <f t="shared" si="827"/>
        <v>CancelCancelJPY</v>
      </c>
      <c r="AR2799" s="206" t="str">
        <f t="shared" si="828"/>
        <v>YAMAHA_Mounter</v>
      </c>
      <c r="AS2799" s="22" t="str">
        <f t="shared" si="829"/>
        <v/>
      </c>
      <c r="AT2799" s="24" t="str">
        <f t="shared" si="830"/>
        <v/>
      </c>
      <c r="AU2799" s="22" t="s">
        <v>3745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2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4"/>
        <v>1</v>
      </c>
      <c r="Z2800" s="18">
        <f t="shared" si="831"/>
        <v>10500000</v>
      </c>
      <c r="AA2800" s="13">
        <v>5.4199999999999998E-2</v>
      </c>
      <c r="AB2800" s="21">
        <f t="shared" si="817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18"/>
        <v>499582152.5142017</v>
      </c>
      <c r="AJ2800" s="19">
        <f t="shared" si="819"/>
        <v>59520528.679470733</v>
      </c>
      <c r="AK2800" s="20">
        <f t="shared" si="825"/>
        <v>0.11914062257814291</v>
      </c>
      <c r="AL2800" s="17"/>
      <c r="AM2800" s="17"/>
      <c r="AN2800" s="17"/>
      <c r="AO2800" s="17" t="s">
        <v>2626</v>
      </c>
      <c r="AP2800" s="28" t="str">
        <f t="shared" si="826"/>
        <v>CancelCancel</v>
      </c>
      <c r="AQ2800" s="28" t="str">
        <f t="shared" si="827"/>
        <v>CancelCancelJPY</v>
      </c>
      <c r="AR2800" s="206" t="str">
        <f t="shared" si="828"/>
        <v>YAMAHA_Mounter</v>
      </c>
      <c r="AS2800" s="22" t="str">
        <f t="shared" si="829"/>
        <v/>
      </c>
      <c r="AT2800" s="24" t="str">
        <f t="shared" si="830"/>
        <v/>
      </c>
      <c r="AU2800" s="22" t="s">
        <v>3745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2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4"/>
        <v>1</v>
      </c>
      <c r="Z2801" s="18">
        <f t="shared" si="831"/>
        <v>6850000</v>
      </c>
      <c r="AA2801" s="13">
        <v>7.6100000000000001E-2</v>
      </c>
      <c r="AB2801" s="21">
        <f t="shared" si="817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18"/>
        <v>499582152.5142017</v>
      </c>
      <c r="AJ2801" s="19">
        <f t="shared" si="819"/>
        <v>59520528.679470733</v>
      </c>
      <c r="AK2801" s="20">
        <f t="shared" si="825"/>
        <v>0.11914062257814291</v>
      </c>
      <c r="AL2801" s="17"/>
      <c r="AM2801" s="17"/>
      <c r="AN2801" s="17"/>
      <c r="AO2801" s="17"/>
      <c r="AP2801" s="28" t="str">
        <f t="shared" si="826"/>
        <v>CancelCancel</v>
      </c>
      <c r="AQ2801" s="28" t="str">
        <f t="shared" si="827"/>
        <v>CancelCancelJPY</v>
      </c>
      <c r="AR2801" s="206" t="str">
        <f t="shared" si="828"/>
        <v>YAMAHA_Mounter</v>
      </c>
      <c r="AS2801" s="22" t="str">
        <f t="shared" si="829"/>
        <v/>
      </c>
      <c r="AT2801" s="24" t="str">
        <f t="shared" si="830"/>
        <v/>
      </c>
      <c r="AU2801" s="22" t="s">
        <v>3745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2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1"/>
        <v>390000</v>
      </c>
      <c r="AA2802" s="13">
        <v>1.07</v>
      </c>
      <c r="AB2802" s="21">
        <f t="shared" si="817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18"/>
        <v>5219988.5752212387</v>
      </c>
      <c r="AJ2802" s="19">
        <f t="shared" si="819"/>
        <v>631627.0013460177</v>
      </c>
      <c r="AK2802" s="20">
        <f t="shared" si="825"/>
        <v>0.12100160608478869</v>
      </c>
      <c r="AL2802" s="17"/>
      <c r="AM2802" s="17"/>
      <c r="AN2802" s="17"/>
      <c r="AO2802" s="17"/>
      <c r="AP2802" s="28" t="str">
        <f t="shared" si="826"/>
        <v>202310</v>
      </c>
      <c r="AQ2802" s="28" t="str">
        <f t="shared" si="827"/>
        <v>202310RMB</v>
      </c>
      <c r="AR2802" s="206" t="str">
        <f t="shared" si="828"/>
        <v>YAMAHA_Mounter</v>
      </c>
      <c r="AS2802" s="22">
        <f t="shared" si="829"/>
        <v>0</v>
      </c>
      <c r="AT2802" s="24" t="str">
        <f t="shared" si="830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2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1"/>
        <v>788000</v>
      </c>
      <c r="AA2803" s="13">
        <v>1.1950000000000001</v>
      </c>
      <c r="AB2803" s="21">
        <f t="shared" si="817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18"/>
        <v>63006605.696460173</v>
      </c>
      <c r="AJ2803" s="19">
        <f t="shared" si="819"/>
        <v>8897485.660753984</v>
      </c>
      <c r="AK2803" s="20">
        <f t="shared" si="825"/>
        <v>0.141215124388995</v>
      </c>
      <c r="AL2803" s="17"/>
      <c r="AM2803" s="17"/>
      <c r="AN2803" s="17"/>
      <c r="AO2803" s="17"/>
      <c r="AP2803" s="28" t="str">
        <f t="shared" si="826"/>
        <v>20215</v>
      </c>
      <c r="AQ2803" s="28" t="str">
        <f t="shared" si="827"/>
        <v>20215RMB</v>
      </c>
      <c r="AR2803" s="206" t="str">
        <f t="shared" si="828"/>
        <v>YAMAHA_Mounter</v>
      </c>
      <c r="AS2803" s="22">
        <f t="shared" si="829"/>
        <v>1</v>
      </c>
      <c r="AT2803" s="24" t="str">
        <f t="shared" si="830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2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1"/>
        <v>10325000</v>
      </c>
      <c r="AA2804" s="13">
        <v>7.17E-2</v>
      </c>
      <c r="AB2804" s="21">
        <f t="shared" si="817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18"/>
        <v>41443303.53761062</v>
      </c>
      <c r="AJ2804" s="19">
        <f t="shared" si="819"/>
        <v>6194988.76643031</v>
      </c>
      <c r="AK2804" s="20">
        <f t="shared" si="825"/>
        <v>0.1494810557466355</v>
      </c>
      <c r="AL2804" s="17"/>
      <c r="AM2804" s="17"/>
      <c r="AN2804" s="17"/>
      <c r="AO2804" s="17"/>
      <c r="AP2804" s="28" t="str">
        <f t="shared" si="826"/>
        <v>20217</v>
      </c>
      <c r="AQ2804" s="28" t="str">
        <f t="shared" si="827"/>
        <v>20217JPY</v>
      </c>
      <c r="AR2804" s="206" t="str">
        <f t="shared" si="828"/>
        <v>YAMAHA_Mounter</v>
      </c>
      <c r="AS2804" s="22">
        <f t="shared" si="829"/>
        <v>0</v>
      </c>
      <c r="AT2804" s="24" t="str">
        <f t="shared" si="830"/>
        <v>0-3 months</v>
      </c>
      <c r="AU2804" s="22" t="s">
        <v>3746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2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1"/>
        <v>10325000</v>
      </c>
      <c r="AA2805" s="13">
        <v>7.17E-2</v>
      </c>
      <c r="AB2805" s="21">
        <f t="shared" si="817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18"/>
        <v>41443303.53761062</v>
      </c>
      <c r="AJ2805" s="19">
        <f t="shared" si="819"/>
        <v>6194988.76643031</v>
      </c>
      <c r="AK2805" s="20">
        <f t="shared" si="825"/>
        <v>0.1494810557466355</v>
      </c>
      <c r="AL2805" s="17"/>
      <c r="AM2805" s="17"/>
      <c r="AN2805" s="17"/>
      <c r="AO2805" s="17"/>
      <c r="AP2805" s="28" t="str">
        <f t="shared" si="826"/>
        <v>20217</v>
      </c>
      <c r="AQ2805" s="28" t="str">
        <f t="shared" si="827"/>
        <v>20217JPY</v>
      </c>
      <c r="AR2805" s="206" t="str">
        <f t="shared" si="828"/>
        <v>YAMAHA_Mounter</v>
      </c>
      <c r="AS2805" s="22">
        <f t="shared" si="829"/>
        <v>0</v>
      </c>
      <c r="AT2805" s="24" t="str">
        <f t="shared" si="830"/>
        <v>0-3 months</v>
      </c>
      <c r="AU2805" s="22" t="s">
        <v>3746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2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1"/>
        <v>12030000</v>
      </c>
      <c r="AA2806" s="13">
        <v>7.17E-2</v>
      </c>
      <c r="AB2806" s="21">
        <f t="shared" si="817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18"/>
        <v>14593788.187146019</v>
      </c>
      <c r="AJ2806" s="19">
        <f t="shared" si="819"/>
        <v>1868647.7321969916</v>
      </c>
      <c r="AK2806" s="20">
        <f t="shared" si="825"/>
        <v>0.12804404916900652</v>
      </c>
      <c r="AL2806" s="17"/>
      <c r="AM2806" s="17"/>
      <c r="AN2806" s="17"/>
      <c r="AO2806" s="17"/>
      <c r="AP2806" s="28" t="str">
        <f t="shared" si="826"/>
        <v>20195</v>
      </c>
      <c r="AQ2806" s="28" t="str">
        <f t="shared" si="827"/>
        <v>20195JPY</v>
      </c>
      <c r="AR2806" s="206" t="str">
        <f t="shared" si="828"/>
        <v>YAMAHA_Mounter</v>
      </c>
      <c r="AS2806" s="22">
        <f t="shared" si="829"/>
        <v>1</v>
      </c>
      <c r="AT2806" s="24" t="str">
        <f t="shared" si="830"/>
        <v>0-3 months</v>
      </c>
      <c r="AU2806" s="22" t="s">
        <v>3746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2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1"/>
        <v>12030000</v>
      </c>
      <c r="AA2807" s="13">
        <v>7.17E-2</v>
      </c>
      <c r="AB2807" s="21">
        <f t="shared" si="817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18"/>
        <v>14593788.187146019</v>
      </c>
      <c r="AJ2807" s="19">
        <f t="shared" si="819"/>
        <v>1868647.7321969916</v>
      </c>
      <c r="AK2807" s="20">
        <f t="shared" si="825"/>
        <v>0.12804404916900652</v>
      </c>
      <c r="AL2807" s="17"/>
      <c r="AM2807" s="17"/>
      <c r="AN2807" s="17"/>
      <c r="AO2807" s="17"/>
      <c r="AP2807" s="28" t="str">
        <f t="shared" si="826"/>
        <v>20195</v>
      </c>
      <c r="AQ2807" s="28" t="str">
        <f t="shared" si="827"/>
        <v>20195JPY</v>
      </c>
      <c r="AR2807" s="206" t="str">
        <f t="shared" si="828"/>
        <v>YAMAHA_Mounter</v>
      </c>
      <c r="AS2807" s="22">
        <f t="shared" si="829"/>
        <v>1</v>
      </c>
      <c r="AT2807" s="24" t="str">
        <f t="shared" si="830"/>
        <v>0-3 months</v>
      </c>
      <c r="AU2807" s="22" t="s">
        <v>3746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2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1"/>
        <v>1380000</v>
      </c>
      <c r="AA2808" s="13">
        <v>1.095</v>
      </c>
      <c r="AB2808" s="21">
        <f t="shared" si="817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18"/>
        <v>28647263.974455759</v>
      </c>
      <c r="AJ2808" s="19">
        <f t="shared" si="819"/>
        <v>3219855.6912513468</v>
      </c>
      <c r="AK2808" s="20">
        <f t="shared" si="825"/>
        <v>0.11239662168514358</v>
      </c>
      <c r="AL2808" s="17"/>
      <c r="AM2808" s="17"/>
      <c r="AN2808" s="17"/>
      <c r="AO2808" s="17"/>
      <c r="AP2808" s="28" t="str">
        <f t="shared" si="826"/>
        <v>201910</v>
      </c>
      <c r="AQ2808" s="28" t="str">
        <f t="shared" si="827"/>
        <v>201910RMB</v>
      </c>
      <c r="AR2808" s="206" t="str">
        <f t="shared" si="828"/>
        <v>YAMAHA_Mounter</v>
      </c>
      <c r="AS2808" s="22">
        <f t="shared" si="829"/>
        <v>1</v>
      </c>
      <c r="AT2808" s="24" t="str">
        <f t="shared" si="830"/>
        <v>0-3 months</v>
      </c>
      <c r="AU2808" s="22" t="s">
        <v>3746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2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1"/>
        <v>12500000</v>
      </c>
      <c r="AA2809" s="13">
        <v>7.2300000000000003E-2</v>
      </c>
      <c r="AB2809" s="21">
        <f t="shared" si="817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18"/>
        <v>499582152.5142017</v>
      </c>
      <c r="AJ2809" s="19">
        <f t="shared" si="819"/>
        <v>59520528.679470733</v>
      </c>
      <c r="AK2809" s="20">
        <f t="shared" si="825"/>
        <v>0.11914062257814291</v>
      </c>
      <c r="AL2809" s="17"/>
      <c r="AM2809" s="17"/>
      <c r="AN2809" s="17"/>
      <c r="AO2809" s="17" t="s">
        <v>185</v>
      </c>
      <c r="AP2809" s="28" t="str">
        <f t="shared" si="826"/>
        <v>CancelCancel</v>
      </c>
      <c r="AQ2809" s="28" t="str">
        <f t="shared" si="827"/>
        <v>CancelCancelJPY</v>
      </c>
      <c r="AR2809" s="206" t="str">
        <f t="shared" si="828"/>
        <v>YAMAHA_Mounter</v>
      </c>
      <c r="AS2809" s="22" t="str">
        <f t="shared" si="829"/>
        <v/>
      </c>
      <c r="AT2809" s="24" t="str">
        <f t="shared" si="830"/>
        <v/>
      </c>
      <c r="AU2809" s="22" t="s">
        <v>3746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2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1"/>
        <v>12500000</v>
      </c>
      <c r="AA2810" s="13">
        <v>7.2300000000000003E-2</v>
      </c>
      <c r="AB2810" s="21">
        <f t="shared" si="817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18"/>
        <v>499582152.5142017</v>
      </c>
      <c r="AJ2810" s="19">
        <f t="shared" si="819"/>
        <v>59520528.679470733</v>
      </c>
      <c r="AK2810" s="20">
        <f t="shared" si="825"/>
        <v>0.11914062257814291</v>
      </c>
      <c r="AL2810" s="17"/>
      <c r="AM2810" s="17"/>
      <c r="AN2810" s="17"/>
      <c r="AO2810" s="17" t="s">
        <v>185</v>
      </c>
      <c r="AP2810" s="28" t="str">
        <f t="shared" si="826"/>
        <v>CancelCancel</v>
      </c>
      <c r="AQ2810" s="28" t="str">
        <f t="shared" si="827"/>
        <v>CancelCancelJPY</v>
      </c>
      <c r="AR2810" s="206" t="str">
        <f t="shared" si="828"/>
        <v>YAMAHA_Mounter</v>
      </c>
      <c r="AS2810" s="22" t="str">
        <f t="shared" si="829"/>
        <v/>
      </c>
      <c r="AT2810" s="24" t="str">
        <f t="shared" si="830"/>
        <v/>
      </c>
      <c r="AU2810" s="22" t="s">
        <v>3746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2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1"/>
        <v>900000</v>
      </c>
      <c r="AA2811" s="13">
        <v>1.1950000000000001</v>
      </c>
      <c r="AB2811" s="21">
        <f t="shared" si="817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18"/>
        <v>63006605.696460173</v>
      </c>
      <c r="AJ2811" s="19">
        <f t="shared" si="819"/>
        <v>8897485.660753984</v>
      </c>
      <c r="AK2811" s="20">
        <f t="shared" si="825"/>
        <v>0.141215124388995</v>
      </c>
      <c r="AL2811" s="17"/>
      <c r="AM2811" s="17"/>
      <c r="AN2811" s="17"/>
      <c r="AO2811" s="17"/>
      <c r="AP2811" s="28" t="str">
        <f t="shared" si="826"/>
        <v>20215</v>
      </c>
      <c r="AQ2811" s="28" t="str">
        <f t="shared" si="827"/>
        <v>20215RMB</v>
      </c>
      <c r="AR2811" s="206" t="str">
        <f t="shared" si="828"/>
        <v>YAMAHA_Mounter</v>
      </c>
      <c r="AS2811" s="22">
        <f t="shared" si="829"/>
        <v>5</v>
      </c>
      <c r="AT2811" s="24" t="str">
        <f t="shared" si="830"/>
        <v>4-6 months</v>
      </c>
      <c r="AU2811" s="22" t="s">
        <v>3744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2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1"/>
        <v>630000</v>
      </c>
      <c r="AA2812" s="13">
        <v>1.1950000000000001</v>
      </c>
      <c r="AB2812" s="21">
        <f t="shared" ref="AB2812:AB2875" si="835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18"/>
        <v>63006605.696460173</v>
      </c>
      <c r="AJ2812" s="19">
        <f t="shared" si="819"/>
        <v>8897485.660753984</v>
      </c>
      <c r="AK2812" s="20">
        <f t="shared" si="825"/>
        <v>0.141215124388995</v>
      </c>
      <c r="AL2812" s="17"/>
      <c r="AM2812" s="17"/>
      <c r="AN2812" s="17"/>
      <c r="AO2812" s="17"/>
      <c r="AP2812" s="28" t="str">
        <f t="shared" si="826"/>
        <v>20215</v>
      </c>
      <c r="AQ2812" s="28" t="str">
        <f t="shared" si="827"/>
        <v>20215RMB</v>
      </c>
      <c r="AR2812" s="206" t="str">
        <f t="shared" si="828"/>
        <v>YAMAHA_Mounter</v>
      </c>
      <c r="AS2812" s="22">
        <f t="shared" si="829"/>
        <v>5</v>
      </c>
      <c r="AT2812" s="24" t="str">
        <f t="shared" si="830"/>
        <v>4-6 months</v>
      </c>
      <c r="AU2812" s="22" t="s">
        <v>3744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2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1"/>
        <v>1030000</v>
      </c>
      <c r="AA2813" s="13">
        <v>1.2</v>
      </c>
      <c r="AB2813" s="21">
        <f t="shared" si="835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18"/>
        <v>41443303.53761062</v>
      </c>
      <c r="AJ2813" s="19">
        <f t="shared" si="819"/>
        <v>6194988.76643031</v>
      </c>
      <c r="AK2813" s="20">
        <f t="shared" si="825"/>
        <v>0.1494810557466355</v>
      </c>
      <c r="AL2813" s="17"/>
      <c r="AM2813" s="17"/>
      <c r="AN2813" s="17"/>
      <c r="AO2813" s="17"/>
      <c r="AP2813" s="28" t="str">
        <f t="shared" si="826"/>
        <v>20217</v>
      </c>
      <c r="AQ2813" s="28" t="str">
        <f t="shared" si="827"/>
        <v>20217RMB</v>
      </c>
      <c r="AR2813" s="206" t="str">
        <f t="shared" si="828"/>
        <v>YAMAHA_Mounter</v>
      </c>
      <c r="AS2813" s="22">
        <f t="shared" si="829"/>
        <v>5</v>
      </c>
      <c r="AT2813" s="24" t="str">
        <f t="shared" si="830"/>
        <v>4-6 months</v>
      </c>
      <c r="AU2813" s="22" t="s">
        <v>3744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2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1"/>
        <v>15000000</v>
      </c>
      <c r="AA2814" s="13">
        <v>7.3400000000000007E-2</v>
      </c>
      <c r="AB2814" s="21">
        <f t="shared" si="835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18"/>
        <v>35384300.169380538</v>
      </c>
      <c r="AJ2814" s="19">
        <f t="shared" si="819"/>
        <v>5044538.8896988509</v>
      </c>
      <c r="AK2814" s="20">
        <f t="shared" si="825"/>
        <v>0.14256432557804533</v>
      </c>
      <c r="AL2814" s="17"/>
      <c r="AM2814" s="17"/>
      <c r="AN2814" s="17"/>
      <c r="AO2814" s="17"/>
      <c r="AP2814" s="28" t="str">
        <f t="shared" si="826"/>
        <v>20207</v>
      </c>
      <c r="AQ2814" s="28" t="str">
        <f t="shared" si="827"/>
        <v>20207JPY</v>
      </c>
      <c r="AR2814" s="206" t="str">
        <f t="shared" si="828"/>
        <v>YAMAHA_Mounter</v>
      </c>
      <c r="AS2814" s="22">
        <f t="shared" si="829"/>
        <v>1</v>
      </c>
      <c r="AT2814" s="24" t="str">
        <f t="shared" si="830"/>
        <v>0-3 months</v>
      </c>
      <c r="AU2814" s="22" t="s">
        <v>3745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2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1"/>
        <v>10100100</v>
      </c>
      <c r="AA2815" s="13">
        <v>7.3400000000000007E-2</v>
      </c>
      <c r="AB2815" s="21">
        <f t="shared" si="835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18"/>
        <v>35384300.169380538</v>
      </c>
      <c r="AJ2815" s="19">
        <f t="shared" si="819"/>
        <v>5044538.8896988509</v>
      </c>
      <c r="AK2815" s="20">
        <f t="shared" si="825"/>
        <v>0.14256432557804533</v>
      </c>
      <c r="AL2815" s="17"/>
      <c r="AM2815" s="17"/>
      <c r="AN2815" s="17"/>
      <c r="AO2815" s="17"/>
      <c r="AP2815" s="28" t="str">
        <f t="shared" si="826"/>
        <v>20207</v>
      </c>
      <c r="AQ2815" s="28" t="str">
        <f t="shared" si="827"/>
        <v>20207JPY</v>
      </c>
      <c r="AR2815" s="206" t="str">
        <f t="shared" si="828"/>
        <v>YAMAHA_Mounter</v>
      </c>
      <c r="AS2815" s="22">
        <f t="shared" si="829"/>
        <v>1</v>
      </c>
      <c r="AT2815" s="24" t="str">
        <f t="shared" si="830"/>
        <v>0-3 months</v>
      </c>
      <c r="AU2815" s="22" t="s">
        <v>3745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2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1"/>
        <v>10100100</v>
      </c>
      <c r="AA2816" s="13">
        <v>7.3400000000000007E-2</v>
      </c>
      <c r="AB2816" s="21">
        <f t="shared" si="835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18"/>
        <v>35384300.169380538</v>
      </c>
      <c r="AJ2816" s="19">
        <f t="shared" si="819"/>
        <v>5044538.8896988509</v>
      </c>
      <c r="AK2816" s="20">
        <f t="shared" si="825"/>
        <v>0.14256432557804533</v>
      </c>
      <c r="AL2816" s="17"/>
      <c r="AM2816" s="17"/>
      <c r="AN2816" s="17"/>
      <c r="AO2816" s="17"/>
      <c r="AP2816" s="28" t="str">
        <f t="shared" si="826"/>
        <v>20207</v>
      </c>
      <c r="AQ2816" s="28" t="str">
        <f t="shared" si="827"/>
        <v>20207JPY</v>
      </c>
      <c r="AR2816" s="206" t="str">
        <f t="shared" si="828"/>
        <v>YAMAHA_Mounter</v>
      </c>
      <c r="AS2816" s="22">
        <f t="shared" si="829"/>
        <v>1</v>
      </c>
      <c r="AT2816" s="24" t="str">
        <f t="shared" si="830"/>
        <v>0-3 months</v>
      </c>
      <c r="AU2816" s="22" t="s">
        <v>3745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2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1"/>
        <v>1440000</v>
      </c>
      <c r="AA2817" s="13">
        <v>1.163</v>
      </c>
      <c r="AB2817" s="21">
        <f t="shared" si="835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18"/>
        <v>35073581.838938057</v>
      </c>
      <c r="AJ2817" s="19">
        <f t="shared" si="819"/>
        <v>5034113.9728989396</v>
      </c>
      <c r="AK2817" s="20">
        <f t="shared" si="825"/>
        <v>0.14353007902118958</v>
      </c>
      <c r="AL2817" s="17"/>
      <c r="AM2817" s="17"/>
      <c r="AN2817" s="17"/>
      <c r="AO2817" s="17"/>
      <c r="AP2817" s="28" t="str">
        <f t="shared" si="826"/>
        <v>20228</v>
      </c>
      <c r="AQ2817" s="28" t="str">
        <f t="shared" si="827"/>
        <v>20228RMB</v>
      </c>
      <c r="AR2817" s="206" t="str">
        <f t="shared" si="828"/>
        <v>YAMAHA_Mounter</v>
      </c>
      <c r="AS2817" s="22">
        <f t="shared" si="829"/>
        <v>1</v>
      </c>
      <c r="AT2817" s="24" t="str">
        <f t="shared" si="830"/>
        <v>0-3 months</v>
      </c>
      <c r="AU2817" s="22" t="s">
        <v>3751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2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1"/>
        <v>1440000</v>
      </c>
      <c r="AA2818" s="13">
        <v>1.163</v>
      </c>
      <c r="AB2818" s="21">
        <f t="shared" si="835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36">IF(P2818="C66 SERVICE","",SUMIFS(AB:AB,F:F,F2818,G:G,G2818,E:E,E2818))</f>
        <v>35073581.838938057</v>
      </c>
      <c r="AJ2818" s="19">
        <f t="shared" ref="AJ2818:AJ2881" si="837">IF(P2818="C66 SERVICE","",SUMIFS(AC:AC,F:F,F2818,G:G,G2818,E:E,E2818))</f>
        <v>5034113.9728989396</v>
      </c>
      <c r="AK2818" s="20">
        <f t="shared" si="825"/>
        <v>0.14353007902118958</v>
      </c>
      <c r="AL2818" s="17"/>
      <c r="AM2818" s="17"/>
      <c r="AN2818" s="17"/>
      <c r="AO2818" s="17"/>
      <c r="AP2818" s="28" t="str">
        <f t="shared" si="826"/>
        <v>20228</v>
      </c>
      <c r="AQ2818" s="28" t="str">
        <f t="shared" si="827"/>
        <v>20228RMB</v>
      </c>
      <c r="AR2818" s="206" t="str">
        <f t="shared" si="828"/>
        <v>YAMAHA_Mounter</v>
      </c>
      <c r="AS2818" s="22">
        <f t="shared" si="829"/>
        <v>1</v>
      </c>
      <c r="AT2818" s="24" t="str">
        <f t="shared" si="830"/>
        <v>0-3 months</v>
      </c>
      <c r="AU2818" s="22" t="s">
        <v>3751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2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1"/>
        <v>1475000</v>
      </c>
      <c r="AA2819" s="13">
        <v>1.135</v>
      </c>
      <c r="AB2819" s="21">
        <f t="shared" si="835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36"/>
        <v>28177779.013274338</v>
      </c>
      <c r="AJ2819" s="19">
        <f t="shared" si="837"/>
        <v>4727216.6376190251</v>
      </c>
      <c r="AK2819" s="20">
        <f t="shared" si="825"/>
        <v>0.1677639900359808</v>
      </c>
      <c r="AL2819" s="17"/>
      <c r="AM2819" s="17"/>
      <c r="AN2819" s="17"/>
      <c r="AO2819" s="17"/>
      <c r="AP2819" s="28" t="str">
        <f t="shared" si="826"/>
        <v>20235</v>
      </c>
      <c r="AQ2819" s="28" t="str">
        <f t="shared" si="827"/>
        <v>20235RMB</v>
      </c>
      <c r="AR2819" s="206" t="str">
        <f t="shared" si="828"/>
        <v>YAMAHA_Mounter</v>
      </c>
      <c r="AS2819" s="22">
        <f t="shared" si="829"/>
        <v>3</v>
      </c>
      <c r="AT2819" s="24" t="str">
        <f t="shared" si="830"/>
        <v>0-3 months</v>
      </c>
      <c r="AU2819" s="22" t="s">
        <v>3751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2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1"/>
        <v>1475000</v>
      </c>
      <c r="AA2820" s="13">
        <v>1.135</v>
      </c>
      <c r="AB2820" s="21">
        <f t="shared" si="835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36"/>
        <v>28177779.013274338</v>
      </c>
      <c r="AJ2820" s="19">
        <f t="shared" si="837"/>
        <v>4727216.6376190251</v>
      </c>
      <c r="AK2820" s="20">
        <f t="shared" si="825"/>
        <v>0.1677639900359808</v>
      </c>
      <c r="AL2820" s="17"/>
      <c r="AM2820" s="17"/>
      <c r="AN2820" s="17"/>
      <c r="AO2820" s="17"/>
      <c r="AP2820" s="28" t="str">
        <f t="shared" si="826"/>
        <v>20235</v>
      </c>
      <c r="AQ2820" s="28" t="str">
        <f t="shared" si="827"/>
        <v>20235RMB</v>
      </c>
      <c r="AR2820" s="206" t="str">
        <f t="shared" si="828"/>
        <v>YAMAHA_Mounter</v>
      </c>
      <c r="AS2820" s="22">
        <f t="shared" si="829"/>
        <v>3</v>
      </c>
      <c r="AT2820" s="24" t="str">
        <f t="shared" si="830"/>
        <v>0-3 months</v>
      </c>
      <c r="AU2820" s="22" t="s">
        <v>3751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2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1"/>
        <v>1475000</v>
      </c>
      <c r="AA2821" s="13">
        <v>1.135</v>
      </c>
      <c r="AB2821" s="21">
        <f t="shared" si="835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36"/>
        <v>28177779.013274338</v>
      </c>
      <c r="AJ2821" s="19">
        <f t="shared" si="837"/>
        <v>4727216.6376190251</v>
      </c>
      <c r="AK2821" s="20">
        <f t="shared" si="825"/>
        <v>0.1677639900359808</v>
      </c>
      <c r="AL2821" s="17"/>
      <c r="AM2821" s="17"/>
      <c r="AN2821" s="17"/>
      <c r="AO2821" s="17"/>
      <c r="AP2821" s="28" t="str">
        <f t="shared" si="826"/>
        <v>20235</v>
      </c>
      <c r="AQ2821" s="28" t="str">
        <f t="shared" si="827"/>
        <v>20235RMB</v>
      </c>
      <c r="AR2821" s="206" t="str">
        <f t="shared" si="828"/>
        <v>YAMAHA_Mounter</v>
      </c>
      <c r="AS2821" s="22">
        <f t="shared" si="829"/>
        <v>3</v>
      </c>
      <c r="AT2821" s="24" t="str">
        <f t="shared" si="830"/>
        <v>0-3 months</v>
      </c>
      <c r="AU2821" s="22" t="s">
        <v>3751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2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1"/>
        <v>10538640</v>
      </c>
      <c r="AA2822" s="13">
        <v>7.22E-2</v>
      </c>
      <c r="AB2822" s="21">
        <f t="shared" si="835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36"/>
        <v>47416008.333399981</v>
      </c>
      <c r="AJ2822" s="19">
        <f t="shared" si="837"/>
        <v>6981738.4465290187</v>
      </c>
      <c r="AK2822" s="20">
        <f t="shared" ref="AK2822:AK2885" si="84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4">IF(F2822="","",F2822&amp;G2822)</f>
        <v>20193</v>
      </c>
      <c r="AQ2822" s="28" t="str">
        <f t="shared" ref="AQ2822:AQ2885" si="845">IF(W2822="","",F2822&amp;G2822&amp;W2822)</f>
        <v>20193JPY</v>
      </c>
      <c r="AR2822" s="206" t="str">
        <f t="shared" ref="AR2822:AR2885" si="846">IFERROR(IF(AND(M2822="YAMAHA", R2822="C28"), "YAMAHA_Non_Mounter", IF(AND(M2822="YAMAHA", R2822="C49"), "YAMAHA_Mounter", M2822)),"")</f>
        <v>YAMAHA_Mounter</v>
      </c>
      <c r="AS2822" s="22">
        <f t="shared" ref="AS2822:AS2885" si="847">IFERROR(IF(OR(G2822="TBA", G2822=""), "", DATEDIF(DATE(B2822, C2822, 1), DATE(F2822, G2822, 1), "M")),"")</f>
        <v>0</v>
      </c>
      <c r="AT2822" s="24" t="str">
        <f t="shared" ref="AT2822:AT2885" si="848">IF(ISNUMBER(AS2822), IF(AS2822&gt;=0, IF(AS2822&lt;=3, "0-3 months", IF(AS2822&lt;=6, "4-6 months", "&gt; 6 months"))), "")</f>
        <v>0-3 months</v>
      </c>
      <c r="AU2822" s="22" t="s">
        <v>3745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2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1"/>
        <v>12099500</v>
      </c>
      <c r="AA2823" s="13">
        <v>7.4899999999999994E-2</v>
      </c>
      <c r="AB2823" s="21">
        <f t="shared" si="835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36"/>
        <v>28011162.254106201</v>
      </c>
      <c r="AJ2823" s="19">
        <f t="shared" si="837"/>
        <v>3401347.1124888416</v>
      </c>
      <c r="AK2823" s="20">
        <f t="shared" si="843"/>
        <v>0.12142827497242578</v>
      </c>
      <c r="AL2823" s="17"/>
      <c r="AM2823" s="17"/>
      <c r="AN2823" s="17"/>
      <c r="AO2823" s="17"/>
      <c r="AP2823" s="28" t="str">
        <f t="shared" si="844"/>
        <v>202010</v>
      </c>
      <c r="AQ2823" s="28" t="str">
        <f t="shared" si="845"/>
        <v>202010JPY</v>
      </c>
      <c r="AR2823" s="206" t="str">
        <f t="shared" si="846"/>
        <v>YAMAHA_Mounter</v>
      </c>
      <c r="AS2823" s="22">
        <f t="shared" si="847"/>
        <v>2</v>
      </c>
      <c r="AT2823" s="24" t="str">
        <f t="shared" si="848"/>
        <v>0-3 months</v>
      </c>
      <c r="AU2823" s="22" t="s">
        <v>3745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2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1"/>
        <v>12099500</v>
      </c>
      <c r="AA2824" s="13">
        <v>7.4899999999999994E-2</v>
      </c>
      <c r="AB2824" s="21">
        <f t="shared" si="835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36"/>
        <v>28011162.254106201</v>
      </c>
      <c r="AJ2824" s="19">
        <f t="shared" si="837"/>
        <v>3401347.1124888416</v>
      </c>
      <c r="AK2824" s="20">
        <f t="shared" si="843"/>
        <v>0.12142827497242578</v>
      </c>
      <c r="AL2824" s="17"/>
      <c r="AM2824" s="17"/>
      <c r="AN2824" s="17"/>
      <c r="AO2824" s="17"/>
      <c r="AP2824" s="28" t="str">
        <f t="shared" si="844"/>
        <v>202010</v>
      </c>
      <c r="AQ2824" s="28" t="str">
        <f t="shared" si="845"/>
        <v>202010JPY</v>
      </c>
      <c r="AR2824" s="206" t="str">
        <f t="shared" si="846"/>
        <v>YAMAHA_Mounter</v>
      </c>
      <c r="AS2824" s="22">
        <f t="shared" si="847"/>
        <v>2</v>
      </c>
      <c r="AT2824" s="24" t="str">
        <f t="shared" si="848"/>
        <v>0-3 months</v>
      </c>
      <c r="AU2824" s="22" t="s">
        <v>3745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2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1"/>
        <v>6628360</v>
      </c>
      <c r="AA2825" s="13">
        <v>7.4899999999999994E-2</v>
      </c>
      <c r="AB2825" s="21">
        <f t="shared" si="835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36"/>
        <v>28011162.254106201</v>
      </c>
      <c r="AJ2825" s="19">
        <f t="shared" si="837"/>
        <v>3401347.1124888416</v>
      </c>
      <c r="AK2825" s="20">
        <f t="shared" si="843"/>
        <v>0.12142827497242578</v>
      </c>
      <c r="AL2825" s="17"/>
      <c r="AM2825" s="17"/>
      <c r="AN2825" s="17"/>
      <c r="AO2825" s="17"/>
      <c r="AP2825" s="28" t="str">
        <f t="shared" si="844"/>
        <v>202010</v>
      </c>
      <c r="AQ2825" s="28" t="str">
        <f t="shared" si="845"/>
        <v>202010JPY</v>
      </c>
      <c r="AR2825" s="206" t="str">
        <f t="shared" si="846"/>
        <v>YAMAHA_Mounter</v>
      </c>
      <c r="AS2825" s="22">
        <f t="shared" si="847"/>
        <v>2</v>
      </c>
      <c r="AT2825" s="24" t="str">
        <f t="shared" si="848"/>
        <v>0-3 months</v>
      </c>
      <c r="AU2825" s="22" t="s">
        <v>3745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2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49">IF(X2826="","",X2826*MAX(O2826,N2826))</f>
        <v>6628360</v>
      </c>
      <c r="AA2826" s="13">
        <v>7.4899999999999994E-2</v>
      </c>
      <c r="AB2826" s="21">
        <f t="shared" si="835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36"/>
        <v>28011162.254106201</v>
      </c>
      <c r="AJ2826" s="19">
        <f t="shared" si="837"/>
        <v>3401347.1124888416</v>
      </c>
      <c r="AK2826" s="20">
        <f t="shared" si="843"/>
        <v>0.12142827497242578</v>
      </c>
      <c r="AL2826" s="17"/>
      <c r="AM2826" s="17"/>
      <c r="AN2826" s="17"/>
      <c r="AO2826" s="17"/>
      <c r="AP2826" s="28" t="str">
        <f t="shared" si="844"/>
        <v>202010</v>
      </c>
      <c r="AQ2826" s="28" t="str">
        <f t="shared" si="845"/>
        <v>202010JPY</v>
      </c>
      <c r="AR2826" s="206" t="str">
        <f t="shared" si="846"/>
        <v>YAMAHA_Mounter</v>
      </c>
      <c r="AS2826" s="22">
        <f t="shared" si="847"/>
        <v>2</v>
      </c>
      <c r="AT2826" s="24" t="str">
        <f t="shared" si="848"/>
        <v>0-3 months</v>
      </c>
      <c r="AU2826" s="22" t="s">
        <v>3745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2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49"/>
        <v>6628360</v>
      </c>
      <c r="AA2827" s="13">
        <v>7.6100000000000001E-2</v>
      </c>
      <c r="AB2827" s="21">
        <f t="shared" si="835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36"/>
        <v>44078731.611185849</v>
      </c>
      <c r="AJ2827" s="19">
        <f t="shared" si="837"/>
        <v>5508173.2163771465</v>
      </c>
      <c r="AK2827" s="20">
        <f t="shared" si="843"/>
        <v>0.12496215328889679</v>
      </c>
      <c r="AL2827" s="17"/>
      <c r="AM2827" s="17"/>
      <c r="AN2827" s="17"/>
      <c r="AO2827" s="17"/>
      <c r="AP2827" s="28" t="str">
        <f t="shared" si="844"/>
        <v>202011</v>
      </c>
      <c r="AQ2827" s="28" t="str">
        <f t="shared" si="845"/>
        <v>202011JPY</v>
      </c>
      <c r="AR2827" s="206" t="str">
        <f t="shared" si="846"/>
        <v>YAMAHA_Mounter</v>
      </c>
      <c r="AS2827" s="22">
        <f t="shared" si="847"/>
        <v>3</v>
      </c>
      <c r="AT2827" s="24" t="str">
        <f t="shared" si="848"/>
        <v>0-3 months</v>
      </c>
      <c r="AU2827" s="22" t="s">
        <v>3745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2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49"/>
        <v>6628360</v>
      </c>
      <c r="AA2828" s="13">
        <v>7.6100000000000001E-2</v>
      </c>
      <c r="AB2828" s="21">
        <f t="shared" si="835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36"/>
        <v>44078731.611185849</v>
      </c>
      <c r="AJ2828" s="19">
        <f t="shared" si="837"/>
        <v>5508173.2163771465</v>
      </c>
      <c r="AK2828" s="20">
        <f t="shared" si="843"/>
        <v>0.12496215328889679</v>
      </c>
      <c r="AL2828" s="17"/>
      <c r="AM2828" s="17"/>
      <c r="AN2828" s="17"/>
      <c r="AO2828" s="17"/>
      <c r="AP2828" s="28" t="str">
        <f t="shared" si="844"/>
        <v>202011</v>
      </c>
      <c r="AQ2828" s="28" t="str">
        <f t="shared" si="845"/>
        <v>202011JPY</v>
      </c>
      <c r="AR2828" s="206" t="str">
        <f t="shared" si="846"/>
        <v>YAMAHA_Mounter</v>
      </c>
      <c r="AS2828" s="22">
        <f t="shared" si="847"/>
        <v>3</v>
      </c>
      <c r="AT2828" s="24" t="str">
        <f t="shared" si="848"/>
        <v>0-3 months</v>
      </c>
      <c r="AU2828" s="22" t="s">
        <v>3745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2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49"/>
        <v>6628360</v>
      </c>
      <c r="AA2829" s="13">
        <v>7.6100000000000001E-2</v>
      </c>
      <c r="AB2829" s="21">
        <f t="shared" si="835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36"/>
        <v>44078731.611185849</v>
      </c>
      <c r="AJ2829" s="19">
        <f t="shared" si="837"/>
        <v>5508173.2163771465</v>
      </c>
      <c r="AK2829" s="20">
        <f t="shared" si="843"/>
        <v>0.12496215328889679</v>
      </c>
      <c r="AL2829" s="17"/>
      <c r="AM2829" s="17"/>
      <c r="AN2829" s="17"/>
      <c r="AO2829" s="17"/>
      <c r="AP2829" s="28" t="str">
        <f t="shared" si="844"/>
        <v>202011</v>
      </c>
      <c r="AQ2829" s="28" t="str">
        <f t="shared" si="845"/>
        <v>202011JPY</v>
      </c>
      <c r="AR2829" s="206" t="str">
        <f t="shared" si="846"/>
        <v>YAMAHA_Mounter</v>
      </c>
      <c r="AS2829" s="22">
        <f t="shared" si="847"/>
        <v>3</v>
      </c>
      <c r="AT2829" s="24" t="str">
        <f t="shared" si="848"/>
        <v>0-3 months</v>
      </c>
      <c r="AU2829" s="22" t="s">
        <v>3745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2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49"/>
        <v>12099500</v>
      </c>
      <c r="AA2830" s="13">
        <v>7.4899999999999994E-2</v>
      </c>
      <c r="AB2830" s="21">
        <f t="shared" si="835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36"/>
        <v>47907808.356810622</v>
      </c>
      <c r="AJ2830" s="19">
        <f t="shared" si="837"/>
        <v>6027384.8806384448</v>
      </c>
      <c r="AK2830" s="20">
        <f t="shared" si="843"/>
        <v>0.12581216063459488</v>
      </c>
      <c r="AL2830" s="17"/>
      <c r="AM2830" s="17"/>
      <c r="AN2830" s="17"/>
      <c r="AO2830" s="17"/>
      <c r="AP2830" s="28" t="str">
        <f t="shared" si="844"/>
        <v>20209</v>
      </c>
      <c r="AQ2830" s="28" t="str">
        <f t="shared" si="845"/>
        <v>20209JPY</v>
      </c>
      <c r="AR2830" s="206" t="str">
        <f t="shared" si="846"/>
        <v>YAMAHA_Mounter</v>
      </c>
      <c r="AS2830" s="22">
        <f t="shared" si="847"/>
        <v>1</v>
      </c>
      <c r="AT2830" s="24" t="str">
        <f t="shared" si="848"/>
        <v>0-3 months</v>
      </c>
      <c r="AU2830" s="22" t="s">
        <v>3745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2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49"/>
        <v>12099500</v>
      </c>
      <c r="AA2831" s="13">
        <v>7.4899999999999994E-2</v>
      </c>
      <c r="AB2831" s="21">
        <f t="shared" si="835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36"/>
        <v>47907808.356810622</v>
      </c>
      <c r="AJ2831" s="19">
        <f t="shared" si="837"/>
        <v>6027384.8806384448</v>
      </c>
      <c r="AK2831" s="20">
        <f t="shared" si="843"/>
        <v>0.12581216063459488</v>
      </c>
      <c r="AL2831" s="17"/>
      <c r="AM2831" s="17"/>
      <c r="AN2831" s="17"/>
      <c r="AO2831" s="17"/>
      <c r="AP2831" s="28" t="str">
        <f t="shared" si="844"/>
        <v>20209</v>
      </c>
      <c r="AQ2831" s="28" t="str">
        <f t="shared" si="845"/>
        <v>20209JPY</v>
      </c>
      <c r="AR2831" s="206" t="str">
        <f t="shared" si="846"/>
        <v>YAMAHA_Mounter</v>
      </c>
      <c r="AS2831" s="22">
        <f t="shared" si="847"/>
        <v>1</v>
      </c>
      <c r="AT2831" s="24" t="str">
        <f t="shared" si="848"/>
        <v>0-3 months</v>
      </c>
      <c r="AU2831" s="22" t="s">
        <v>3745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2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49"/>
        <v>6628360</v>
      </c>
      <c r="AA2832" s="13">
        <v>5.8700000000000002E-2</v>
      </c>
      <c r="AB2832" s="21">
        <f t="shared" si="835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36"/>
        <v>499582152.5142017</v>
      </c>
      <c r="AJ2832" s="19">
        <f t="shared" si="837"/>
        <v>59520528.679470733</v>
      </c>
      <c r="AK2832" s="20">
        <f t="shared" si="843"/>
        <v>0.11914062257814291</v>
      </c>
      <c r="AL2832" s="17"/>
      <c r="AM2832" s="17"/>
      <c r="AN2832" s="17"/>
      <c r="AO2832" s="17"/>
      <c r="AP2832" s="28" t="str">
        <f t="shared" si="844"/>
        <v>Cancelcancel</v>
      </c>
      <c r="AQ2832" s="28" t="str">
        <f t="shared" si="845"/>
        <v>CancelcancelJPY</v>
      </c>
      <c r="AR2832" s="206" t="str">
        <f t="shared" si="846"/>
        <v>YAMAHA_Mounter</v>
      </c>
      <c r="AS2832" s="22" t="str">
        <f t="shared" si="847"/>
        <v/>
      </c>
      <c r="AT2832" s="24" t="str">
        <f t="shared" si="848"/>
        <v/>
      </c>
      <c r="AU2832" s="22" t="s">
        <v>3745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2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49"/>
        <v>6628360</v>
      </c>
      <c r="AA2833" s="13">
        <v>5.8700000000000002E-2</v>
      </c>
      <c r="AB2833" s="21">
        <f t="shared" si="835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36"/>
        <v>499582152.5142017</v>
      </c>
      <c r="AJ2833" s="19">
        <f t="shared" si="837"/>
        <v>59520528.679470733</v>
      </c>
      <c r="AK2833" s="20">
        <f t="shared" si="843"/>
        <v>0.11914062257814291</v>
      </c>
      <c r="AL2833" s="17"/>
      <c r="AM2833" s="17"/>
      <c r="AN2833" s="17"/>
      <c r="AO2833" s="17"/>
      <c r="AP2833" s="28" t="str">
        <f t="shared" si="844"/>
        <v>Cancelcancel</v>
      </c>
      <c r="AQ2833" s="28" t="str">
        <f t="shared" si="845"/>
        <v>CancelcancelJPY</v>
      </c>
      <c r="AR2833" s="206" t="str">
        <f t="shared" si="846"/>
        <v>YAMAHA_Mounter</v>
      </c>
      <c r="AS2833" s="22" t="str">
        <f t="shared" si="847"/>
        <v/>
      </c>
      <c r="AT2833" s="24" t="str">
        <f t="shared" si="848"/>
        <v/>
      </c>
      <c r="AU2833" s="22" t="s">
        <v>3745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2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49"/>
        <v>6628360</v>
      </c>
      <c r="AA2834" s="13">
        <v>5.8700000000000002E-2</v>
      </c>
      <c r="AB2834" s="21">
        <f t="shared" si="835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36"/>
        <v>499582152.5142017</v>
      </c>
      <c r="AJ2834" s="19">
        <f t="shared" si="837"/>
        <v>59520528.679470733</v>
      </c>
      <c r="AK2834" s="20">
        <f t="shared" si="843"/>
        <v>0.11914062257814291</v>
      </c>
      <c r="AL2834" s="17"/>
      <c r="AM2834" s="17"/>
      <c r="AN2834" s="17"/>
      <c r="AO2834" s="17"/>
      <c r="AP2834" s="28" t="str">
        <f t="shared" si="844"/>
        <v>Cancelcancel</v>
      </c>
      <c r="AQ2834" s="28" t="str">
        <f t="shared" si="845"/>
        <v>CancelcancelJPY</v>
      </c>
      <c r="AR2834" s="206" t="str">
        <f t="shared" si="846"/>
        <v>YAMAHA_Mounter</v>
      </c>
      <c r="AS2834" s="22" t="str">
        <f t="shared" si="847"/>
        <v/>
      </c>
      <c r="AT2834" s="24" t="str">
        <f t="shared" si="848"/>
        <v/>
      </c>
      <c r="AU2834" s="22" t="s">
        <v>3745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2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49"/>
        <v>6628360</v>
      </c>
      <c r="AA2835" s="13">
        <v>5.8700000000000002E-2</v>
      </c>
      <c r="AB2835" s="21">
        <f t="shared" si="835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36"/>
        <v>499582152.5142017</v>
      </c>
      <c r="AJ2835" s="19">
        <f t="shared" si="837"/>
        <v>59520528.679470733</v>
      </c>
      <c r="AK2835" s="20">
        <f t="shared" si="843"/>
        <v>0.11914062257814291</v>
      </c>
      <c r="AL2835" s="17"/>
      <c r="AM2835" s="17"/>
      <c r="AN2835" s="17"/>
      <c r="AO2835" s="17"/>
      <c r="AP2835" s="28" t="str">
        <f t="shared" si="844"/>
        <v>Cancelcancel</v>
      </c>
      <c r="AQ2835" s="28" t="str">
        <f t="shared" si="845"/>
        <v>CancelcancelJPY</v>
      </c>
      <c r="AR2835" s="206" t="str">
        <f t="shared" si="846"/>
        <v>YAMAHA_Mounter</v>
      </c>
      <c r="AS2835" s="22" t="str">
        <f t="shared" si="847"/>
        <v/>
      </c>
      <c r="AT2835" s="24" t="str">
        <f t="shared" si="848"/>
        <v/>
      </c>
      <c r="AU2835" s="22" t="s">
        <v>3745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2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49"/>
        <v>6628360</v>
      </c>
      <c r="AA2836" s="13">
        <v>5.8700000000000002E-2</v>
      </c>
      <c r="AB2836" s="21">
        <f t="shared" si="835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36"/>
        <v>499582152.5142017</v>
      </c>
      <c r="AJ2836" s="19">
        <f t="shared" si="837"/>
        <v>59520528.679470733</v>
      </c>
      <c r="AK2836" s="20">
        <f t="shared" si="843"/>
        <v>0.11914062257814291</v>
      </c>
      <c r="AL2836" s="17"/>
      <c r="AM2836" s="17"/>
      <c r="AN2836" s="17"/>
      <c r="AO2836" s="17"/>
      <c r="AP2836" s="28" t="str">
        <f t="shared" si="844"/>
        <v>Cancelcancel</v>
      </c>
      <c r="AQ2836" s="28" t="str">
        <f t="shared" si="845"/>
        <v>CancelcancelJPY</v>
      </c>
      <c r="AR2836" s="206" t="str">
        <f t="shared" si="846"/>
        <v>YAMAHA_Mounter</v>
      </c>
      <c r="AS2836" s="22" t="str">
        <f t="shared" si="847"/>
        <v/>
      </c>
      <c r="AT2836" s="24" t="str">
        <f t="shared" si="848"/>
        <v/>
      </c>
      <c r="AU2836" s="22" t="s">
        <v>3745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2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0">IF(W2837="","",IF(W2837="RMB","1.13", "1"))</f>
        <v>1</v>
      </c>
      <c r="Z2837" s="18">
        <f t="shared" si="849"/>
        <v>12397500</v>
      </c>
      <c r="AA2837" s="22">
        <v>5.6300000000000003E-2</v>
      </c>
      <c r="AB2837" s="21">
        <f t="shared" si="835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36"/>
        <v>23146578.081415929</v>
      </c>
      <c r="AJ2837" s="27">
        <f t="shared" si="837"/>
        <v>2745231.3889985834</v>
      </c>
      <c r="AK2837" s="28">
        <f t="shared" si="843"/>
        <v>0.11860204041143742</v>
      </c>
      <c r="AL2837" s="24"/>
      <c r="AM2837" s="24"/>
      <c r="AN2837" s="24"/>
      <c r="AO2837" s="24"/>
      <c r="AP2837" s="28" t="str">
        <f t="shared" si="844"/>
        <v>20241</v>
      </c>
      <c r="AQ2837" s="28" t="str">
        <f t="shared" si="845"/>
        <v>20241JPY</v>
      </c>
      <c r="AR2837" s="206" t="str">
        <f t="shared" si="846"/>
        <v>YAMAHA_Mounter</v>
      </c>
      <c r="AS2837" s="22">
        <f t="shared" si="847"/>
        <v>0</v>
      </c>
      <c r="AT2837" s="24" t="str">
        <f t="shared" si="848"/>
        <v>0-3 months</v>
      </c>
      <c r="AU2837" s="22" t="s">
        <v>3745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0"/>
        <v>1</v>
      </c>
      <c r="Z2838" s="18">
        <f t="shared" si="849"/>
        <v>12397500</v>
      </c>
      <c r="AA2838" s="22">
        <v>5.6300000000000003E-2</v>
      </c>
      <c r="AB2838" s="21">
        <f t="shared" si="835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36"/>
        <v>23146578.081415929</v>
      </c>
      <c r="AJ2838" s="27">
        <f t="shared" si="837"/>
        <v>2745231.3889985834</v>
      </c>
      <c r="AK2838" s="28">
        <f t="shared" si="843"/>
        <v>0.11860204041143742</v>
      </c>
      <c r="AL2838" s="24"/>
      <c r="AM2838" s="24"/>
      <c r="AN2838" s="24"/>
      <c r="AO2838" s="24"/>
      <c r="AP2838" s="28" t="str">
        <f t="shared" si="844"/>
        <v>20241</v>
      </c>
      <c r="AQ2838" s="28" t="str">
        <f t="shared" si="845"/>
        <v>20241JPY</v>
      </c>
      <c r="AR2838" s="206" t="str">
        <f t="shared" si="846"/>
        <v>YAMAHA_Mounter</v>
      </c>
      <c r="AS2838" s="22">
        <f t="shared" si="847"/>
        <v>0</v>
      </c>
      <c r="AT2838" s="24" t="str">
        <f t="shared" si="848"/>
        <v>0-3 months</v>
      </c>
      <c r="AU2838" s="22" t="s">
        <v>3745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0"/>
        <v>1</v>
      </c>
      <c r="Z2839" s="18">
        <f t="shared" si="849"/>
        <v>12397500</v>
      </c>
      <c r="AA2839" s="22">
        <v>5.6300000000000003E-2</v>
      </c>
      <c r="AB2839" s="21">
        <f t="shared" si="835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36"/>
        <v>23146578.081415929</v>
      </c>
      <c r="AJ2839" s="27">
        <f t="shared" si="837"/>
        <v>2745231.3889985834</v>
      </c>
      <c r="AK2839" s="28">
        <f t="shared" si="843"/>
        <v>0.11860204041143742</v>
      </c>
      <c r="AL2839" s="24"/>
      <c r="AM2839" s="24"/>
      <c r="AN2839" s="24"/>
      <c r="AO2839" s="24"/>
      <c r="AP2839" s="28" t="str">
        <f t="shared" si="844"/>
        <v>20241</v>
      </c>
      <c r="AQ2839" s="28" t="str">
        <f t="shared" si="845"/>
        <v>20241JPY</v>
      </c>
      <c r="AR2839" s="206" t="str">
        <f t="shared" si="846"/>
        <v>YAMAHA_Mounter</v>
      </c>
      <c r="AS2839" s="22">
        <f t="shared" si="847"/>
        <v>0</v>
      </c>
      <c r="AT2839" s="24" t="str">
        <f t="shared" si="848"/>
        <v>0-3 months</v>
      </c>
      <c r="AU2839" s="22" t="s">
        <v>3745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0"/>
        <v>1</v>
      </c>
      <c r="Z2840" s="18">
        <f t="shared" si="849"/>
        <v>12397500</v>
      </c>
      <c r="AA2840" s="22">
        <v>5.6300000000000003E-2</v>
      </c>
      <c r="AB2840" s="21">
        <f t="shared" si="835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36"/>
        <v>23146578.081415929</v>
      </c>
      <c r="AJ2840" s="27">
        <f t="shared" si="837"/>
        <v>2745231.3889985834</v>
      </c>
      <c r="AK2840" s="28">
        <f t="shared" si="843"/>
        <v>0.11860204041143742</v>
      </c>
      <c r="AL2840" s="24"/>
      <c r="AM2840" s="24"/>
      <c r="AN2840" s="24"/>
      <c r="AO2840" s="24"/>
      <c r="AP2840" s="28" t="str">
        <f t="shared" si="844"/>
        <v>20241</v>
      </c>
      <c r="AQ2840" s="28" t="str">
        <f t="shared" si="845"/>
        <v>20241JPY</v>
      </c>
      <c r="AR2840" s="206" t="str">
        <f t="shared" si="846"/>
        <v>YAMAHA_Mounter</v>
      </c>
      <c r="AS2840" s="22">
        <f t="shared" si="847"/>
        <v>0</v>
      </c>
      <c r="AT2840" s="24" t="str">
        <f t="shared" si="848"/>
        <v>0-3 months</v>
      </c>
      <c r="AU2840" s="22" t="s">
        <v>3745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0"/>
        <v>1</v>
      </c>
      <c r="Z2841" s="18">
        <f t="shared" si="849"/>
        <v>11200000</v>
      </c>
      <c r="AA2841" s="22">
        <v>5.2299999999999999E-2</v>
      </c>
      <c r="AB2841" s="21">
        <f t="shared" si="835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36"/>
        <v>25354039.366920356</v>
      </c>
      <c r="AJ2841" s="27">
        <f t="shared" si="837"/>
        <v>3028631.2816309328</v>
      </c>
      <c r="AK2841" s="28">
        <f t="shared" si="843"/>
        <v>0.11945360018579192</v>
      </c>
      <c r="AL2841" s="24"/>
      <c r="AM2841" s="24"/>
      <c r="AN2841" s="24"/>
      <c r="AO2841" s="24"/>
      <c r="AP2841" s="28" t="str">
        <f t="shared" si="844"/>
        <v>20248</v>
      </c>
      <c r="AQ2841" s="28" t="str">
        <f t="shared" si="845"/>
        <v>20248JPY</v>
      </c>
      <c r="AR2841" s="206" t="str">
        <f t="shared" si="846"/>
        <v>YAMAHA_Mounter</v>
      </c>
      <c r="AS2841" s="22">
        <f t="shared" si="847"/>
        <v>4</v>
      </c>
      <c r="AT2841" s="24" t="str">
        <f t="shared" si="848"/>
        <v>4-6 months</v>
      </c>
      <c r="AU2841" s="22" t="s">
        <v>3746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0"/>
        <v>1</v>
      </c>
      <c r="Z2842" s="196">
        <f t="shared" si="849"/>
        <v>9900000</v>
      </c>
      <c r="AA2842" s="22">
        <v>5.2299999999999999E-2</v>
      </c>
      <c r="AB2842" s="197">
        <f t="shared" si="835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36"/>
        <v>25354039.366920356</v>
      </c>
      <c r="AJ2842" s="200">
        <f t="shared" si="837"/>
        <v>3028631.2816309328</v>
      </c>
      <c r="AK2842" s="201">
        <f t="shared" si="843"/>
        <v>0.11945360018579192</v>
      </c>
      <c r="AL2842" s="24"/>
      <c r="AM2842" s="24"/>
      <c r="AN2842" s="24"/>
      <c r="AO2842" s="24"/>
      <c r="AP2842" s="105" t="str">
        <f t="shared" si="844"/>
        <v>20248</v>
      </c>
      <c r="AQ2842" s="28" t="str">
        <f t="shared" si="845"/>
        <v>20248JPY</v>
      </c>
      <c r="AR2842" s="206" t="str">
        <f t="shared" si="846"/>
        <v>YAMAHA_Mounter</v>
      </c>
      <c r="AS2842" s="22">
        <f t="shared" si="847"/>
        <v>3</v>
      </c>
      <c r="AT2842" s="24" t="str">
        <f t="shared" si="848"/>
        <v>0-3 months</v>
      </c>
      <c r="AU2842" s="22" t="s">
        <v>3745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0"/>
        <v>1</v>
      </c>
      <c r="Z2843" s="18">
        <f t="shared" si="849"/>
        <v>8495000</v>
      </c>
      <c r="AA2843" s="22">
        <v>5.2299999999999999E-2</v>
      </c>
      <c r="AB2843" s="21">
        <f t="shared" si="835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36"/>
        <v>25354039.366920356</v>
      </c>
      <c r="AJ2843" s="27">
        <f t="shared" si="837"/>
        <v>3028631.2816309328</v>
      </c>
      <c r="AK2843" s="28">
        <f t="shared" si="843"/>
        <v>0.11945360018579192</v>
      </c>
      <c r="AL2843" s="24"/>
      <c r="AM2843" s="24"/>
      <c r="AN2843" s="24"/>
      <c r="AO2843" s="24"/>
      <c r="AP2843" s="28" t="str">
        <f t="shared" si="844"/>
        <v>20248</v>
      </c>
      <c r="AQ2843" s="28" t="str">
        <f t="shared" si="845"/>
        <v>20248JPY</v>
      </c>
      <c r="AR2843" s="206" t="str">
        <f t="shared" si="846"/>
        <v>YAMAHA_Mounter</v>
      </c>
      <c r="AS2843" s="22">
        <f t="shared" si="847"/>
        <v>4</v>
      </c>
      <c r="AT2843" s="24" t="str">
        <f t="shared" si="848"/>
        <v>4-6 months</v>
      </c>
      <c r="AU2843" s="22" t="s">
        <v>3745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2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0"/>
        <v>1</v>
      </c>
      <c r="Z2844" s="18">
        <f t="shared" si="849"/>
        <v>15400000</v>
      </c>
      <c r="AA2844" s="22">
        <v>5.2299999999999999E-2</v>
      </c>
      <c r="AB2844" s="21">
        <f t="shared" si="835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36"/>
        <v>25354039.366920356</v>
      </c>
      <c r="AJ2844" s="27">
        <f t="shared" si="837"/>
        <v>3028631.2816309328</v>
      </c>
      <c r="AK2844" s="28">
        <f t="shared" si="843"/>
        <v>0.11945360018579192</v>
      </c>
      <c r="AL2844" s="24"/>
      <c r="AM2844" s="24"/>
      <c r="AN2844" s="24"/>
      <c r="AO2844" s="24"/>
      <c r="AP2844" s="28" t="str">
        <f t="shared" si="844"/>
        <v>20248</v>
      </c>
      <c r="AQ2844" s="28" t="str">
        <f t="shared" si="845"/>
        <v>20248JPY</v>
      </c>
      <c r="AR2844" s="206" t="str">
        <f t="shared" si="846"/>
        <v>YAMAHA_Mounter</v>
      </c>
      <c r="AS2844" s="22">
        <f t="shared" si="847"/>
        <v>4</v>
      </c>
      <c r="AT2844" s="24" t="str">
        <f t="shared" si="848"/>
        <v>4-6 months</v>
      </c>
      <c r="AU2844" s="22" t="s">
        <v>3745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2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0"/>
        <v>1</v>
      </c>
      <c r="Z2845" s="18">
        <f t="shared" si="849"/>
        <v>15400000</v>
      </c>
      <c r="AA2845" s="22">
        <v>5.2299999999999999E-2</v>
      </c>
      <c r="AB2845" s="21">
        <f t="shared" si="835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36"/>
        <v>25354039.366920356</v>
      </c>
      <c r="AJ2845" s="27">
        <f t="shared" si="837"/>
        <v>3028631.2816309328</v>
      </c>
      <c r="AK2845" s="28">
        <f t="shared" si="843"/>
        <v>0.11945360018579192</v>
      </c>
      <c r="AL2845" s="24"/>
      <c r="AM2845" s="24"/>
      <c r="AN2845" s="24"/>
      <c r="AO2845" s="24"/>
      <c r="AP2845" s="28" t="str">
        <f t="shared" si="844"/>
        <v>20248</v>
      </c>
      <c r="AQ2845" s="28" t="str">
        <f t="shared" si="845"/>
        <v>20248JPY</v>
      </c>
      <c r="AR2845" s="206" t="str">
        <f t="shared" si="846"/>
        <v>YAMAHA_Mounter</v>
      </c>
      <c r="AS2845" s="22">
        <f t="shared" si="847"/>
        <v>4</v>
      </c>
      <c r="AT2845" s="24" t="str">
        <f t="shared" si="848"/>
        <v>4-6 months</v>
      </c>
      <c r="AU2845" s="22" t="s">
        <v>3745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2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0"/>
        <v>1.13</v>
      </c>
      <c r="Z2846" s="18">
        <f t="shared" si="849"/>
        <v>530000</v>
      </c>
      <c r="AA2846" s="22">
        <v>1.0640000000000001</v>
      </c>
      <c r="AB2846" s="21">
        <f t="shared" si="835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36"/>
        <v>499582152.5142017</v>
      </c>
      <c r="AJ2846" s="27">
        <f t="shared" si="837"/>
        <v>59520528.679470733</v>
      </c>
      <c r="AK2846" s="28">
        <f t="shared" si="843"/>
        <v>0.11914062257814291</v>
      </c>
      <c r="AL2846" s="24"/>
      <c r="AM2846" s="24"/>
      <c r="AN2846" s="24"/>
      <c r="AO2846" s="24"/>
      <c r="AP2846" s="28" t="str">
        <f t="shared" si="844"/>
        <v>CancelCancel</v>
      </c>
      <c r="AQ2846" s="28" t="str">
        <f t="shared" si="845"/>
        <v>CancelCancelRMB</v>
      </c>
      <c r="AR2846" s="206" t="str">
        <f t="shared" si="846"/>
        <v>YAMAHA_Mounter</v>
      </c>
      <c r="AS2846" s="22" t="str">
        <f t="shared" si="847"/>
        <v/>
      </c>
      <c r="AT2846" s="24" t="str">
        <f t="shared" si="848"/>
        <v/>
      </c>
      <c r="AU2846" s="22" t="s">
        <v>3751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2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0"/>
        <v>1.13</v>
      </c>
      <c r="Z2847" s="18">
        <f t="shared" si="849"/>
        <v>850000</v>
      </c>
      <c r="AA2847" s="22">
        <v>1.0640000000000001</v>
      </c>
      <c r="AB2847" s="21">
        <f t="shared" si="835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36"/>
        <v>499582152.5142017</v>
      </c>
      <c r="AJ2847" s="27">
        <f t="shared" si="837"/>
        <v>59520528.679470733</v>
      </c>
      <c r="AK2847" s="28">
        <f t="shared" si="843"/>
        <v>0.11914062257814291</v>
      </c>
      <c r="AL2847" s="24"/>
      <c r="AM2847" s="24"/>
      <c r="AN2847" s="24"/>
      <c r="AO2847" s="24"/>
      <c r="AP2847" s="28" t="str">
        <f t="shared" si="844"/>
        <v>CancelCancel</v>
      </c>
      <c r="AQ2847" s="28" t="str">
        <f t="shared" si="845"/>
        <v>CancelCancelRMB</v>
      </c>
      <c r="AR2847" s="206" t="str">
        <f t="shared" si="846"/>
        <v>YAMAHA_Mounter</v>
      </c>
      <c r="AS2847" s="22" t="str">
        <f t="shared" si="847"/>
        <v/>
      </c>
      <c r="AT2847" s="24" t="str">
        <f t="shared" si="848"/>
        <v/>
      </c>
      <c r="AU2847" s="22" t="s">
        <v>3751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2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0"/>
        <v>1</v>
      </c>
      <c r="Z2848" s="18">
        <f t="shared" si="849"/>
        <v>12500000</v>
      </c>
      <c r="AA2848" s="22">
        <v>5.2299999999999999E-2</v>
      </c>
      <c r="AB2848" s="21">
        <f t="shared" si="835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36"/>
        <v>25354039.366920356</v>
      </c>
      <c r="AJ2848" s="27">
        <f t="shared" si="837"/>
        <v>3028631.2816309328</v>
      </c>
      <c r="AK2848" s="28">
        <f t="shared" si="843"/>
        <v>0.11945360018579192</v>
      </c>
      <c r="AL2848" s="24"/>
      <c r="AM2848" s="24"/>
      <c r="AN2848" s="24"/>
      <c r="AO2848" s="24"/>
      <c r="AP2848" s="28" t="str">
        <f t="shared" si="844"/>
        <v>20248</v>
      </c>
      <c r="AQ2848" s="28" t="str">
        <f t="shared" si="845"/>
        <v>20248JPY</v>
      </c>
      <c r="AR2848" s="206" t="str">
        <f t="shared" si="846"/>
        <v>YAMAHA_Mounter</v>
      </c>
      <c r="AS2848" s="22">
        <f t="shared" si="847"/>
        <v>4</v>
      </c>
      <c r="AT2848" s="24" t="str">
        <f t="shared" si="848"/>
        <v>4-6 months</v>
      </c>
      <c r="AU2848" s="22" t="s">
        <v>3745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2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0"/>
        <v>1</v>
      </c>
      <c r="Z2849" s="18">
        <f t="shared" si="849"/>
        <v>12500000</v>
      </c>
      <c r="AA2849" s="22">
        <v>5.2299999999999999E-2</v>
      </c>
      <c r="AB2849" s="21">
        <f t="shared" si="835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36"/>
        <v>25354039.366920356</v>
      </c>
      <c r="AJ2849" s="27">
        <f t="shared" si="837"/>
        <v>3028631.2816309328</v>
      </c>
      <c r="AK2849" s="28">
        <f t="shared" si="843"/>
        <v>0.11945360018579192</v>
      </c>
      <c r="AL2849" s="24"/>
      <c r="AM2849" s="24"/>
      <c r="AN2849" s="24"/>
      <c r="AO2849" s="24"/>
      <c r="AP2849" s="28" t="str">
        <f t="shared" si="844"/>
        <v>20248</v>
      </c>
      <c r="AQ2849" s="28" t="str">
        <f t="shared" si="845"/>
        <v>20248JPY</v>
      </c>
      <c r="AR2849" s="206" t="str">
        <f t="shared" si="846"/>
        <v>YAMAHA_Mounter</v>
      </c>
      <c r="AS2849" s="22">
        <f t="shared" si="847"/>
        <v>4</v>
      </c>
      <c r="AT2849" s="24" t="str">
        <f t="shared" si="848"/>
        <v>4-6 months</v>
      </c>
      <c r="AU2849" s="22" t="s">
        <v>3745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0"/>
        <v>1</v>
      </c>
      <c r="Z2850" s="196">
        <f t="shared" si="849"/>
        <v>8500000</v>
      </c>
      <c r="AA2850" s="22">
        <v>5.5599999999999997E-2</v>
      </c>
      <c r="AB2850" s="197">
        <f t="shared" si="835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36"/>
        <v>22758096.38940867</v>
      </c>
      <c r="AJ2850" s="200">
        <f t="shared" si="837"/>
        <v>2469357.2298956565</v>
      </c>
      <c r="AK2850" s="201">
        <f t="shared" si="843"/>
        <v>0.10850455976822666</v>
      </c>
      <c r="AL2850" s="24"/>
      <c r="AM2850" s="24"/>
      <c r="AN2850" s="24"/>
      <c r="AO2850" s="24"/>
      <c r="AP2850" s="105" t="str">
        <f t="shared" si="844"/>
        <v>202410</v>
      </c>
      <c r="AQ2850" s="28" t="str">
        <f t="shared" si="845"/>
        <v>202410JPY</v>
      </c>
      <c r="AR2850" s="206" t="str">
        <f t="shared" si="846"/>
        <v>YAMAHA_Mounter</v>
      </c>
      <c r="AS2850" s="22">
        <f t="shared" si="847"/>
        <v>5</v>
      </c>
      <c r="AT2850" s="24" t="str">
        <f t="shared" si="848"/>
        <v>4-6 months</v>
      </c>
      <c r="AU2850" s="22" t="s">
        <v>3746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3">IF(W2851="RMB","1.13", "1")</f>
        <v>1</v>
      </c>
      <c r="Z2851" s="18">
        <f t="shared" si="849"/>
        <v>13200000</v>
      </c>
      <c r="AA2851" s="13">
        <v>7.2400000000000006E-2</v>
      </c>
      <c r="AB2851" s="21">
        <f t="shared" si="835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36"/>
        <v>47458373.787610628</v>
      </c>
      <c r="AJ2851" s="19">
        <f t="shared" si="837"/>
        <v>7436880.1411522133</v>
      </c>
      <c r="AK2851" s="20">
        <f t="shared" si="843"/>
        <v>0.15670322321692506</v>
      </c>
      <c r="AL2851" s="17"/>
      <c r="AM2851" s="17"/>
      <c r="AN2851" s="17"/>
      <c r="AO2851" s="17"/>
      <c r="AP2851" s="28" t="str">
        <f t="shared" si="844"/>
        <v>20218</v>
      </c>
      <c r="AQ2851" s="28" t="str">
        <f t="shared" si="845"/>
        <v>20218JPY</v>
      </c>
      <c r="AR2851" s="206" t="str">
        <f t="shared" si="846"/>
        <v>YAMAHA_Mounter</v>
      </c>
      <c r="AS2851" s="22">
        <f t="shared" si="847"/>
        <v>5</v>
      </c>
      <c r="AT2851" s="24" t="str">
        <f t="shared" si="848"/>
        <v>4-6 months</v>
      </c>
      <c r="AU2851" s="22" t="s">
        <v>3745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3"/>
        <v>1</v>
      </c>
      <c r="Z2852" s="18">
        <f t="shared" si="849"/>
        <v>13200000</v>
      </c>
      <c r="AA2852" s="13">
        <v>7.2400000000000006E-2</v>
      </c>
      <c r="AB2852" s="21">
        <f t="shared" si="835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36"/>
        <v>47458373.787610628</v>
      </c>
      <c r="AJ2852" s="19">
        <f t="shared" si="837"/>
        <v>7436880.1411522133</v>
      </c>
      <c r="AK2852" s="20">
        <f t="shared" si="843"/>
        <v>0.15670322321692506</v>
      </c>
      <c r="AL2852" s="17"/>
      <c r="AM2852" s="17"/>
      <c r="AN2852" s="17"/>
      <c r="AO2852" s="17"/>
      <c r="AP2852" s="28" t="str">
        <f t="shared" si="844"/>
        <v>20218</v>
      </c>
      <c r="AQ2852" s="28" t="str">
        <f t="shared" si="845"/>
        <v>20218JPY</v>
      </c>
      <c r="AR2852" s="206" t="str">
        <f t="shared" si="846"/>
        <v>YAMAHA_Mounter</v>
      </c>
      <c r="AS2852" s="22">
        <f t="shared" si="847"/>
        <v>5</v>
      </c>
      <c r="AT2852" s="24" t="str">
        <f t="shared" si="848"/>
        <v>4-6 months</v>
      </c>
      <c r="AU2852" s="22" t="s">
        <v>3745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3"/>
        <v>1</v>
      </c>
      <c r="Z2853" s="18">
        <f t="shared" si="849"/>
        <v>13200000</v>
      </c>
      <c r="AA2853" s="13">
        <v>7.2400000000000006E-2</v>
      </c>
      <c r="AB2853" s="21">
        <f t="shared" si="835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36"/>
        <v>47458373.787610628</v>
      </c>
      <c r="AJ2853" s="19">
        <f t="shared" si="837"/>
        <v>7436880.1411522133</v>
      </c>
      <c r="AK2853" s="20">
        <f t="shared" si="843"/>
        <v>0.15670322321692506</v>
      </c>
      <c r="AL2853" s="17"/>
      <c r="AM2853" s="17"/>
      <c r="AN2853" s="17"/>
      <c r="AO2853" s="17"/>
      <c r="AP2853" s="28" t="str">
        <f t="shared" si="844"/>
        <v>20218</v>
      </c>
      <c r="AQ2853" s="28" t="str">
        <f t="shared" si="845"/>
        <v>20218JPY</v>
      </c>
      <c r="AR2853" s="206" t="str">
        <f t="shared" si="846"/>
        <v>YAMAHA_Mounter</v>
      </c>
      <c r="AS2853" s="22">
        <f t="shared" si="847"/>
        <v>5</v>
      </c>
      <c r="AT2853" s="24" t="str">
        <f t="shared" si="848"/>
        <v>4-6 months</v>
      </c>
      <c r="AU2853" s="22" t="s">
        <v>3745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3"/>
        <v>1</v>
      </c>
      <c r="Z2854" s="18">
        <f t="shared" si="849"/>
        <v>13200000</v>
      </c>
      <c r="AA2854" s="13">
        <v>6.54E-2</v>
      </c>
      <c r="AB2854" s="21">
        <f t="shared" si="835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36"/>
        <v>46600814.041769907</v>
      </c>
      <c r="AJ2854" s="19">
        <f t="shared" si="837"/>
        <v>5956366.3435927071</v>
      </c>
      <c r="AK2854" s="20">
        <f t="shared" si="843"/>
        <v>0.1278167874546958</v>
      </c>
      <c r="AL2854" s="17"/>
      <c r="AM2854" s="17"/>
      <c r="AN2854" s="17"/>
      <c r="AO2854" s="17"/>
      <c r="AP2854" s="28" t="str">
        <f t="shared" si="844"/>
        <v>20224</v>
      </c>
      <c r="AQ2854" s="28" t="str">
        <f t="shared" si="845"/>
        <v>20224JPY</v>
      </c>
      <c r="AR2854" s="206" t="str">
        <f t="shared" si="846"/>
        <v>YAMAHA_Mounter</v>
      </c>
      <c r="AS2854" s="22">
        <f t="shared" si="847"/>
        <v>13</v>
      </c>
      <c r="AT2854" s="24" t="str">
        <f t="shared" si="848"/>
        <v>&gt; 6 months</v>
      </c>
      <c r="AU2854" s="22" t="s">
        <v>3745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3"/>
        <v>1</v>
      </c>
      <c r="Z2855" s="18">
        <f t="shared" si="849"/>
        <v>13200000</v>
      </c>
      <c r="AA2855" s="13">
        <v>6.54E-2</v>
      </c>
      <c r="AB2855" s="21">
        <f t="shared" si="835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36"/>
        <v>46600814.041769907</v>
      </c>
      <c r="AJ2855" s="19">
        <f t="shared" si="837"/>
        <v>5956366.3435927071</v>
      </c>
      <c r="AK2855" s="20">
        <f t="shared" si="843"/>
        <v>0.1278167874546958</v>
      </c>
      <c r="AL2855" s="17"/>
      <c r="AM2855" s="17"/>
      <c r="AN2855" s="17"/>
      <c r="AO2855" s="17"/>
      <c r="AP2855" s="28" t="str">
        <f t="shared" si="844"/>
        <v>20224</v>
      </c>
      <c r="AQ2855" s="28" t="str">
        <f t="shared" si="845"/>
        <v>20224JPY</v>
      </c>
      <c r="AR2855" s="206" t="str">
        <f t="shared" si="846"/>
        <v>YAMAHA_Mounter</v>
      </c>
      <c r="AS2855" s="22">
        <f t="shared" si="847"/>
        <v>13</v>
      </c>
      <c r="AT2855" s="24" t="str">
        <f t="shared" si="848"/>
        <v>&gt; 6 months</v>
      </c>
      <c r="AU2855" s="22" t="s">
        <v>3745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3"/>
        <v>1</v>
      </c>
      <c r="Z2856" s="18">
        <f t="shared" si="849"/>
        <v>13200000</v>
      </c>
      <c r="AA2856" s="13">
        <v>6.54E-2</v>
      </c>
      <c r="AB2856" s="21">
        <f t="shared" si="835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36"/>
        <v>46600814.041769907</v>
      </c>
      <c r="AJ2856" s="19">
        <f t="shared" si="837"/>
        <v>5956366.3435927071</v>
      </c>
      <c r="AK2856" s="20">
        <f t="shared" si="843"/>
        <v>0.1278167874546958</v>
      </c>
      <c r="AL2856" s="17"/>
      <c r="AM2856" s="17"/>
      <c r="AN2856" s="17"/>
      <c r="AO2856" s="17"/>
      <c r="AP2856" s="28" t="str">
        <f t="shared" si="844"/>
        <v>20224</v>
      </c>
      <c r="AQ2856" s="28" t="str">
        <f t="shared" si="845"/>
        <v>20224JPY</v>
      </c>
      <c r="AR2856" s="206" t="str">
        <f t="shared" si="846"/>
        <v>YAMAHA_Mounter</v>
      </c>
      <c r="AS2856" s="22">
        <f t="shared" si="847"/>
        <v>13</v>
      </c>
      <c r="AT2856" s="24" t="str">
        <f t="shared" si="848"/>
        <v>&gt; 6 months</v>
      </c>
      <c r="AU2856" s="22" t="s">
        <v>3745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3"/>
        <v>1</v>
      </c>
      <c r="Z2857" s="18">
        <f t="shared" si="849"/>
        <v>18100000</v>
      </c>
      <c r="AA2857" s="13">
        <v>5.8700000000000002E-2</v>
      </c>
      <c r="AB2857" s="21">
        <f t="shared" si="835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36"/>
        <v>499582152.5142017</v>
      </c>
      <c r="AJ2857" s="19">
        <f t="shared" si="837"/>
        <v>59520528.679470733</v>
      </c>
      <c r="AK2857" s="20">
        <f t="shared" si="843"/>
        <v>0.11914062257814291</v>
      </c>
      <c r="AL2857" s="17"/>
      <c r="AM2857" s="17"/>
      <c r="AN2857" s="17"/>
      <c r="AO2857" s="17"/>
      <c r="AP2857" s="28" t="str">
        <f t="shared" si="844"/>
        <v>CancelCancel</v>
      </c>
      <c r="AQ2857" s="28" t="str">
        <f t="shared" si="845"/>
        <v>CancelCancelJPY</v>
      </c>
      <c r="AR2857" s="206" t="str">
        <f t="shared" si="846"/>
        <v>YAMAHA_Mounter</v>
      </c>
      <c r="AS2857" s="22" t="str">
        <f t="shared" si="847"/>
        <v/>
      </c>
      <c r="AT2857" s="24" t="str">
        <f t="shared" si="848"/>
        <v/>
      </c>
      <c r="AU2857" s="22" t="s">
        <v>3745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3"/>
        <v>1</v>
      </c>
      <c r="Z2858" s="18">
        <f t="shared" si="849"/>
        <v>18100000</v>
      </c>
      <c r="AA2858" s="13">
        <v>5.8700000000000002E-2</v>
      </c>
      <c r="AB2858" s="21">
        <f t="shared" si="835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36"/>
        <v>499582152.5142017</v>
      </c>
      <c r="AJ2858" s="19">
        <f t="shared" si="837"/>
        <v>59520528.679470733</v>
      </c>
      <c r="AK2858" s="20">
        <f t="shared" si="843"/>
        <v>0.11914062257814291</v>
      </c>
      <c r="AL2858" s="17"/>
      <c r="AM2858" s="17"/>
      <c r="AN2858" s="17"/>
      <c r="AO2858" s="17"/>
      <c r="AP2858" s="28" t="str">
        <f t="shared" si="844"/>
        <v>CancelCancel</v>
      </c>
      <c r="AQ2858" s="28" t="str">
        <f t="shared" si="845"/>
        <v>CancelCancelJPY</v>
      </c>
      <c r="AR2858" s="206" t="str">
        <f t="shared" si="846"/>
        <v>YAMAHA_Mounter</v>
      </c>
      <c r="AS2858" s="22" t="str">
        <f t="shared" si="847"/>
        <v/>
      </c>
      <c r="AT2858" s="24" t="str">
        <f t="shared" si="848"/>
        <v/>
      </c>
      <c r="AU2858" s="22" t="s">
        <v>3745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49"/>
        <v>915000</v>
      </c>
      <c r="AA2859" s="13">
        <v>1.135</v>
      </c>
      <c r="AB2859" s="21">
        <f t="shared" si="835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36"/>
        <v>28011162.254106201</v>
      </c>
      <c r="AJ2859" s="19">
        <f t="shared" si="837"/>
        <v>3401347.1124888416</v>
      </c>
      <c r="AK2859" s="20">
        <f t="shared" si="843"/>
        <v>0.12142827497242578</v>
      </c>
      <c r="AL2859" s="17"/>
      <c r="AM2859" s="17"/>
      <c r="AN2859" s="17"/>
      <c r="AO2859" s="17"/>
      <c r="AP2859" s="28" t="str">
        <f t="shared" si="844"/>
        <v>202010</v>
      </c>
      <c r="AQ2859" s="28" t="str">
        <f t="shared" si="845"/>
        <v>202010RMB</v>
      </c>
      <c r="AR2859" s="206" t="str">
        <f t="shared" si="846"/>
        <v>YAMAHA_Mounter</v>
      </c>
      <c r="AS2859" s="22">
        <f t="shared" si="847"/>
        <v>2</v>
      </c>
      <c r="AT2859" s="24" t="str">
        <f t="shared" si="848"/>
        <v>0-3 months</v>
      </c>
      <c r="AU2859" s="22" t="s">
        <v>3744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4">IF(W2860="RMB","1.13", "1")</f>
        <v>1.13</v>
      </c>
      <c r="Z2860" s="18">
        <f t="shared" si="849"/>
        <v>400000</v>
      </c>
      <c r="AA2860" s="13">
        <v>1.1299999999999999</v>
      </c>
      <c r="AB2860" s="21">
        <f t="shared" si="835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36"/>
        <v>33543315.897345133</v>
      </c>
      <c r="AJ2860" s="19">
        <f t="shared" si="837"/>
        <v>4706169.3252984071</v>
      </c>
      <c r="AK2860" s="20">
        <f t="shared" si="843"/>
        <v>0.14030125523967318</v>
      </c>
      <c r="AL2860" s="17"/>
      <c r="AM2860" s="17"/>
      <c r="AN2860" s="17"/>
      <c r="AO2860" s="17"/>
      <c r="AP2860" s="28" t="str">
        <f t="shared" si="844"/>
        <v>20233</v>
      </c>
      <c r="AQ2860" s="28" t="str">
        <f t="shared" si="845"/>
        <v>20233RMB</v>
      </c>
      <c r="AR2860" s="206" t="str">
        <f t="shared" si="846"/>
        <v>YAMAHA_Mounter</v>
      </c>
      <c r="AS2860" s="22">
        <f t="shared" si="847"/>
        <v>1</v>
      </c>
      <c r="AT2860" s="24" t="str">
        <f t="shared" si="848"/>
        <v>0-3 months</v>
      </c>
      <c r="AU2860" s="22" t="s">
        <v>3751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4"/>
        <v>1.13</v>
      </c>
      <c r="Z2861" s="18">
        <f t="shared" si="849"/>
        <v>700000</v>
      </c>
      <c r="AA2861" s="13">
        <v>1.1299999999999999</v>
      </c>
      <c r="AB2861" s="21">
        <f t="shared" si="835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36"/>
        <v>33543315.897345133</v>
      </c>
      <c r="AJ2861" s="19">
        <f t="shared" si="837"/>
        <v>4706169.3252984071</v>
      </c>
      <c r="AK2861" s="20">
        <f t="shared" si="843"/>
        <v>0.14030125523967318</v>
      </c>
      <c r="AL2861" s="17"/>
      <c r="AM2861" s="17"/>
      <c r="AN2861" s="17"/>
      <c r="AO2861" s="17"/>
      <c r="AP2861" s="28" t="str">
        <f t="shared" si="844"/>
        <v>20233</v>
      </c>
      <c r="AQ2861" s="28" t="str">
        <f t="shared" si="845"/>
        <v>20233RMB</v>
      </c>
      <c r="AR2861" s="206" t="str">
        <f t="shared" si="846"/>
        <v>YAMAHA_Mounter</v>
      </c>
      <c r="AS2861" s="22">
        <f t="shared" si="847"/>
        <v>1</v>
      </c>
      <c r="AT2861" s="24" t="str">
        <f t="shared" si="848"/>
        <v>0-3 months</v>
      </c>
      <c r="AU2861" s="22" t="s">
        <v>3751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4"/>
        <v>1</v>
      </c>
      <c r="Z2862" s="18">
        <f t="shared" si="849"/>
        <v>18000000</v>
      </c>
      <c r="AA2862" s="13">
        <v>6.2799999999999995E-2</v>
      </c>
      <c r="AB2862" s="21">
        <f t="shared" si="835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36"/>
        <v>44014086.982070789</v>
      </c>
      <c r="AJ2862" s="19">
        <f t="shared" si="837"/>
        <v>6419974.0221889298</v>
      </c>
      <c r="AK2862" s="20">
        <f t="shared" si="843"/>
        <v>0.14586180158193709</v>
      </c>
      <c r="AL2862" s="17"/>
      <c r="AM2862" s="17"/>
      <c r="AN2862" s="17"/>
      <c r="AO2862" s="17"/>
      <c r="AP2862" s="28" t="str">
        <f t="shared" si="844"/>
        <v>20225</v>
      </c>
      <c r="AQ2862" s="28" t="str">
        <f t="shared" si="845"/>
        <v>20225JPY</v>
      </c>
      <c r="AR2862" s="206" t="str">
        <f t="shared" si="846"/>
        <v>YAMAHA_Mounter</v>
      </c>
      <c r="AS2862" s="22">
        <f t="shared" si="847"/>
        <v>4</v>
      </c>
      <c r="AT2862" s="24" t="str">
        <f t="shared" si="848"/>
        <v>4-6 months</v>
      </c>
      <c r="AU2862" s="22" t="s">
        <v>3745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4"/>
        <v>1</v>
      </c>
      <c r="Z2863" s="18">
        <f t="shared" si="849"/>
        <v>18000000</v>
      </c>
      <c r="AA2863" s="13">
        <v>6.2799999999999995E-2</v>
      </c>
      <c r="AB2863" s="21">
        <f t="shared" si="835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36"/>
        <v>44014086.982070789</v>
      </c>
      <c r="AJ2863" s="19">
        <f t="shared" si="837"/>
        <v>6419974.0221889298</v>
      </c>
      <c r="AK2863" s="20">
        <f t="shared" si="843"/>
        <v>0.14586180158193709</v>
      </c>
      <c r="AL2863" s="17"/>
      <c r="AM2863" s="17"/>
      <c r="AN2863" s="17"/>
      <c r="AO2863" s="17"/>
      <c r="AP2863" s="28" t="str">
        <f t="shared" si="844"/>
        <v>20225</v>
      </c>
      <c r="AQ2863" s="28" t="str">
        <f t="shared" si="845"/>
        <v>20225JPY</v>
      </c>
      <c r="AR2863" s="206" t="str">
        <f t="shared" si="846"/>
        <v>YAMAHA_Mounter</v>
      </c>
      <c r="AS2863" s="22">
        <f t="shared" si="847"/>
        <v>4</v>
      </c>
      <c r="AT2863" s="24" t="str">
        <f t="shared" si="848"/>
        <v>4-6 months</v>
      </c>
      <c r="AU2863" s="22" t="s">
        <v>3745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4"/>
        <v>1</v>
      </c>
      <c r="Z2864" s="18">
        <f t="shared" si="849"/>
        <v>13453405</v>
      </c>
      <c r="AA2864" s="13">
        <v>6.2799999999999995E-2</v>
      </c>
      <c r="AB2864" s="21">
        <f t="shared" si="835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36"/>
        <v>44014086.982070789</v>
      </c>
      <c r="AJ2864" s="19">
        <f t="shared" si="837"/>
        <v>6419974.0221889298</v>
      </c>
      <c r="AK2864" s="20">
        <f t="shared" si="843"/>
        <v>0.14586180158193709</v>
      </c>
      <c r="AL2864" s="17"/>
      <c r="AM2864" s="17"/>
      <c r="AN2864" s="17"/>
      <c r="AO2864" s="17"/>
      <c r="AP2864" s="28" t="str">
        <f t="shared" si="844"/>
        <v>20225</v>
      </c>
      <c r="AQ2864" s="28" t="str">
        <f t="shared" si="845"/>
        <v>20225JPY</v>
      </c>
      <c r="AR2864" s="206" t="str">
        <f t="shared" si="846"/>
        <v>YAMAHA_Mounter</v>
      </c>
      <c r="AS2864" s="22">
        <f t="shared" si="847"/>
        <v>4</v>
      </c>
      <c r="AT2864" s="24" t="str">
        <f t="shared" si="848"/>
        <v>4-6 months</v>
      </c>
      <c r="AU2864" s="22" t="s">
        <v>3745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4"/>
        <v>1</v>
      </c>
      <c r="Z2865" s="18">
        <f t="shared" si="849"/>
        <v>13453405</v>
      </c>
      <c r="AA2865" s="13">
        <v>6.2799999999999995E-2</v>
      </c>
      <c r="AB2865" s="21">
        <f t="shared" si="835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36"/>
        <v>44014086.982070789</v>
      </c>
      <c r="AJ2865" s="19">
        <f t="shared" si="837"/>
        <v>6419974.0221889298</v>
      </c>
      <c r="AK2865" s="20">
        <f t="shared" si="843"/>
        <v>0.14586180158193709</v>
      </c>
      <c r="AL2865" s="17"/>
      <c r="AM2865" s="17"/>
      <c r="AN2865" s="17"/>
      <c r="AO2865" s="17"/>
      <c r="AP2865" s="28" t="str">
        <f t="shared" si="844"/>
        <v>20225</v>
      </c>
      <c r="AQ2865" s="28" t="str">
        <f t="shared" si="845"/>
        <v>20225JPY</v>
      </c>
      <c r="AR2865" s="206" t="str">
        <f t="shared" si="846"/>
        <v>YAMAHA_Mounter</v>
      </c>
      <c r="AS2865" s="22">
        <f t="shared" si="847"/>
        <v>4</v>
      </c>
      <c r="AT2865" s="24" t="str">
        <f t="shared" si="848"/>
        <v>4-6 months</v>
      </c>
      <c r="AU2865" s="22" t="s">
        <v>3745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4"/>
        <v>1</v>
      </c>
      <c r="Z2866" s="18">
        <f t="shared" si="849"/>
        <v>7000000</v>
      </c>
      <c r="AA2866" s="13">
        <v>7.4499999999999997E-2</v>
      </c>
      <c r="AB2866" s="21">
        <f t="shared" si="835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36"/>
        <v>57778307.282035396</v>
      </c>
      <c r="AJ2866" s="19">
        <f t="shared" si="837"/>
        <v>7259860.7225420559</v>
      </c>
      <c r="AK2866" s="20">
        <f t="shared" si="843"/>
        <v>0.12565028406083667</v>
      </c>
      <c r="AL2866" s="17"/>
      <c r="AM2866" s="17"/>
      <c r="AN2866" s="17"/>
      <c r="AO2866" s="17"/>
      <c r="AP2866" s="28" t="str">
        <f t="shared" si="844"/>
        <v>20213</v>
      </c>
      <c r="AQ2866" s="28" t="str">
        <f t="shared" si="845"/>
        <v>20213JPY</v>
      </c>
      <c r="AR2866" s="206" t="str">
        <f t="shared" si="846"/>
        <v>YAMAHA_Mounter</v>
      </c>
      <c r="AS2866" s="22">
        <f t="shared" si="847"/>
        <v>0</v>
      </c>
      <c r="AT2866" s="24" t="str">
        <f t="shared" si="848"/>
        <v>0-3 months</v>
      </c>
      <c r="AU2866" s="22" t="s">
        <v>3745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4"/>
        <v>1</v>
      </c>
      <c r="Z2867" s="18">
        <f t="shared" si="849"/>
        <v>8225000</v>
      </c>
      <c r="AA2867" s="13">
        <v>7.5700000000000003E-2</v>
      </c>
      <c r="AB2867" s="21">
        <f t="shared" si="835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36"/>
        <v>31097187.02948761</v>
      </c>
      <c r="AJ2867" s="19">
        <f t="shared" si="837"/>
        <v>3892353.6644401965</v>
      </c>
      <c r="AK2867" s="20">
        <f t="shared" si="843"/>
        <v>0.12516738767237401</v>
      </c>
      <c r="AL2867" s="17"/>
      <c r="AM2867" s="17"/>
      <c r="AN2867" s="17"/>
      <c r="AO2867" s="17"/>
      <c r="AP2867" s="28" t="str">
        <f t="shared" si="844"/>
        <v>20212</v>
      </c>
      <c r="AQ2867" s="28" t="str">
        <f t="shared" si="845"/>
        <v>20212JPY</v>
      </c>
      <c r="AR2867" s="206" t="str">
        <f t="shared" si="846"/>
        <v>YAMAHA_Mounter</v>
      </c>
      <c r="AS2867" s="22">
        <f t="shared" si="847"/>
        <v>2</v>
      </c>
      <c r="AT2867" s="24" t="str">
        <f t="shared" si="848"/>
        <v>0-3 months</v>
      </c>
      <c r="AU2867" s="22" t="s">
        <v>3745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49"/>
        <v>420000</v>
      </c>
      <c r="AA2868" s="13">
        <v>1</v>
      </c>
      <c r="AB2868" s="21">
        <f t="shared" si="835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36"/>
        <v>10785027.603448275</v>
      </c>
      <c r="AJ2868" s="19">
        <f t="shared" si="837"/>
        <v>1540894.1297982759</v>
      </c>
      <c r="AK2868" s="20">
        <f t="shared" si="843"/>
        <v>0.1428734525728621</v>
      </c>
      <c r="AL2868" s="17"/>
      <c r="AM2868" s="17"/>
      <c r="AN2868" s="17"/>
      <c r="AO2868" s="17"/>
      <c r="AP2868" s="28" t="str">
        <f t="shared" si="844"/>
        <v>201811</v>
      </c>
      <c r="AQ2868" s="28" t="str">
        <f t="shared" si="845"/>
        <v>201811HKD</v>
      </c>
      <c r="AR2868" s="206" t="str">
        <f t="shared" si="846"/>
        <v>HELLER</v>
      </c>
      <c r="AS2868" s="22">
        <f t="shared" si="847"/>
        <v>2</v>
      </c>
      <c r="AT2868" s="24" t="str">
        <f t="shared" si="848"/>
        <v>0-3 months</v>
      </c>
      <c r="AU2868" s="22" t="s">
        <v>3746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49"/>
        <v>282000</v>
      </c>
      <c r="AA2869" s="13">
        <v>1</v>
      </c>
      <c r="AB2869" s="21">
        <f t="shared" si="835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36"/>
        <v>25380121.402654871</v>
      </c>
      <c r="AJ2869" s="19">
        <f t="shared" si="837"/>
        <v>3850343.1237796471</v>
      </c>
      <c r="AK2869" s="20">
        <f t="shared" si="843"/>
        <v>0.1517070412191521</v>
      </c>
      <c r="AL2869" s="17"/>
      <c r="AM2869" s="17"/>
      <c r="AN2869" s="17"/>
      <c r="AO2869" s="17"/>
      <c r="AP2869" s="28" t="str">
        <f t="shared" si="844"/>
        <v>202112</v>
      </c>
      <c r="AQ2869" s="28" t="str">
        <f t="shared" si="845"/>
        <v>202112HKD</v>
      </c>
      <c r="AR2869" s="206" t="str">
        <f t="shared" si="846"/>
        <v>LOCAL SUPPLIER</v>
      </c>
      <c r="AS2869" s="22">
        <f t="shared" si="847"/>
        <v>1</v>
      </c>
      <c r="AT2869" s="24" t="str">
        <f t="shared" si="848"/>
        <v>0-3 months</v>
      </c>
      <c r="AU2869" s="22" t="s">
        <v>3746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49"/>
        <v>26000</v>
      </c>
      <c r="AA2870" s="13">
        <v>1</v>
      </c>
      <c r="AB2870" s="21">
        <f t="shared" si="835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36"/>
        <v>31750699.113741599</v>
      </c>
      <c r="AJ2870" s="19">
        <f t="shared" si="837"/>
        <v>4396077.3195289988</v>
      </c>
      <c r="AK2870" s="20">
        <f t="shared" si="843"/>
        <v>0.13845607946397598</v>
      </c>
      <c r="AL2870" s="17"/>
      <c r="AM2870" s="17"/>
      <c r="AN2870" s="17"/>
      <c r="AO2870" s="17"/>
      <c r="AP2870" s="28" t="str">
        <f t="shared" si="844"/>
        <v>20222</v>
      </c>
      <c r="AQ2870" s="28" t="str">
        <f t="shared" si="845"/>
        <v>20222HKD</v>
      </c>
      <c r="AR2870" s="206" t="str">
        <f t="shared" si="846"/>
        <v>SOLDERSTAR</v>
      </c>
      <c r="AS2870" s="22">
        <f t="shared" si="847"/>
        <v>0</v>
      </c>
      <c r="AT2870" s="24" t="str">
        <f t="shared" si="848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49"/>
        <v>13530000</v>
      </c>
      <c r="AA2871" s="22">
        <v>5.2299999999999999E-2</v>
      </c>
      <c r="AB2871" s="21">
        <f t="shared" si="835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36"/>
        <v>25354039.366920356</v>
      </c>
      <c r="AJ2871" s="27">
        <f t="shared" si="837"/>
        <v>3028631.2816309328</v>
      </c>
      <c r="AK2871" s="28">
        <f t="shared" si="843"/>
        <v>0.11945360018579192</v>
      </c>
      <c r="AL2871" s="24"/>
      <c r="AM2871" s="24"/>
      <c r="AN2871" s="24"/>
      <c r="AO2871" s="24"/>
      <c r="AP2871" s="28" t="str">
        <f t="shared" si="844"/>
        <v>20248</v>
      </c>
      <c r="AQ2871" s="28" t="str">
        <f t="shared" si="845"/>
        <v>20248JPY</v>
      </c>
      <c r="AR2871" s="206" t="str">
        <f t="shared" si="846"/>
        <v>YAMAHA_Mounter</v>
      </c>
      <c r="AS2871" s="22">
        <f t="shared" si="847"/>
        <v>4</v>
      </c>
      <c r="AT2871" s="24" t="str">
        <f t="shared" si="848"/>
        <v>4-6 months</v>
      </c>
      <c r="AU2871" s="22" t="s">
        <v>3745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49"/>
        <v>11000000</v>
      </c>
      <c r="AA2872" s="22">
        <v>5.2299999999999999E-2</v>
      </c>
      <c r="AB2872" s="197">
        <f t="shared" si="835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36"/>
        <v>25354039.366920356</v>
      </c>
      <c r="AJ2872" s="200">
        <f t="shared" si="837"/>
        <v>3028631.2816309328</v>
      </c>
      <c r="AK2872" s="201">
        <f t="shared" si="843"/>
        <v>0.11945360018579192</v>
      </c>
      <c r="AL2872" s="24"/>
      <c r="AM2872" s="24"/>
      <c r="AN2872" s="24"/>
      <c r="AO2872" s="24"/>
      <c r="AP2872" s="105" t="str">
        <f t="shared" si="844"/>
        <v>20248</v>
      </c>
      <c r="AQ2872" s="28" t="str">
        <f t="shared" si="845"/>
        <v>20248JPY</v>
      </c>
      <c r="AR2872" s="206" t="str">
        <f t="shared" si="846"/>
        <v>YAMAHA_Mounter</v>
      </c>
      <c r="AS2872" s="22">
        <f t="shared" si="847"/>
        <v>3</v>
      </c>
      <c r="AT2872" s="24" t="str">
        <f t="shared" si="848"/>
        <v>0-3 months</v>
      </c>
      <c r="AU2872" s="22" t="s">
        <v>3745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49"/>
        <v>16000000</v>
      </c>
      <c r="AA2873" s="13">
        <v>7.22E-2</v>
      </c>
      <c r="AB2873" s="21">
        <f t="shared" si="835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36"/>
        <v>47416008.333399981</v>
      </c>
      <c r="AJ2873" s="19">
        <f t="shared" si="837"/>
        <v>6981738.4465290187</v>
      </c>
      <c r="AK2873" s="20">
        <f t="shared" si="843"/>
        <v>0.14724433143839863</v>
      </c>
      <c r="AL2873" s="17"/>
      <c r="AM2873" s="17"/>
      <c r="AN2873" s="17"/>
      <c r="AO2873" s="17"/>
      <c r="AP2873" s="28" t="str">
        <f t="shared" si="844"/>
        <v>20193</v>
      </c>
      <c r="AQ2873" s="28" t="str">
        <f t="shared" si="845"/>
        <v>20193JPY</v>
      </c>
      <c r="AR2873" s="206" t="str">
        <f t="shared" si="846"/>
        <v>YAMAHA_Mounter</v>
      </c>
      <c r="AS2873" s="22">
        <f t="shared" si="847"/>
        <v>1</v>
      </c>
      <c r="AT2873" s="24" t="str">
        <f t="shared" si="848"/>
        <v>0-3 months</v>
      </c>
      <c r="AU2873" s="22" t="s">
        <v>3745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49"/>
        <v>830000</v>
      </c>
      <c r="AA2874" s="13">
        <v>1.095</v>
      </c>
      <c r="AB2874" s="21">
        <f t="shared" si="835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36"/>
        <v>28065694.408805311</v>
      </c>
      <c r="AJ2874" s="19">
        <f t="shared" si="837"/>
        <v>4157433.2906989697</v>
      </c>
      <c r="AK2874" s="20">
        <f t="shared" si="843"/>
        <v>0.14813220831602228</v>
      </c>
      <c r="AL2874" s="17"/>
      <c r="AM2874" s="17"/>
      <c r="AN2874" s="17"/>
      <c r="AO2874" s="17"/>
      <c r="AP2874" s="28" t="str">
        <f t="shared" si="844"/>
        <v>20205</v>
      </c>
      <c r="AQ2874" s="28" t="str">
        <f t="shared" si="845"/>
        <v>20205RMB</v>
      </c>
      <c r="AR2874" s="206" t="str">
        <f t="shared" si="846"/>
        <v>YAMAHA_Mounter</v>
      </c>
      <c r="AS2874" s="22">
        <f t="shared" si="847"/>
        <v>1</v>
      </c>
      <c r="AT2874" s="24" t="str">
        <f t="shared" si="848"/>
        <v>0-3 months</v>
      </c>
      <c r="AU2874" s="22" t="s">
        <v>3744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49"/>
        <v>830000</v>
      </c>
      <c r="AA2875" s="13">
        <v>1.095</v>
      </c>
      <c r="AB2875" s="21">
        <f t="shared" si="835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36"/>
        <v>28065694.408805311</v>
      </c>
      <c r="AJ2875" s="19">
        <f t="shared" si="837"/>
        <v>4157433.2906989697</v>
      </c>
      <c r="AK2875" s="20">
        <f t="shared" si="843"/>
        <v>0.14813220831602228</v>
      </c>
      <c r="AL2875" s="17"/>
      <c r="AM2875" s="17"/>
      <c r="AN2875" s="17"/>
      <c r="AO2875" s="17"/>
      <c r="AP2875" s="28" t="str">
        <f t="shared" si="844"/>
        <v>20205</v>
      </c>
      <c r="AQ2875" s="28" t="str">
        <f t="shared" si="845"/>
        <v>20205RMB</v>
      </c>
      <c r="AR2875" s="206" t="str">
        <f t="shared" si="846"/>
        <v>YAMAHA_Mounter</v>
      </c>
      <c r="AS2875" s="22">
        <f t="shared" si="847"/>
        <v>1</v>
      </c>
      <c r="AT2875" s="24" t="str">
        <f t="shared" si="848"/>
        <v>0-3 months</v>
      </c>
      <c r="AU2875" s="22" t="s">
        <v>3744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49"/>
        <v>830000</v>
      </c>
      <c r="AA2876" s="13">
        <v>1.095</v>
      </c>
      <c r="AB2876" s="21">
        <f t="shared" ref="AB2876:AB2939" si="855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36"/>
        <v>28065694.408805311</v>
      </c>
      <c r="AJ2876" s="19">
        <f t="shared" si="837"/>
        <v>4157433.2906989697</v>
      </c>
      <c r="AK2876" s="20">
        <f t="shared" si="843"/>
        <v>0.14813220831602228</v>
      </c>
      <c r="AL2876" s="17"/>
      <c r="AM2876" s="17"/>
      <c r="AN2876" s="17"/>
      <c r="AO2876" s="17"/>
      <c r="AP2876" s="28" t="str">
        <f t="shared" si="844"/>
        <v>20205</v>
      </c>
      <c r="AQ2876" s="28" t="str">
        <f t="shared" si="845"/>
        <v>20205RMB</v>
      </c>
      <c r="AR2876" s="206" t="str">
        <f t="shared" si="846"/>
        <v>YAMAHA_Mounter</v>
      </c>
      <c r="AS2876" s="22">
        <f t="shared" si="847"/>
        <v>1</v>
      </c>
      <c r="AT2876" s="24" t="str">
        <f t="shared" si="848"/>
        <v>0-3 months</v>
      </c>
      <c r="AU2876" s="22" t="s">
        <v>3744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49"/>
        <v>830000</v>
      </c>
      <c r="AA2877" s="13">
        <v>1.095</v>
      </c>
      <c r="AB2877" s="21">
        <f t="shared" si="855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36"/>
        <v>28065694.408805311</v>
      </c>
      <c r="AJ2877" s="19">
        <f t="shared" si="837"/>
        <v>4157433.2906989697</v>
      </c>
      <c r="AK2877" s="20">
        <f t="shared" si="843"/>
        <v>0.14813220831602228</v>
      </c>
      <c r="AL2877" s="17"/>
      <c r="AM2877" s="17"/>
      <c r="AN2877" s="17"/>
      <c r="AO2877" s="17"/>
      <c r="AP2877" s="28" t="str">
        <f t="shared" si="844"/>
        <v>20205</v>
      </c>
      <c r="AQ2877" s="28" t="str">
        <f t="shared" si="845"/>
        <v>20205RMB</v>
      </c>
      <c r="AR2877" s="206" t="str">
        <f t="shared" si="846"/>
        <v>YAMAHA_Mounter</v>
      </c>
      <c r="AS2877" s="22">
        <f t="shared" si="847"/>
        <v>1</v>
      </c>
      <c r="AT2877" s="24" t="str">
        <f t="shared" si="848"/>
        <v>0-3 months</v>
      </c>
      <c r="AU2877" s="22" t="s">
        <v>3744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6">IF(W2878="RMB","1.13", "1")</f>
        <v>1.13</v>
      </c>
      <c r="Z2878" s="18">
        <f t="shared" si="849"/>
        <v>1420000</v>
      </c>
      <c r="AA2878" s="13">
        <v>1.17</v>
      </c>
      <c r="AB2878" s="21">
        <f t="shared" si="855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36"/>
        <v>499582152.5142017</v>
      </c>
      <c r="AJ2878" s="19">
        <f t="shared" si="837"/>
        <v>59520528.679470733</v>
      </c>
      <c r="AK2878" s="20">
        <f t="shared" si="843"/>
        <v>0.11914062257814291</v>
      </c>
      <c r="AL2878" s="17"/>
      <c r="AM2878" s="17"/>
      <c r="AN2878" s="17"/>
      <c r="AO2878" s="17"/>
      <c r="AP2878" s="28" t="str">
        <f t="shared" si="844"/>
        <v>CancelCancel</v>
      </c>
      <c r="AQ2878" s="28" t="str">
        <f t="shared" si="845"/>
        <v>CancelCancelRMB</v>
      </c>
      <c r="AR2878" s="206" t="str">
        <f t="shared" si="846"/>
        <v>YAMAHA_Mounter</v>
      </c>
      <c r="AS2878" s="22" t="str">
        <f t="shared" si="847"/>
        <v/>
      </c>
      <c r="AT2878" s="24" t="str">
        <f t="shared" si="848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6"/>
        <v>1</v>
      </c>
      <c r="Z2879" s="18">
        <f t="shared" si="849"/>
        <v>10900000</v>
      </c>
      <c r="AA2879" s="13">
        <v>7.17E-2</v>
      </c>
      <c r="AB2879" s="21">
        <f t="shared" si="855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36"/>
        <v>43684091.636631854</v>
      </c>
      <c r="AJ2879" s="19">
        <f t="shared" si="837"/>
        <v>6483951.8242071122</v>
      </c>
      <c r="AK2879" s="20">
        <f t="shared" si="843"/>
        <v>0.14842821680123736</v>
      </c>
      <c r="AL2879" s="17"/>
      <c r="AM2879" s="17"/>
      <c r="AN2879" s="17"/>
      <c r="AO2879" s="17"/>
      <c r="AP2879" s="28" t="str">
        <f t="shared" si="844"/>
        <v>20214</v>
      </c>
      <c r="AQ2879" s="28" t="str">
        <f t="shared" si="845"/>
        <v>20214JPY</v>
      </c>
      <c r="AR2879" s="206" t="str">
        <f t="shared" si="846"/>
        <v>YAMAHA_Mounter</v>
      </c>
      <c r="AS2879" s="22">
        <f t="shared" si="847"/>
        <v>1</v>
      </c>
      <c r="AT2879" s="24" t="str">
        <f t="shared" si="848"/>
        <v>0-3 months</v>
      </c>
      <c r="AU2879" s="22" t="s">
        <v>3745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6"/>
        <v>1</v>
      </c>
      <c r="Z2880" s="18">
        <f t="shared" si="849"/>
        <v>10900000</v>
      </c>
      <c r="AA2880" s="13">
        <v>7.17E-2</v>
      </c>
      <c r="AB2880" s="21">
        <f t="shared" si="855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36"/>
        <v>43684091.636631854</v>
      </c>
      <c r="AJ2880" s="19">
        <f t="shared" si="837"/>
        <v>6483951.8242071122</v>
      </c>
      <c r="AK2880" s="20">
        <f t="shared" si="843"/>
        <v>0.14842821680123736</v>
      </c>
      <c r="AL2880" s="17"/>
      <c r="AM2880" s="17"/>
      <c r="AN2880" s="17"/>
      <c r="AO2880" s="17"/>
      <c r="AP2880" s="28" t="str">
        <f t="shared" si="844"/>
        <v>20214</v>
      </c>
      <c r="AQ2880" s="28" t="str">
        <f t="shared" si="845"/>
        <v>20214JPY</v>
      </c>
      <c r="AR2880" s="206" t="str">
        <f t="shared" si="846"/>
        <v>YAMAHA_Mounter</v>
      </c>
      <c r="AS2880" s="22">
        <f t="shared" si="847"/>
        <v>1</v>
      </c>
      <c r="AT2880" s="24" t="str">
        <f t="shared" si="848"/>
        <v>0-3 months</v>
      </c>
      <c r="AU2880" s="22" t="s">
        <v>3745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6"/>
        <v>1</v>
      </c>
      <c r="Z2881" s="18">
        <f t="shared" si="849"/>
        <v>10900000</v>
      </c>
      <c r="AA2881" s="13">
        <v>7.17E-2</v>
      </c>
      <c r="AB2881" s="21">
        <f t="shared" si="855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36"/>
        <v>43684091.636631854</v>
      </c>
      <c r="AJ2881" s="19">
        <f t="shared" si="837"/>
        <v>6483951.8242071122</v>
      </c>
      <c r="AK2881" s="20">
        <f t="shared" si="843"/>
        <v>0.14842821680123736</v>
      </c>
      <c r="AL2881" s="17"/>
      <c r="AM2881" s="17"/>
      <c r="AN2881" s="17"/>
      <c r="AO2881" s="17"/>
      <c r="AP2881" s="28" t="str">
        <f t="shared" si="844"/>
        <v>20214</v>
      </c>
      <c r="AQ2881" s="28" t="str">
        <f t="shared" si="845"/>
        <v>20214JPY</v>
      </c>
      <c r="AR2881" s="206" t="str">
        <f t="shared" si="846"/>
        <v>YAMAHA_Mounter</v>
      </c>
      <c r="AS2881" s="22">
        <f t="shared" si="847"/>
        <v>1</v>
      </c>
      <c r="AT2881" s="24" t="str">
        <f t="shared" si="848"/>
        <v>0-3 months</v>
      </c>
      <c r="AU2881" s="22" t="s">
        <v>3745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6"/>
        <v>1</v>
      </c>
      <c r="Z2882" s="18">
        <f t="shared" si="849"/>
        <v>10900000</v>
      </c>
      <c r="AA2882" s="13">
        <v>7.2099999999999997E-2</v>
      </c>
      <c r="AB2882" s="21">
        <f t="shared" si="855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57">IF(P2882="C66 SERVICE","",SUMIFS(AB:AB,F:F,F2882,G:G,G2882,E:E,E2882))</f>
        <v>54700260.692079648</v>
      </c>
      <c r="AJ2882" s="19">
        <f t="shared" ref="AJ2882:AJ2945" si="858">IF(P2882="C66 SERVICE","",SUMIFS(AC:AC,F:F,F2882,G:G,G2882,E:E,E2882))</f>
        <v>7482899.5749188727</v>
      </c>
      <c r="AK2882" s="20">
        <f t="shared" si="843"/>
        <v>0.13679824337660537</v>
      </c>
      <c r="AL2882" s="17"/>
      <c r="AM2882" s="17"/>
      <c r="AN2882" s="17"/>
      <c r="AO2882" s="17"/>
      <c r="AP2882" s="28" t="str">
        <f t="shared" si="844"/>
        <v>20216</v>
      </c>
      <c r="AQ2882" s="28" t="str">
        <f t="shared" si="845"/>
        <v>20216JPY</v>
      </c>
      <c r="AR2882" s="206" t="str">
        <f t="shared" si="846"/>
        <v>YAMAHA_Mounter</v>
      </c>
      <c r="AS2882" s="22">
        <f t="shared" si="847"/>
        <v>3</v>
      </c>
      <c r="AT2882" s="24" t="str">
        <f t="shared" si="848"/>
        <v>0-3 months</v>
      </c>
      <c r="AU2882" s="22" t="s">
        <v>3745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6"/>
        <v>1</v>
      </c>
      <c r="Z2883" s="18">
        <f t="shared" si="849"/>
        <v>10900000</v>
      </c>
      <c r="AA2883" s="13">
        <v>7.2099999999999997E-2</v>
      </c>
      <c r="AB2883" s="21">
        <f t="shared" si="855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57"/>
        <v>54700260.692079648</v>
      </c>
      <c r="AJ2883" s="19">
        <f t="shared" si="858"/>
        <v>7482899.5749188727</v>
      </c>
      <c r="AK2883" s="20">
        <f t="shared" si="843"/>
        <v>0.13679824337660537</v>
      </c>
      <c r="AL2883" s="17"/>
      <c r="AM2883" s="17"/>
      <c r="AN2883" s="17"/>
      <c r="AO2883" s="17"/>
      <c r="AP2883" s="28" t="str">
        <f t="shared" si="844"/>
        <v>20216</v>
      </c>
      <c r="AQ2883" s="28" t="str">
        <f t="shared" si="845"/>
        <v>20216JPY</v>
      </c>
      <c r="AR2883" s="206" t="str">
        <f t="shared" si="846"/>
        <v>YAMAHA_Mounter</v>
      </c>
      <c r="AS2883" s="22">
        <f t="shared" si="847"/>
        <v>3</v>
      </c>
      <c r="AT2883" s="24" t="str">
        <f t="shared" si="848"/>
        <v>0-3 months</v>
      </c>
      <c r="AU2883" s="22" t="s">
        <v>3745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6"/>
        <v>1</v>
      </c>
      <c r="Z2884" s="18">
        <f t="shared" si="849"/>
        <v>10900000</v>
      </c>
      <c r="AA2884" s="13">
        <v>7.2099999999999997E-2</v>
      </c>
      <c r="AB2884" s="21">
        <f t="shared" si="855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57"/>
        <v>54700260.692079648</v>
      </c>
      <c r="AJ2884" s="19">
        <f t="shared" si="858"/>
        <v>7482899.5749188727</v>
      </c>
      <c r="AK2884" s="20">
        <f t="shared" si="843"/>
        <v>0.13679824337660537</v>
      </c>
      <c r="AL2884" s="17"/>
      <c r="AM2884" s="17"/>
      <c r="AN2884" s="17"/>
      <c r="AO2884" s="17"/>
      <c r="AP2884" s="28" t="str">
        <f t="shared" si="844"/>
        <v>20216</v>
      </c>
      <c r="AQ2884" s="28" t="str">
        <f t="shared" si="845"/>
        <v>20216JPY</v>
      </c>
      <c r="AR2884" s="206" t="str">
        <f t="shared" si="846"/>
        <v>YAMAHA_Mounter</v>
      </c>
      <c r="AS2884" s="22">
        <f t="shared" si="847"/>
        <v>3</v>
      </c>
      <c r="AT2884" s="24" t="str">
        <f t="shared" si="848"/>
        <v>0-3 months</v>
      </c>
      <c r="AU2884" s="22" t="s">
        <v>3745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6"/>
        <v>1</v>
      </c>
      <c r="Z2885" s="18">
        <f t="shared" si="849"/>
        <v>10900000</v>
      </c>
      <c r="AA2885" s="13">
        <v>5.96E-2</v>
      </c>
      <c r="AB2885" s="21">
        <f t="shared" si="855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57"/>
        <v>35073581.838938057</v>
      </c>
      <c r="AJ2885" s="19">
        <f t="shared" si="858"/>
        <v>5034113.9728989396</v>
      </c>
      <c r="AK2885" s="20">
        <f t="shared" si="843"/>
        <v>0.14353007902118958</v>
      </c>
      <c r="AL2885" s="17"/>
      <c r="AM2885" s="17"/>
      <c r="AN2885" s="17"/>
      <c r="AO2885" s="17"/>
      <c r="AP2885" s="28" t="str">
        <f t="shared" si="844"/>
        <v>20228</v>
      </c>
      <c r="AQ2885" s="28" t="str">
        <f t="shared" si="845"/>
        <v>20228JPY</v>
      </c>
      <c r="AR2885" s="206" t="str">
        <f t="shared" si="846"/>
        <v>YAMAHA_Mounter</v>
      </c>
      <c r="AS2885" s="22">
        <f t="shared" si="847"/>
        <v>17</v>
      </c>
      <c r="AT2885" s="24" t="str">
        <f t="shared" si="848"/>
        <v>&gt; 6 months</v>
      </c>
      <c r="AU2885" s="22" t="s">
        <v>3745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6"/>
        <v>1</v>
      </c>
      <c r="Z2886" s="18">
        <f t="shared" si="849"/>
        <v>10900000</v>
      </c>
      <c r="AA2886" s="13">
        <v>5.8700000000000002E-2</v>
      </c>
      <c r="AB2886" s="21">
        <f t="shared" si="855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57"/>
        <v>499582152.5142017</v>
      </c>
      <c r="AJ2886" s="19">
        <f t="shared" si="858"/>
        <v>59520528.679470733</v>
      </c>
      <c r="AK2886" s="20">
        <f t="shared" ref="AK2886:AK2949" si="864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5">IF(F2886="","",F2886&amp;G2886)</f>
        <v>CancelCancel</v>
      </c>
      <c r="AQ2886" s="28" t="str">
        <f t="shared" ref="AQ2886:AQ2949" si="866">IF(W2886="","",F2886&amp;G2886&amp;W2886)</f>
        <v>CancelCancelJPY</v>
      </c>
      <c r="AR2886" s="206" t="str">
        <f t="shared" ref="AR2886:AR2949" si="867">IFERROR(IF(AND(M2886="YAMAHA", R2886="C28"), "YAMAHA_Non_Mounter", IF(AND(M2886="YAMAHA", R2886="C49"), "YAMAHA_Mounter", M2886)),"")</f>
        <v>YAMAHA_Mounter</v>
      </c>
      <c r="AS2886" s="22" t="str">
        <f t="shared" ref="AS2886:AS2949" si="868">IFERROR(IF(OR(G2886="TBA", G2886=""), "", DATEDIF(DATE(B2886, C2886, 1), DATE(F2886, G2886, 1), "M")),"")</f>
        <v/>
      </c>
      <c r="AT2886" s="24" t="str">
        <f t="shared" ref="AT2886:AT2949" si="869">IF(ISNUMBER(AS2886), IF(AS2886&gt;=0, IF(AS2886&lt;=3, "0-3 months", IF(AS2886&lt;=6, "4-6 months", "&gt; 6 months"))), "")</f>
        <v/>
      </c>
      <c r="AU2886" s="22" t="s">
        <v>3745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6"/>
        <v>1</v>
      </c>
      <c r="Z2887" s="18">
        <f t="shared" si="849"/>
        <v>10900000</v>
      </c>
      <c r="AA2887" s="13">
        <v>5.8700000000000002E-2</v>
      </c>
      <c r="AB2887" s="21">
        <f t="shared" si="855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57"/>
        <v>499582152.5142017</v>
      </c>
      <c r="AJ2887" s="19">
        <f t="shared" si="858"/>
        <v>59520528.679470733</v>
      </c>
      <c r="AK2887" s="20">
        <f t="shared" si="864"/>
        <v>0.11914062257814291</v>
      </c>
      <c r="AL2887" s="17"/>
      <c r="AM2887" s="17"/>
      <c r="AN2887" s="17"/>
      <c r="AO2887" s="17"/>
      <c r="AP2887" s="28" t="str">
        <f t="shared" si="865"/>
        <v>CancelCancel</v>
      </c>
      <c r="AQ2887" s="28" t="str">
        <f t="shared" si="866"/>
        <v>CancelCancelJPY</v>
      </c>
      <c r="AR2887" s="206" t="str">
        <f t="shared" si="867"/>
        <v>YAMAHA_Mounter</v>
      </c>
      <c r="AS2887" s="22" t="str">
        <f t="shared" si="868"/>
        <v/>
      </c>
      <c r="AT2887" s="24" t="str">
        <f t="shared" si="869"/>
        <v/>
      </c>
      <c r="AU2887" s="22" t="s">
        <v>3745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6"/>
        <v>1</v>
      </c>
      <c r="Z2888" s="18">
        <f t="shared" si="849"/>
        <v>10900000</v>
      </c>
      <c r="AA2888" s="13">
        <v>5.8700000000000002E-2</v>
      </c>
      <c r="AB2888" s="21">
        <f t="shared" si="855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57"/>
        <v>499582152.5142017</v>
      </c>
      <c r="AJ2888" s="19">
        <f t="shared" si="858"/>
        <v>59520528.679470733</v>
      </c>
      <c r="AK2888" s="20">
        <f t="shared" si="864"/>
        <v>0.11914062257814291</v>
      </c>
      <c r="AL2888" s="17"/>
      <c r="AM2888" s="17"/>
      <c r="AN2888" s="17"/>
      <c r="AO2888" s="17"/>
      <c r="AP2888" s="28" t="str">
        <f t="shared" si="865"/>
        <v>CancelCancel</v>
      </c>
      <c r="AQ2888" s="28" t="str">
        <f t="shared" si="866"/>
        <v>CancelCancelJPY</v>
      </c>
      <c r="AR2888" s="206" t="str">
        <f t="shared" si="867"/>
        <v>YAMAHA_Mounter</v>
      </c>
      <c r="AS2888" s="22" t="str">
        <f t="shared" si="868"/>
        <v/>
      </c>
      <c r="AT2888" s="24" t="str">
        <f t="shared" si="869"/>
        <v/>
      </c>
      <c r="AU2888" s="22" t="s">
        <v>3745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6"/>
        <v>1</v>
      </c>
      <c r="Z2889" s="18">
        <f t="shared" si="849"/>
        <v>10900000</v>
      </c>
      <c r="AA2889" s="13">
        <v>5.8700000000000002E-2</v>
      </c>
      <c r="AB2889" s="21">
        <f t="shared" si="855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57"/>
        <v>499582152.5142017</v>
      </c>
      <c r="AJ2889" s="19">
        <f t="shared" si="858"/>
        <v>59520528.679470733</v>
      </c>
      <c r="AK2889" s="20">
        <f t="shared" si="864"/>
        <v>0.11914062257814291</v>
      </c>
      <c r="AL2889" s="17"/>
      <c r="AM2889" s="17"/>
      <c r="AN2889" s="17"/>
      <c r="AO2889" s="17"/>
      <c r="AP2889" s="28" t="str">
        <f t="shared" si="865"/>
        <v>CancelCancel</v>
      </c>
      <c r="AQ2889" s="28" t="str">
        <f t="shared" si="866"/>
        <v>CancelCancelJPY</v>
      </c>
      <c r="AR2889" s="206" t="str">
        <f t="shared" si="867"/>
        <v>YAMAHA_Mounter</v>
      </c>
      <c r="AS2889" s="22" t="str">
        <f t="shared" si="868"/>
        <v/>
      </c>
      <c r="AT2889" s="24" t="str">
        <f t="shared" si="869"/>
        <v/>
      </c>
      <c r="AU2889" s="22" t="s">
        <v>3745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6"/>
        <v>1.13</v>
      </c>
      <c r="Z2890" s="18">
        <f t="shared" ref="Z2890:Z2953" si="870">IF(X2890="","",X2890*MAX(O2890,N2890))</f>
        <v>1300000</v>
      </c>
      <c r="AA2890" s="13">
        <v>1.175</v>
      </c>
      <c r="AB2890" s="21">
        <f t="shared" si="855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57"/>
        <v>499582152.5142017</v>
      </c>
      <c r="AJ2890" s="19">
        <f t="shared" si="858"/>
        <v>59520528.679470733</v>
      </c>
      <c r="AK2890" s="20">
        <f t="shared" si="864"/>
        <v>0.11914062257814291</v>
      </c>
      <c r="AL2890" s="17"/>
      <c r="AM2890" s="17"/>
      <c r="AN2890" s="17"/>
      <c r="AO2890" s="17" t="s">
        <v>2351</v>
      </c>
      <c r="AP2890" s="28" t="str">
        <f t="shared" si="865"/>
        <v>CancelCancel</v>
      </c>
      <c r="AQ2890" s="28" t="str">
        <f t="shared" si="866"/>
        <v>CancelCancelRMB</v>
      </c>
      <c r="AR2890" s="206" t="str">
        <f t="shared" si="867"/>
        <v>YAMAHA_Mounter</v>
      </c>
      <c r="AS2890" s="22" t="str">
        <f t="shared" si="868"/>
        <v/>
      </c>
      <c r="AT2890" s="24" t="str">
        <f t="shared" si="869"/>
        <v/>
      </c>
      <c r="AU2890" s="22" t="s">
        <v>3751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6"/>
        <v>1</v>
      </c>
      <c r="Z2891" s="18">
        <f t="shared" si="870"/>
        <v>12800000</v>
      </c>
      <c r="AA2891" s="13">
        <v>6.9199999999999998E-2</v>
      </c>
      <c r="AB2891" s="21">
        <f t="shared" si="855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57"/>
        <v>31750699.113741599</v>
      </c>
      <c r="AJ2891" s="19">
        <f t="shared" si="858"/>
        <v>4396077.3195289988</v>
      </c>
      <c r="AK2891" s="20">
        <f t="shared" si="864"/>
        <v>0.13845607946397598</v>
      </c>
      <c r="AL2891" s="17"/>
      <c r="AM2891" s="17"/>
      <c r="AN2891" s="17"/>
      <c r="AO2891" s="17"/>
      <c r="AP2891" s="28" t="str">
        <f t="shared" si="865"/>
        <v>20222</v>
      </c>
      <c r="AQ2891" s="28" t="str">
        <f t="shared" si="866"/>
        <v>20222JPY</v>
      </c>
      <c r="AR2891" s="206" t="str">
        <f t="shared" si="867"/>
        <v>YAMAHA_Mounter</v>
      </c>
      <c r="AS2891" s="22">
        <f t="shared" si="868"/>
        <v>1</v>
      </c>
      <c r="AT2891" s="24" t="str">
        <f t="shared" si="869"/>
        <v>0-3 months</v>
      </c>
      <c r="AU2891" s="22" t="s">
        <v>3745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6"/>
        <v>1</v>
      </c>
      <c r="Z2892" s="18">
        <f t="shared" si="870"/>
        <v>7800000</v>
      </c>
      <c r="AA2892" s="13">
        <v>6.54E-2</v>
      </c>
      <c r="AB2892" s="21">
        <f t="shared" si="855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57"/>
        <v>46600814.041769907</v>
      </c>
      <c r="AJ2892" s="19">
        <f t="shared" si="858"/>
        <v>5956366.3435927071</v>
      </c>
      <c r="AK2892" s="20">
        <f t="shared" si="864"/>
        <v>0.1278167874546958</v>
      </c>
      <c r="AL2892" s="17"/>
      <c r="AM2892" s="17"/>
      <c r="AN2892" s="17"/>
      <c r="AO2892" s="17"/>
      <c r="AP2892" s="28" t="str">
        <f t="shared" si="865"/>
        <v>20224</v>
      </c>
      <c r="AQ2892" s="28" t="str">
        <f t="shared" si="866"/>
        <v>20224JPY</v>
      </c>
      <c r="AR2892" s="206" t="str">
        <f t="shared" si="867"/>
        <v>YAMAHA_Mounter</v>
      </c>
      <c r="AS2892" s="22">
        <f t="shared" si="868"/>
        <v>3</v>
      </c>
      <c r="AT2892" s="24" t="str">
        <f t="shared" si="869"/>
        <v>0-3 months</v>
      </c>
      <c r="AU2892" s="22" t="s">
        <v>3745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6"/>
        <v>1.13</v>
      </c>
      <c r="Z2893" s="18">
        <f t="shared" si="870"/>
        <v>620000</v>
      </c>
      <c r="AA2893" s="13">
        <v>1.1950000000000001</v>
      </c>
      <c r="AB2893" s="21">
        <f t="shared" si="855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57"/>
        <v>63006605.696460173</v>
      </c>
      <c r="AJ2893" s="19">
        <f t="shared" si="858"/>
        <v>8897485.660753984</v>
      </c>
      <c r="AK2893" s="20">
        <f t="shared" si="864"/>
        <v>0.141215124388995</v>
      </c>
      <c r="AL2893" s="17"/>
      <c r="AM2893" s="17"/>
      <c r="AN2893" s="17"/>
      <c r="AO2893" s="17"/>
      <c r="AP2893" s="28" t="str">
        <f t="shared" si="865"/>
        <v>20215</v>
      </c>
      <c r="AQ2893" s="28" t="str">
        <f t="shared" si="866"/>
        <v>20215RMB</v>
      </c>
      <c r="AR2893" s="206" t="str">
        <f t="shared" si="867"/>
        <v>YAMAHA_Mounter</v>
      </c>
      <c r="AS2893" s="22">
        <f t="shared" si="868"/>
        <v>3</v>
      </c>
      <c r="AT2893" s="24" t="str">
        <f t="shared" si="869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0"/>
        <v>665000</v>
      </c>
      <c r="AA2894" s="13">
        <v>1.135</v>
      </c>
      <c r="AB2894" s="21">
        <f t="shared" si="855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57"/>
        <v>31296887.037898075</v>
      </c>
      <c r="AJ2894" s="19">
        <f t="shared" si="858"/>
        <v>3588873.9502021763</v>
      </c>
      <c r="AK2894" s="20">
        <f t="shared" si="864"/>
        <v>0.11467191436184473</v>
      </c>
      <c r="AL2894" s="17"/>
      <c r="AM2894" s="17"/>
      <c r="AN2894" s="17"/>
      <c r="AO2894" s="17"/>
      <c r="AP2894" s="28" t="str">
        <f t="shared" si="865"/>
        <v>20196</v>
      </c>
      <c r="AQ2894" s="28" t="str">
        <f t="shared" si="866"/>
        <v>20196RMB</v>
      </c>
      <c r="AR2894" s="206" t="str">
        <f t="shared" si="867"/>
        <v>YAMAHA_Mounter</v>
      </c>
      <c r="AS2894" s="22">
        <f t="shared" si="868"/>
        <v>2</v>
      </c>
      <c r="AT2894" s="24" t="str">
        <f t="shared" si="869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0"/>
        <v>610000</v>
      </c>
      <c r="AA2895" s="13">
        <v>1.175</v>
      </c>
      <c r="AB2895" s="21">
        <f t="shared" si="855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57"/>
        <v>35682787.057522126</v>
      </c>
      <c r="AJ2895" s="19">
        <f t="shared" si="858"/>
        <v>5833368.3789623892</v>
      </c>
      <c r="AK2895" s="20">
        <f t="shared" si="864"/>
        <v>0.16347849649632912</v>
      </c>
      <c r="AL2895" s="17"/>
      <c r="AM2895" s="17"/>
      <c r="AN2895" s="17"/>
      <c r="AO2895" s="17"/>
      <c r="AP2895" s="28" t="str">
        <f t="shared" si="865"/>
        <v>20226</v>
      </c>
      <c r="AQ2895" s="28" t="str">
        <f t="shared" si="866"/>
        <v>20226RMB</v>
      </c>
      <c r="AR2895" s="206" t="str">
        <f t="shared" si="867"/>
        <v>YAMAHA_Mounter</v>
      </c>
      <c r="AS2895" s="22">
        <f t="shared" si="868"/>
        <v>3</v>
      </c>
      <c r="AT2895" s="24" t="str">
        <f t="shared" si="869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0"/>
        <v>590000</v>
      </c>
      <c r="AA2896" s="13">
        <v>1.17</v>
      </c>
      <c r="AB2896" s="21">
        <f t="shared" si="855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57"/>
        <v>36480247.665929198</v>
      </c>
      <c r="AJ2896" s="19">
        <f t="shared" si="858"/>
        <v>5330996.6372757526</v>
      </c>
      <c r="AK2896" s="20">
        <f t="shared" si="864"/>
        <v>0.14613378412599562</v>
      </c>
      <c r="AL2896" s="17"/>
      <c r="AM2896" s="17"/>
      <c r="AN2896" s="17"/>
      <c r="AO2896" s="17"/>
      <c r="AP2896" s="28" t="str">
        <f t="shared" si="865"/>
        <v>20227</v>
      </c>
      <c r="AQ2896" s="28" t="str">
        <f t="shared" si="866"/>
        <v>20227RMB</v>
      </c>
      <c r="AR2896" s="206" t="str">
        <f t="shared" si="867"/>
        <v>YAMAHA_Mounter</v>
      </c>
      <c r="AS2896" s="22">
        <f t="shared" si="868"/>
        <v>1</v>
      </c>
      <c r="AT2896" s="24" t="str">
        <f t="shared" si="869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0"/>
        <v>590000</v>
      </c>
      <c r="AA2897" s="13">
        <v>1.17</v>
      </c>
      <c r="AB2897" s="21">
        <f t="shared" si="855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57"/>
        <v>36480247.665929198</v>
      </c>
      <c r="AJ2897" s="19">
        <f t="shared" si="858"/>
        <v>5330996.6372757526</v>
      </c>
      <c r="AK2897" s="20">
        <f t="shared" si="864"/>
        <v>0.14613378412599562</v>
      </c>
      <c r="AL2897" s="17"/>
      <c r="AM2897" s="17"/>
      <c r="AN2897" s="17"/>
      <c r="AO2897" s="17"/>
      <c r="AP2897" s="28" t="str">
        <f t="shared" si="865"/>
        <v>20227</v>
      </c>
      <c r="AQ2897" s="28" t="str">
        <f t="shared" si="866"/>
        <v>20227RMB</v>
      </c>
      <c r="AR2897" s="206" t="str">
        <f t="shared" si="867"/>
        <v>YAMAHA_Mounter</v>
      </c>
      <c r="AS2897" s="22">
        <f t="shared" si="868"/>
        <v>1</v>
      </c>
      <c r="AT2897" s="24" t="str">
        <f t="shared" si="869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0"/>
        <v>8500000</v>
      </c>
      <c r="AA2898" s="22">
        <v>5.5599999999999997E-2</v>
      </c>
      <c r="AB2898" s="197">
        <f t="shared" si="855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57"/>
        <v>22758096.38940867</v>
      </c>
      <c r="AJ2898" s="200">
        <f t="shared" si="858"/>
        <v>2469357.2298956565</v>
      </c>
      <c r="AK2898" s="201">
        <f t="shared" si="864"/>
        <v>0.10850455976822666</v>
      </c>
      <c r="AL2898" s="24"/>
      <c r="AM2898" s="24"/>
      <c r="AN2898" s="24"/>
      <c r="AO2898" s="24"/>
      <c r="AP2898" s="105" t="str">
        <f t="shared" si="865"/>
        <v>202410</v>
      </c>
      <c r="AQ2898" s="28" t="str">
        <f t="shared" si="866"/>
        <v>202410JPY</v>
      </c>
      <c r="AR2898" s="206" t="str">
        <f t="shared" si="867"/>
        <v>YAMAHA_Mounter</v>
      </c>
      <c r="AS2898" s="22">
        <f t="shared" si="868"/>
        <v>5</v>
      </c>
      <c r="AT2898" s="24" t="str">
        <f t="shared" si="869"/>
        <v>4-6 months</v>
      </c>
      <c r="AU2898" s="22" t="s">
        <v>3746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0"/>
        <v>615000</v>
      </c>
      <c r="AA2899" s="13">
        <v>1.23</v>
      </c>
      <c r="AB2899" s="21">
        <f t="shared" si="855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57"/>
        <v>29288201.603076916</v>
      </c>
      <c r="AJ2899" s="19">
        <f t="shared" si="858"/>
        <v>3870159.1769246152</v>
      </c>
      <c r="AK2899" s="20">
        <f t="shared" si="864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5"/>
        <v>20184</v>
      </c>
      <c r="AQ2899" s="28" t="str">
        <f t="shared" si="866"/>
        <v>20184RMB</v>
      </c>
      <c r="AR2899" s="206" t="str">
        <f t="shared" si="867"/>
        <v>YAMAHA_Mounter</v>
      </c>
      <c r="AS2899" s="22" t="str">
        <f t="shared" si="868"/>
        <v/>
      </c>
      <c r="AT2899" s="24" t="str">
        <f t="shared" si="869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0"/>
        <v>970000</v>
      </c>
      <c r="AA2900" s="13">
        <v>1.155</v>
      </c>
      <c r="AB2900" s="21">
        <f t="shared" si="855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57"/>
        <v>499582152.5142017</v>
      </c>
      <c r="AJ2900" s="19">
        <f t="shared" si="858"/>
        <v>59520528.679470733</v>
      </c>
      <c r="AK2900" s="20">
        <f t="shared" si="864"/>
        <v>0.11914062257814291</v>
      </c>
      <c r="AL2900" s="17"/>
      <c r="AM2900" s="17"/>
      <c r="AN2900" s="17"/>
      <c r="AO2900" s="17"/>
      <c r="AP2900" s="28" t="str">
        <f t="shared" si="865"/>
        <v>CancelCancel</v>
      </c>
      <c r="AQ2900" s="28" t="str">
        <f t="shared" si="866"/>
        <v>CancelCancelRMB</v>
      </c>
      <c r="AR2900" s="206" t="str">
        <f t="shared" si="867"/>
        <v>YAMAHA_Mounter</v>
      </c>
      <c r="AS2900" s="22" t="str">
        <f t="shared" si="868"/>
        <v/>
      </c>
      <c r="AT2900" s="24" t="str">
        <f t="shared" si="869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1">IF(W2901="RMB","1.13", "1")</f>
        <v>1.13</v>
      </c>
      <c r="Z2901" s="18">
        <f t="shared" si="870"/>
        <v>619350</v>
      </c>
      <c r="AA2901" s="13">
        <v>1.1950000000000001</v>
      </c>
      <c r="AB2901" s="21">
        <f t="shared" si="855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57"/>
        <v>63006605.696460173</v>
      </c>
      <c r="AJ2901" s="19">
        <f t="shared" si="858"/>
        <v>8897485.660753984</v>
      </c>
      <c r="AK2901" s="20">
        <f t="shared" si="864"/>
        <v>0.141215124388995</v>
      </c>
      <c r="AL2901" s="17"/>
      <c r="AM2901" s="17"/>
      <c r="AN2901" s="17"/>
      <c r="AO2901" s="17"/>
      <c r="AP2901" s="28" t="str">
        <f t="shared" si="865"/>
        <v>20215</v>
      </c>
      <c r="AQ2901" s="28" t="str">
        <f t="shared" si="866"/>
        <v>20215RMB</v>
      </c>
      <c r="AR2901" s="206" t="str">
        <f t="shared" si="867"/>
        <v>YAMAHA_Mounter</v>
      </c>
      <c r="AS2901" s="22">
        <f t="shared" si="868"/>
        <v>2</v>
      </c>
      <c r="AT2901" s="24" t="str">
        <f t="shared" si="869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2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1"/>
        <v>1.13</v>
      </c>
      <c r="Z2902" s="18">
        <f t="shared" si="870"/>
        <v>619350</v>
      </c>
      <c r="AA2902" s="13">
        <v>1.1950000000000001</v>
      </c>
      <c r="AB2902" s="21">
        <f t="shared" si="855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57"/>
        <v>63006605.696460173</v>
      </c>
      <c r="AJ2902" s="19">
        <f t="shared" si="858"/>
        <v>8897485.660753984</v>
      </c>
      <c r="AK2902" s="20">
        <f t="shared" si="864"/>
        <v>0.141215124388995</v>
      </c>
      <c r="AL2902" s="17"/>
      <c r="AM2902" s="17"/>
      <c r="AN2902" s="17"/>
      <c r="AO2902" s="17"/>
      <c r="AP2902" s="28" t="str">
        <f t="shared" si="865"/>
        <v>20215</v>
      </c>
      <c r="AQ2902" s="28" t="str">
        <f t="shared" si="866"/>
        <v>20215RMB</v>
      </c>
      <c r="AR2902" s="206" t="str">
        <f t="shared" si="867"/>
        <v>YAMAHA_Mounter</v>
      </c>
      <c r="AS2902" s="22">
        <f t="shared" si="868"/>
        <v>2</v>
      </c>
      <c r="AT2902" s="24" t="str">
        <f t="shared" si="869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2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1"/>
        <v>1.13</v>
      </c>
      <c r="Z2903" s="18">
        <f t="shared" si="870"/>
        <v>619350</v>
      </c>
      <c r="AA2903" s="13">
        <v>1.1950000000000001</v>
      </c>
      <c r="AB2903" s="21">
        <f t="shared" si="855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57"/>
        <v>63006605.696460173</v>
      </c>
      <c r="AJ2903" s="19">
        <f t="shared" si="858"/>
        <v>8897485.660753984</v>
      </c>
      <c r="AK2903" s="20">
        <f t="shared" si="864"/>
        <v>0.141215124388995</v>
      </c>
      <c r="AL2903" s="17"/>
      <c r="AM2903" s="17"/>
      <c r="AN2903" s="17"/>
      <c r="AO2903" s="17"/>
      <c r="AP2903" s="28" t="str">
        <f t="shared" si="865"/>
        <v>20215</v>
      </c>
      <c r="AQ2903" s="28" t="str">
        <f t="shared" si="866"/>
        <v>20215RMB</v>
      </c>
      <c r="AR2903" s="206" t="str">
        <f t="shared" si="867"/>
        <v>YAMAHA_Mounter</v>
      </c>
      <c r="AS2903" s="22">
        <f t="shared" si="868"/>
        <v>2</v>
      </c>
      <c r="AT2903" s="24" t="str">
        <f t="shared" si="869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2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1"/>
        <v>1.13</v>
      </c>
      <c r="Z2904" s="18">
        <f t="shared" si="870"/>
        <v>619350</v>
      </c>
      <c r="AA2904" s="13">
        <v>1.1950000000000001</v>
      </c>
      <c r="AB2904" s="21">
        <f t="shared" si="855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57"/>
        <v>63006605.696460173</v>
      </c>
      <c r="AJ2904" s="19">
        <f t="shared" si="858"/>
        <v>8897485.660753984</v>
      </c>
      <c r="AK2904" s="20">
        <f t="shared" si="864"/>
        <v>0.141215124388995</v>
      </c>
      <c r="AL2904" s="17"/>
      <c r="AM2904" s="17"/>
      <c r="AN2904" s="17"/>
      <c r="AO2904" s="17"/>
      <c r="AP2904" s="28" t="str">
        <f t="shared" si="865"/>
        <v>20215</v>
      </c>
      <c r="AQ2904" s="28" t="str">
        <f t="shared" si="866"/>
        <v>20215RMB</v>
      </c>
      <c r="AR2904" s="206" t="str">
        <f t="shared" si="867"/>
        <v>YAMAHA_Mounter</v>
      </c>
      <c r="AS2904" s="22">
        <f t="shared" si="868"/>
        <v>2</v>
      </c>
      <c r="AT2904" s="24" t="str">
        <f t="shared" si="869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2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1"/>
        <v>1.13</v>
      </c>
      <c r="Z2905" s="18">
        <f t="shared" si="870"/>
        <v>621300</v>
      </c>
      <c r="AA2905" s="13">
        <v>1.2</v>
      </c>
      <c r="AB2905" s="21">
        <f t="shared" si="855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57"/>
        <v>499582152.5142017</v>
      </c>
      <c r="AJ2905" s="19">
        <f t="shared" si="858"/>
        <v>59520528.679470733</v>
      </c>
      <c r="AK2905" s="20">
        <f t="shared" si="864"/>
        <v>0.11914062257814291</v>
      </c>
      <c r="AL2905" s="17"/>
      <c r="AM2905" s="17"/>
      <c r="AN2905" s="17"/>
      <c r="AO2905" s="17"/>
      <c r="AP2905" s="28" t="str">
        <f t="shared" si="865"/>
        <v>CancelCANCEL</v>
      </c>
      <c r="AQ2905" s="28" t="str">
        <f t="shared" si="866"/>
        <v>CancelCANCELRMB</v>
      </c>
      <c r="AR2905" s="206" t="str">
        <f t="shared" si="867"/>
        <v>YAMAHA_Mounter</v>
      </c>
      <c r="AS2905" s="22" t="str">
        <f t="shared" si="868"/>
        <v/>
      </c>
      <c r="AT2905" s="24" t="str">
        <f t="shared" si="869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2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1"/>
        <v>1.13</v>
      </c>
      <c r="Z2906" s="18">
        <f t="shared" si="870"/>
        <v>650000</v>
      </c>
      <c r="AA2906" s="13">
        <v>1.08</v>
      </c>
      <c r="AB2906" s="21">
        <f t="shared" si="855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57"/>
        <v>31017966.201968137</v>
      </c>
      <c r="AJ2906" s="19">
        <f t="shared" si="858"/>
        <v>4704250.3347305888</v>
      </c>
      <c r="AK2906" s="20">
        <f t="shared" si="864"/>
        <v>0.15166211427595458</v>
      </c>
      <c r="AL2906" s="17"/>
      <c r="AM2906" s="17"/>
      <c r="AN2906" s="17"/>
      <c r="AO2906" s="17"/>
      <c r="AP2906" s="28" t="str">
        <f t="shared" si="865"/>
        <v>202211</v>
      </c>
      <c r="AQ2906" s="28" t="str">
        <f t="shared" si="866"/>
        <v>202211RMB</v>
      </c>
      <c r="AR2906" s="206" t="str">
        <f t="shared" si="867"/>
        <v>YAMAHA_Mounter</v>
      </c>
      <c r="AS2906" s="22">
        <f t="shared" si="868"/>
        <v>1</v>
      </c>
      <c r="AT2906" s="24" t="str">
        <f t="shared" si="869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2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1"/>
        <v>1.13</v>
      </c>
      <c r="Z2907" s="18">
        <f t="shared" si="870"/>
        <v>820000</v>
      </c>
      <c r="AA2907" s="13">
        <v>1.08</v>
      </c>
      <c r="AB2907" s="21">
        <f t="shared" si="855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57"/>
        <v>31017966.201968137</v>
      </c>
      <c r="AJ2907" s="19">
        <f t="shared" si="858"/>
        <v>4704250.3347305888</v>
      </c>
      <c r="AK2907" s="20">
        <f t="shared" si="864"/>
        <v>0.15166211427595458</v>
      </c>
      <c r="AL2907" s="17"/>
      <c r="AM2907" s="17"/>
      <c r="AN2907" s="17"/>
      <c r="AO2907" s="17"/>
      <c r="AP2907" s="28" t="str">
        <f t="shared" si="865"/>
        <v>202211</v>
      </c>
      <c r="AQ2907" s="28" t="str">
        <f t="shared" si="866"/>
        <v>202211RMB</v>
      </c>
      <c r="AR2907" s="206" t="str">
        <f t="shared" si="867"/>
        <v>YAMAHA_Mounter</v>
      </c>
      <c r="AS2907" s="22">
        <f t="shared" si="868"/>
        <v>1</v>
      </c>
      <c r="AT2907" s="24" t="str">
        <f t="shared" si="869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2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1"/>
        <v>1.13</v>
      </c>
      <c r="Z2908" s="18">
        <f t="shared" si="870"/>
        <v>868670</v>
      </c>
      <c r="AA2908" s="13">
        <v>1.2150000000000001</v>
      </c>
      <c r="AB2908" s="21">
        <f t="shared" si="855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57"/>
        <v>25380121.402654871</v>
      </c>
      <c r="AJ2908" s="19">
        <f t="shared" si="858"/>
        <v>3850343.1237796471</v>
      </c>
      <c r="AK2908" s="20">
        <f t="shared" si="864"/>
        <v>0.1517070412191521</v>
      </c>
      <c r="AL2908" s="17"/>
      <c r="AM2908" s="17"/>
      <c r="AN2908" s="17"/>
      <c r="AO2908" s="17"/>
      <c r="AP2908" s="28" t="str">
        <f t="shared" si="865"/>
        <v>202112</v>
      </c>
      <c r="AQ2908" s="28" t="str">
        <f t="shared" si="866"/>
        <v>202112RMB</v>
      </c>
      <c r="AR2908" s="206" t="str">
        <f t="shared" si="867"/>
        <v>YAMAHA_Mounter</v>
      </c>
      <c r="AS2908" s="22">
        <f t="shared" si="868"/>
        <v>1</v>
      </c>
      <c r="AT2908" s="24" t="str">
        <f t="shared" si="869"/>
        <v>0-3 months</v>
      </c>
      <c r="AU2908" s="22" t="s">
        <v>3751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2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1"/>
        <v>1.13</v>
      </c>
      <c r="Z2909" s="18">
        <f t="shared" si="870"/>
        <v>868670</v>
      </c>
      <c r="AA2909" s="13">
        <v>1.2150000000000001</v>
      </c>
      <c r="AB2909" s="21">
        <f t="shared" si="855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57"/>
        <v>25380121.402654871</v>
      </c>
      <c r="AJ2909" s="19">
        <f t="shared" si="858"/>
        <v>3850343.1237796471</v>
      </c>
      <c r="AK2909" s="20">
        <f t="shared" si="864"/>
        <v>0.1517070412191521</v>
      </c>
      <c r="AL2909" s="17"/>
      <c r="AM2909" s="17"/>
      <c r="AN2909" s="17"/>
      <c r="AO2909" s="17"/>
      <c r="AP2909" s="28" t="str">
        <f t="shared" si="865"/>
        <v>202112</v>
      </c>
      <c r="AQ2909" s="28" t="str">
        <f t="shared" si="866"/>
        <v>202112RMB</v>
      </c>
      <c r="AR2909" s="206" t="str">
        <f t="shared" si="867"/>
        <v>YAMAHA_Mounter</v>
      </c>
      <c r="AS2909" s="22">
        <f t="shared" si="868"/>
        <v>1</v>
      </c>
      <c r="AT2909" s="24" t="str">
        <f t="shared" si="869"/>
        <v>0-3 months</v>
      </c>
      <c r="AU2909" s="22" t="s">
        <v>3751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2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1"/>
        <v>1</v>
      </c>
      <c r="Z2910" s="18">
        <f t="shared" si="870"/>
        <v>8452000</v>
      </c>
      <c r="AA2910" s="13">
        <v>6.9199999999999998E-2</v>
      </c>
      <c r="AB2910" s="21">
        <f t="shared" si="855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57"/>
        <v>26407088.359292038</v>
      </c>
      <c r="AJ2910" s="19">
        <f t="shared" si="858"/>
        <v>3424510.6998470789</v>
      </c>
      <c r="AK2910" s="20">
        <f t="shared" si="864"/>
        <v>0.12968149510667554</v>
      </c>
      <c r="AL2910" s="17"/>
      <c r="AM2910" s="17"/>
      <c r="AN2910" s="17"/>
      <c r="AO2910" s="17"/>
      <c r="AP2910" s="28" t="str">
        <f t="shared" si="865"/>
        <v>20221</v>
      </c>
      <c r="AQ2910" s="28" t="str">
        <f t="shared" si="866"/>
        <v>20221JPY</v>
      </c>
      <c r="AR2910" s="206" t="str">
        <f t="shared" si="867"/>
        <v>YAMAHA_Mounter</v>
      </c>
      <c r="AS2910" s="22">
        <f t="shared" si="868"/>
        <v>7</v>
      </c>
      <c r="AT2910" s="24" t="str">
        <f t="shared" si="869"/>
        <v>&gt; 6 months</v>
      </c>
      <c r="AU2910" s="22" t="s">
        <v>3745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2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1"/>
        <v>1.13</v>
      </c>
      <c r="Z2911" s="18">
        <f t="shared" si="870"/>
        <v>1300000</v>
      </c>
      <c r="AA2911" s="13">
        <v>1.22</v>
      </c>
      <c r="AB2911" s="21">
        <f t="shared" si="855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57"/>
        <v>28726768.133805312</v>
      </c>
      <c r="AJ2911" s="19">
        <f t="shared" si="858"/>
        <v>3853638.1988864429</v>
      </c>
      <c r="AK2911" s="20">
        <f t="shared" si="864"/>
        <v>0.1341479898099476</v>
      </c>
      <c r="AL2911" s="17"/>
      <c r="AM2911" s="17"/>
      <c r="AN2911" s="17"/>
      <c r="AO2911" s="17"/>
      <c r="AP2911" s="28" t="str">
        <f t="shared" si="865"/>
        <v>20223</v>
      </c>
      <c r="AQ2911" s="28" t="str">
        <f t="shared" si="866"/>
        <v>20223RMB</v>
      </c>
      <c r="AR2911" s="206" t="str">
        <f t="shared" si="867"/>
        <v>YAMAHA_Mounter</v>
      </c>
      <c r="AS2911" s="22">
        <f t="shared" si="868"/>
        <v>3</v>
      </c>
      <c r="AT2911" s="24" t="str">
        <f t="shared" si="869"/>
        <v>0-3 months</v>
      </c>
      <c r="AU2911" s="22" t="s">
        <v>3751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2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1"/>
        <v>1.13</v>
      </c>
      <c r="Z2912" s="18">
        <f t="shared" si="870"/>
        <v>1300000</v>
      </c>
      <c r="AA2912" s="13">
        <v>1.22</v>
      </c>
      <c r="AB2912" s="21">
        <f t="shared" si="855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57"/>
        <v>28726768.133805312</v>
      </c>
      <c r="AJ2912" s="19">
        <f t="shared" si="858"/>
        <v>3853638.1988864429</v>
      </c>
      <c r="AK2912" s="20">
        <f t="shared" si="864"/>
        <v>0.1341479898099476</v>
      </c>
      <c r="AL2912" s="17"/>
      <c r="AM2912" s="17"/>
      <c r="AN2912" s="17"/>
      <c r="AO2912" s="17"/>
      <c r="AP2912" s="28" t="str">
        <f t="shared" si="865"/>
        <v>20223</v>
      </c>
      <c r="AQ2912" s="28" t="str">
        <f t="shared" si="866"/>
        <v>20223RMB</v>
      </c>
      <c r="AR2912" s="206" t="str">
        <f t="shared" si="867"/>
        <v>YAMAHA_Mounter</v>
      </c>
      <c r="AS2912" s="22">
        <f t="shared" si="868"/>
        <v>3</v>
      </c>
      <c r="AT2912" s="24" t="str">
        <f t="shared" si="869"/>
        <v>0-3 months</v>
      </c>
      <c r="AU2912" s="22" t="s">
        <v>3751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2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1"/>
        <v>1.13</v>
      </c>
      <c r="Z2913" s="18">
        <f t="shared" si="870"/>
        <v>623546</v>
      </c>
      <c r="AA2913" s="13">
        <v>1.17</v>
      </c>
      <c r="AB2913" s="21">
        <f t="shared" si="855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57"/>
        <v>36480247.665929198</v>
      </c>
      <c r="AJ2913" s="19">
        <f t="shared" si="858"/>
        <v>5330996.6372757526</v>
      </c>
      <c r="AK2913" s="20">
        <f t="shared" si="864"/>
        <v>0.14613378412599562</v>
      </c>
      <c r="AL2913" s="17"/>
      <c r="AM2913" s="17"/>
      <c r="AN2913" s="17"/>
      <c r="AO2913" s="17"/>
      <c r="AP2913" s="28" t="str">
        <f t="shared" si="865"/>
        <v>20227</v>
      </c>
      <c r="AQ2913" s="28" t="str">
        <f t="shared" si="866"/>
        <v>20227RMB</v>
      </c>
      <c r="AR2913" s="206" t="str">
        <f t="shared" si="867"/>
        <v>YAMAHA_Mounter</v>
      </c>
      <c r="AS2913" s="22">
        <f t="shared" si="868"/>
        <v>1</v>
      </c>
      <c r="AT2913" s="24" t="str">
        <f t="shared" si="869"/>
        <v>0-3 months</v>
      </c>
      <c r="AU2913" s="22" t="s">
        <v>3751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2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1"/>
        <v>1.13</v>
      </c>
      <c r="Z2914" s="18">
        <f t="shared" si="870"/>
        <v>515000</v>
      </c>
      <c r="AA2914" s="13">
        <v>1.135</v>
      </c>
      <c r="AB2914" s="21">
        <f t="shared" si="855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57"/>
        <v>28177779.013274338</v>
      </c>
      <c r="AJ2914" s="19">
        <f t="shared" si="858"/>
        <v>4727216.6376190251</v>
      </c>
      <c r="AK2914" s="20">
        <f t="shared" si="864"/>
        <v>0.1677639900359808</v>
      </c>
      <c r="AL2914" s="17"/>
      <c r="AM2914" s="17"/>
      <c r="AN2914" s="17"/>
      <c r="AO2914" s="17"/>
      <c r="AP2914" s="28" t="str">
        <f t="shared" si="865"/>
        <v>20235</v>
      </c>
      <c r="AQ2914" s="28" t="str">
        <f t="shared" si="866"/>
        <v>20235RMB</v>
      </c>
      <c r="AR2914" s="206" t="str">
        <f t="shared" si="867"/>
        <v>YAMAHA_Mounter</v>
      </c>
      <c r="AS2914" s="22">
        <f t="shared" si="868"/>
        <v>0</v>
      </c>
      <c r="AT2914" s="24" t="str">
        <f t="shared" si="869"/>
        <v>0-3 months</v>
      </c>
      <c r="AU2914" s="22" t="s">
        <v>3751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2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0"/>
        <v>506000</v>
      </c>
      <c r="AA2915" s="13">
        <v>1.095</v>
      </c>
      <c r="AB2915" s="21">
        <f t="shared" si="855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57"/>
        <v>10271727.486725664</v>
      </c>
      <c r="AJ2915" s="19">
        <f t="shared" si="858"/>
        <v>1227228.7260761063</v>
      </c>
      <c r="AK2915" s="20">
        <f t="shared" si="864"/>
        <v>0.11947637120066472</v>
      </c>
      <c r="AL2915" s="17"/>
      <c r="AM2915" s="17"/>
      <c r="AN2915" s="17"/>
      <c r="AO2915" s="17"/>
      <c r="AP2915" s="28" t="str">
        <f t="shared" si="865"/>
        <v>202312</v>
      </c>
      <c r="AQ2915" s="28" t="str">
        <f t="shared" si="866"/>
        <v>202312RMB</v>
      </c>
      <c r="AR2915" s="206" t="str">
        <f t="shared" si="867"/>
        <v>YAMAHA_Mounter</v>
      </c>
      <c r="AS2915" s="22">
        <f t="shared" si="868"/>
        <v>1</v>
      </c>
      <c r="AT2915" s="24" t="str">
        <f t="shared" si="869"/>
        <v>0-3 months</v>
      </c>
      <c r="AU2915" s="22" t="s">
        <v>3751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2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3">IF(W2916="RMB","1.13", "1")</f>
        <v>1.13</v>
      </c>
      <c r="Z2916" s="18">
        <f t="shared" si="870"/>
        <v>500000</v>
      </c>
      <c r="AA2916" s="22">
        <v>1.0900000000000001</v>
      </c>
      <c r="AB2916" s="21">
        <f t="shared" si="855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57"/>
        <v>21241742.157380536</v>
      </c>
      <c r="AJ2916" s="27">
        <f t="shared" si="858"/>
        <v>2987081.1613773629</v>
      </c>
      <c r="AK2916" s="28">
        <f t="shared" si="864"/>
        <v>0.14062317201884914</v>
      </c>
      <c r="AL2916" s="24"/>
      <c r="AM2916" s="24"/>
      <c r="AN2916" s="24"/>
      <c r="AO2916" s="24"/>
      <c r="AP2916" s="105" t="str">
        <f t="shared" si="865"/>
        <v>20243</v>
      </c>
      <c r="AQ2916" s="28" t="str">
        <f t="shared" si="866"/>
        <v>20243RMB</v>
      </c>
      <c r="AR2916" s="206" t="str">
        <f t="shared" si="867"/>
        <v>YAMAHA_Mounter</v>
      </c>
      <c r="AS2916" s="22">
        <f t="shared" si="868"/>
        <v>1</v>
      </c>
      <c r="AT2916" s="24" t="str">
        <f t="shared" si="869"/>
        <v>0-3 months</v>
      </c>
      <c r="AU2916" s="22" t="s">
        <v>3751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2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3"/>
        <v>1</v>
      </c>
      <c r="Z2917" s="18">
        <f t="shared" si="870"/>
        <v>8000000</v>
      </c>
      <c r="AA2917" s="13">
        <v>7.5700000000000003E-2</v>
      </c>
      <c r="AB2917" s="21">
        <f t="shared" si="855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57"/>
        <v>31097187.02948761</v>
      </c>
      <c r="AJ2917" s="19">
        <f t="shared" si="858"/>
        <v>3892353.6644401965</v>
      </c>
      <c r="AK2917" s="20">
        <f t="shared" si="864"/>
        <v>0.12516738767237401</v>
      </c>
      <c r="AL2917" s="17"/>
      <c r="AM2917" s="17"/>
      <c r="AN2917" s="17"/>
      <c r="AO2917" s="17"/>
      <c r="AP2917" s="28" t="str">
        <f t="shared" si="865"/>
        <v>20212</v>
      </c>
      <c r="AQ2917" s="28" t="str">
        <f t="shared" si="866"/>
        <v>20212JPY</v>
      </c>
      <c r="AR2917" s="206" t="str">
        <f t="shared" si="867"/>
        <v>YAMAHA_Mounter</v>
      </c>
      <c r="AS2917" s="22">
        <f t="shared" si="868"/>
        <v>3</v>
      </c>
      <c r="AT2917" s="24" t="str">
        <f t="shared" si="869"/>
        <v>0-3 months</v>
      </c>
      <c r="AU2917" s="22" t="s">
        <v>3745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2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3"/>
        <v>1.13</v>
      </c>
      <c r="Z2918" s="18">
        <f t="shared" si="870"/>
        <v>425000</v>
      </c>
      <c r="AA2918" s="13">
        <v>1.095</v>
      </c>
      <c r="AB2918" s="21">
        <f t="shared" si="855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57"/>
        <v>499582152.5142017</v>
      </c>
      <c r="AJ2918" s="19">
        <f t="shared" si="858"/>
        <v>59520528.679470733</v>
      </c>
      <c r="AK2918" s="20">
        <f t="shared" si="864"/>
        <v>0.11914062257814291</v>
      </c>
      <c r="AL2918" s="17"/>
      <c r="AM2918" s="17"/>
      <c r="AN2918" s="17"/>
      <c r="AO2918" s="17"/>
      <c r="AP2918" s="28" t="str">
        <f t="shared" si="865"/>
        <v>CancelCancel</v>
      </c>
      <c r="AQ2918" s="28" t="str">
        <f t="shared" si="866"/>
        <v>CancelCancelRMB</v>
      </c>
      <c r="AR2918" s="206" t="str">
        <f t="shared" si="867"/>
        <v>YAMAHA_Mounter</v>
      </c>
      <c r="AS2918" s="22" t="str">
        <f t="shared" si="868"/>
        <v/>
      </c>
      <c r="AT2918" s="24" t="str">
        <f t="shared" si="869"/>
        <v/>
      </c>
      <c r="AU2918" s="22" t="s">
        <v>3751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2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3"/>
        <v>1.13</v>
      </c>
      <c r="Z2919" s="18">
        <f t="shared" si="870"/>
        <v>425000</v>
      </c>
      <c r="AA2919" s="13">
        <v>1.095</v>
      </c>
      <c r="AB2919" s="21">
        <f t="shared" si="855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57"/>
        <v>499582152.5142017</v>
      </c>
      <c r="AJ2919" s="19">
        <f t="shared" si="858"/>
        <v>59520528.679470733</v>
      </c>
      <c r="AK2919" s="20">
        <f t="shared" si="864"/>
        <v>0.11914062257814291</v>
      </c>
      <c r="AL2919" s="17"/>
      <c r="AM2919" s="17"/>
      <c r="AN2919" s="17"/>
      <c r="AO2919" s="17"/>
      <c r="AP2919" s="28" t="str">
        <f t="shared" si="865"/>
        <v>CancelCancel</v>
      </c>
      <c r="AQ2919" s="28" t="str">
        <f t="shared" si="866"/>
        <v>CancelCancelRMB</v>
      </c>
      <c r="AR2919" s="206" t="str">
        <f t="shared" si="867"/>
        <v>YAMAHA_Mounter</v>
      </c>
      <c r="AS2919" s="22" t="str">
        <f t="shared" si="868"/>
        <v/>
      </c>
      <c r="AT2919" s="24" t="str">
        <f t="shared" si="869"/>
        <v/>
      </c>
      <c r="AU2919" s="22" t="s">
        <v>3751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2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3"/>
        <v>1.13</v>
      </c>
      <c r="Z2920" s="18">
        <f t="shared" si="870"/>
        <v>710000</v>
      </c>
      <c r="AA2920" s="13">
        <v>1.095</v>
      </c>
      <c r="AB2920" s="21">
        <f t="shared" si="855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57"/>
        <v>499582152.5142017</v>
      </c>
      <c r="AJ2920" s="19">
        <f t="shared" si="858"/>
        <v>59520528.679470733</v>
      </c>
      <c r="AK2920" s="20">
        <f t="shared" si="864"/>
        <v>0.11914062257814291</v>
      </c>
      <c r="AL2920" s="17"/>
      <c r="AM2920" s="17"/>
      <c r="AN2920" s="17"/>
      <c r="AO2920" s="17"/>
      <c r="AP2920" s="28" t="str">
        <f t="shared" si="865"/>
        <v>CancelCancel</v>
      </c>
      <c r="AQ2920" s="28" t="str">
        <f t="shared" si="866"/>
        <v>CancelCancelRMB</v>
      </c>
      <c r="AR2920" s="206" t="str">
        <f t="shared" si="867"/>
        <v>YAMAHA_Mounter</v>
      </c>
      <c r="AS2920" s="22" t="str">
        <f t="shared" si="868"/>
        <v/>
      </c>
      <c r="AT2920" s="24" t="str">
        <f t="shared" si="869"/>
        <v/>
      </c>
      <c r="AU2920" s="22" t="s">
        <v>3751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2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3"/>
        <v>1.13</v>
      </c>
      <c r="Z2921" s="18">
        <f t="shared" si="870"/>
        <v>710000</v>
      </c>
      <c r="AA2921" s="13">
        <v>1.095</v>
      </c>
      <c r="AB2921" s="21">
        <f t="shared" si="855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57"/>
        <v>499582152.5142017</v>
      </c>
      <c r="AJ2921" s="19">
        <f t="shared" si="858"/>
        <v>59520528.679470733</v>
      </c>
      <c r="AK2921" s="20">
        <f t="shared" si="864"/>
        <v>0.11914062257814291</v>
      </c>
      <c r="AL2921" s="17"/>
      <c r="AM2921" s="17"/>
      <c r="AN2921" s="17"/>
      <c r="AO2921" s="17"/>
      <c r="AP2921" s="28" t="str">
        <f t="shared" si="865"/>
        <v>CancelCancel</v>
      </c>
      <c r="AQ2921" s="28" t="str">
        <f t="shared" si="866"/>
        <v>CancelCancelRMB</v>
      </c>
      <c r="AR2921" s="206" t="str">
        <f t="shared" si="867"/>
        <v>YAMAHA_Mounter</v>
      </c>
      <c r="AS2921" s="22" t="str">
        <f t="shared" si="868"/>
        <v/>
      </c>
      <c r="AT2921" s="24" t="str">
        <f t="shared" si="869"/>
        <v/>
      </c>
      <c r="AU2921" s="22" t="s">
        <v>3751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2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0"/>
        <v>10705500</v>
      </c>
      <c r="AA2922" s="13">
        <v>7.3400000000000007E-2</v>
      </c>
      <c r="AB2922" s="21">
        <f t="shared" si="855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57"/>
        <v>499582152.5142017</v>
      </c>
      <c r="AJ2922" s="19">
        <f t="shared" si="858"/>
        <v>59520528.679470733</v>
      </c>
      <c r="AK2922" s="20">
        <f t="shared" si="864"/>
        <v>0.11914062257814291</v>
      </c>
      <c r="AL2922" s="17"/>
      <c r="AM2922" s="17"/>
      <c r="AN2922" s="17"/>
      <c r="AO2922" s="17"/>
      <c r="AP2922" s="28" t="str">
        <f t="shared" si="865"/>
        <v>CancelCancel</v>
      </c>
      <c r="AQ2922" s="28" t="str">
        <f t="shared" si="866"/>
        <v>CancelCancelJPY</v>
      </c>
      <c r="AR2922" s="206" t="str">
        <f t="shared" si="867"/>
        <v>YAMAHA_Mounter</v>
      </c>
      <c r="AS2922" s="22" t="str">
        <f t="shared" si="868"/>
        <v/>
      </c>
      <c r="AT2922" s="24" t="str">
        <f t="shared" si="869"/>
        <v/>
      </c>
      <c r="AU2922" s="22" t="s">
        <v>3746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2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0"/>
        <v>13794500</v>
      </c>
      <c r="AA2923" s="13">
        <v>7.3400000000000007E-2</v>
      </c>
      <c r="AB2923" s="21">
        <f t="shared" si="855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57"/>
        <v>499582152.5142017</v>
      </c>
      <c r="AJ2923" s="19">
        <f t="shared" si="858"/>
        <v>59520528.679470733</v>
      </c>
      <c r="AK2923" s="20">
        <f t="shared" si="864"/>
        <v>0.11914062257814291</v>
      </c>
      <c r="AL2923" s="17"/>
      <c r="AM2923" s="17"/>
      <c r="AN2923" s="17"/>
      <c r="AO2923" s="17"/>
      <c r="AP2923" s="28" t="str">
        <f t="shared" si="865"/>
        <v>CancelCancel</v>
      </c>
      <c r="AQ2923" s="28" t="str">
        <f t="shared" si="866"/>
        <v>CancelCancelJPY</v>
      </c>
      <c r="AR2923" s="206" t="str">
        <f t="shared" si="867"/>
        <v>YAMAHA_Mounter</v>
      </c>
      <c r="AS2923" s="22" t="str">
        <f t="shared" si="868"/>
        <v/>
      </c>
      <c r="AT2923" s="24" t="str">
        <f t="shared" si="869"/>
        <v/>
      </c>
      <c r="AU2923" s="22" t="s">
        <v>3746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2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0"/>
        <v>10705500</v>
      </c>
      <c r="AA2924" s="13">
        <v>7.3999999999999996E-2</v>
      </c>
      <c r="AB2924" s="21">
        <f t="shared" si="855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57"/>
        <v>499582152.5142017</v>
      </c>
      <c r="AJ2924" s="19">
        <f t="shared" si="858"/>
        <v>59520528.679470733</v>
      </c>
      <c r="AK2924" s="20">
        <f t="shared" si="864"/>
        <v>0.11914062257814291</v>
      </c>
      <c r="AL2924" s="17"/>
      <c r="AM2924" s="17"/>
      <c r="AN2924" s="17"/>
      <c r="AO2924" s="17"/>
      <c r="AP2924" s="28" t="str">
        <f t="shared" si="865"/>
        <v>CancelCancel</v>
      </c>
      <c r="AQ2924" s="28" t="str">
        <f t="shared" si="866"/>
        <v>CancelCancelJPY</v>
      </c>
      <c r="AR2924" s="206" t="str">
        <f t="shared" si="867"/>
        <v>YAMAHA_Mounter</v>
      </c>
      <c r="AS2924" s="22" t="str">
        <f t="shared" si="868"/>
        <v/>
      </c>
      <c r="AT2924" s="24" t="str">
        <f t="shared" si="869"/>
        <v/>
      </c>
      <c r="AU2924" s="22" t="s">
        <v>3746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2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0"/>
        <v>13794500</v>
      </c>
      <c r="AA2925" s="13">
        <v>7.3999999999999996E-2</v>
      </c>
      <c r="AB2925" s="21">
        <f t="shared" si="855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57"/>
        <v>499582152.5142017</v>
      </c>
      <c r="AJ2925" s="19">
        <f t="shared" si="858"/>
        <v>59520528.679470733</v>
      </c>
      <c r="AK2925" s="20">
        <f t="shared" si="864"/>
        <v>0.11914062257814291</v>
      </c>
      <c r="AL2925" s="17"/>
      <c r="AM2925" s="17"/>
      <c r="AN2925" s="17"/>
      <c r="AO2925" s="17"/>
      <c r="AP2925" s="28" t="str">
        <f t="shared" si="865"/>
        <v>CancelCancel</v>
      </c>
      <c r="AQ2925" s="28" t="str">
        <f t="shared" si="866"/>
        <v>CancelCancelJPY</v>
      </c>
      <c r="AR2925" s="206" t="str">
        <f t="shared" si="867"/>
        <v>YAMAHA_Mounter</v>
      </c>
      <c r="AS2925" s="22" t="str">
        <f t="shared" si="868"/>
        <v/>
      </c>
      <c r="AT2925" s="24" t="str">
        <f t="shared" si="869"/>
        <v/>
      </c>
      <c r="AU2925" s="22" t="s">
        <v>3746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2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0"/>
        <v>1006000</v>
      </c>
      <c r="AA2926" s="13">
        <v>1.135</v>
      </c>
      <c r="AB2926" s="21">
        <f t="shared" si="855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57"/>
        <v>28011162.254106201</v>
      </c>
      <c r="AJ2926" s="19">
        <f t="shared" si="858"/>
        <v>3401347.1124888416</v>
      </c>
      <c r="AK2926" s="20">
        <f t="shared" si="864"/>
        <v>0.12142827497242578</v>
      </c>
      <c r="AL2926" s="17"/>
      <c r="AM2926" s="17"/>
      <c r="AN2926" s="17"/>
      <c r="AO2926" s="17"/>
      <c r="AP2926" s="28" t="str">
        <f t="shared" si="865"/>
        <v>202010</v>
      </c>
      <c r="AQ2926" s="28" t="str">
        <f t="shared" si="866"/>
        <v>202010RMB</v>
      </c>
      <c r="AR2926" s="206" t="str">
        <f t="shared" si="867"/>
        <v>YAMAHA_Mounter</v>
      </c>
      <c r="AS2926" s="22">
        <f t="shared" si="868"/>
        <v>2</v>
      </c>
      <c r="AT2926" s="24" t="str">
        <f t="shared" si="869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2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0"/>
        <v>14600000</v>
      </c>
      <c r="AA2927" s="22">
        <v>5.4199999999999998E-2</v>
      </c>
      <c r="AB2927" s="21">
        <f t="shared" si="855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57"/>
        <v>10271727.486725664</v>
      </c>
      <c r="AJ2927" s="27">
        <f t="shared" si="858"/>
        <v>1227228.7260761063</v>
      </c>
      <c r="AK2927" s="28">
        <f t="shared" si="864"/>
        <v>0.11947637120066472</v>
      </c>
      <c r="AL2927" s="24"/>
      <c r="AM2927" s="24"/>
      <c r="AN2927" s="24"/>
      <c r="AO2927" s="24"/>
      <c r="AP2927" s="28" t="str">
        <f t="shared" si="865"/>
        <v>202312</v>
      </c>
      <c r="AQ2927" s="28" t="str">
        <f t="shared" si="866"/>
        <v>202312JPY</v>
      </c>
      <c r="AR2927" s="206" t="str">
        <f t="shared" si="867"/>
        <v>YAMAHA_Mounter</v>
      </c>
      <c r="AS2927" s="22">
        <f t="shared" si="868"/>
        <v>0</v>
      </c>
      <c r="AT2927" s="24" t="str">
        <f t="shared" si="869"/>
        <v>0-3 months</v>
      </c>
      <c r="AU2927" s="22" t="s">
        <v>3745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2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4">IF(W2928="RMB","1.13", "1")</f>
        <v>1.13</v>
      </c>
      <c r="Z2928" s="18">
        <f t="shared" si="870"/>
        <v>1160000</v>
      </c>
      <c r="AA2928" s="13">
        <v>1.1399999999999999</v>
      </c>
      <c r="AB2928" s="21">
        <f t="shared" si="855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57"/>
        <v>30573205.452778768</v>
      </c>
      <c r="AJ2928" s="19">
        <f t="shared" si="858"/>
        <v>3790930.1683151261</v>
      </c>
      <c r="AK2928" s="20">
        <f t="shared" si="864"/>
        <v>0.12399518179964254</v>
      </c>
      <c r="AL2928" s="17"/>
      <c r="AM2928" s="17"/>
      <c r="AN2928" s="17"/>
      <c r="AO2928" s="17"/>
      <c r="AP2928" s="28" t="str">
        <f t="shared" si="865"/>
        <v>20234</v>
      </c>
      <c r="AQ2928" s="28" t="str">
        <f t="shared" si="866"/>
        <v>20234RMB</v>
      </c>
      <c r="AR2928" s="206" t="str">
        <f t="shared" si="867"/>
        <v>YAMAHA_Mounter</v>
      </c>
      <c r="AS2928" s="22">
        <f t="shared" si="868"/>
        <v>1</v>
      </c>
      <c r="AT2928" s="24" t="str">
        <f t="shared" si="869"/>
        <v>0-3 months</v>
      </c>
      <c r="AU2928" s="22" t="s">
        <v>3751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2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4"/>
        <v>1.13</v>
      </c>
      <c r="Z2929" s="18">
        <f t="shared" si="870"/>
        <v>600000</v>
      </c>
      <c r="AA2929" s="13">
        <v>1.1399999999999999</v>
      </c>
      <c r="AB2929" s="21">
        <f t="shared" si="855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57"/>
        <v>30573205.452778768</v>
      </c>
      <c r="AJ2929" s="19">
        <f t="shared" si="858"/>
        <v>3790930.1683151261</v>
      </c>
      <c r="AK2929" s="20">
        <f t="shared" si="864"/>
        <v>0.12399518179964254</v>
      </c>
      <c r="AL2929" s="17"/>
      <c r="AM2929" s="17"/>
      <c r="AN2929" s="17"/>
      <c r="AO2929" s="17"/>
      <c r="AP2929" s="28" t="str">
        <f t="shared" si="865"/>
        <v>20234</v>
      </c>
      <c r="AQ2929" s="28" t="str">
        <f t="shared" si="866"/>
        <v>20234RMB</v>
      </c>
      <c r="AR2929" s="206" t="str">
        <f t="shared" si="867"/>
        <v>YAMAHA_Mounter</v>
      </c>
      <c r="AS2929" s="22">
        <f t="shared" si="868"/>
        <v>1</v>
      </c>
      <c r="AT2929" s="24" t="str">
        <f t="shared" si="869"/>
        <v>0-3 months</v>
      </c>
      <c r="AU2929" s="22" t="s">
        <v>3751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2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4"/>
        <v>1</v>
      </c>
      <c r="Z2930" s="18">
        <f t="shared" si="870"/>
        <v>12500000</v>
      </c>
      <c r="AA2930" s="13">
        <v>5.3400000000000003E-2</v>
      </c>
      <c r="AB2930" s="21">
        <f t="shared" si="855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57"/>
        <v>5219988.5752212387</v>
      </c>
      <c r="AJ2930" s="19">
        <f t="shared" si="858"/>
        <v>631627.0013460177</v>
      </c>
      <c r="AK2930" s="20">
        <f t="shared" si="864"/>
        <v>0.12100160608478869</v>
      </c>
      <c r="AL2930" s="17"/>
      <c r="AM2930" s="17"/>
      <c r="AN2930" s="17"/>
      <c r="AO2930" s="17"/>
      <c r="AP2930" s="28" t="str">
        <f t="shared" si="865"/>
        <v>202310</v>
      </c>
      <c r="AQ2930" s="28" t="str">
        <f t="shared" si="866"/>
        <v>202310JPY</v>
      </c>
      <c r="AR2930" s="206" t="str">
        <f t="shared" si="867"/>
        <v>YAMAHA_Mounter</v>
      </c>
      <c r="AS2930" s="22">
        <f t="shared" si="868"/>
        <v>1</v>
      </c>
      <c r="AT2930" s="24" t="str">
        <f t="shared" si="869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2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4"/>
        <v>1</v>
      </c>
      <c r="Z2931" s="18">
        <f t="shared" si="870"/>
        <v>12450000</v>
      </c>
      <c r="AA2931" s="13">
        <v>5.4899999999999997E-2</v>
      </c>
      <c r="AB2931" s="21">
        <f t="shared" si="855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57"/>
        <v>499582152.5142017</v>
      </c>
      <c r="AJ2931" s="19">
        <f t="shared" si="858"/>
        <v>59520528.679470733</v>
      </c>
      <c r="AK2931" s="20">
        <f t="shared" si="864"/>
        <v>0.11914062257814291</v>
      </c>
      <c r="AL2931" s="17"/>
      <c r="AM2931" s="17"/>
      <c r="AN2931" s="17"/>
      <c r="AO2931" s="17"/>
      <c r="AP2931" s="28" t="str">
        <f t="shared" si="865"/>
        <v>CancelCancel</v>
      </c>
      <c r="AQ2931" s="28" t="str">
        <f t="shared" si="866"/>
        <v>CancelCancelJPY</v>
      </c>
      <c r="AR2931" s="206" t="str">
        <f t="shared" si="867"/>
        <v>YAMAHA_Mounter</v>
      </c>
      <c r="AS2931" s="22" t="str">
        <f t="shared" si="868"/>
        <v/>
      </c>
      <c r="AT2931" s="24" t="str">
        <f t="shared" si="869"/>
        <v/>
      </c>
      <c r="AU2931" s="22" t="s">
        <v>3745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2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4"/>
        <v>1</v>
      </c>
      <c r="Z2932" s="18">
        <f t="shared" si="870"/>
        <v>8170000</v>
      </c>
      <c r="AA2932" s="13">
        <v>5.3400000000000003E-2</v>
      </c>
      <c r="AB2932" s="21">
        <f t="shared" si="855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57"/>
        <v>5219988.5752212387</v>
      </c>
      <c r="AJ2932" s="19">
        <f t="shared" si="858"/>
        <v>631627.0013460177</v>
      </c>
      <c r="AK2932" s="20">
        <f t="shared" si="864"/>
        <v>0.12100160608478869</v>
      </c>
      <c r="AL2932" s="17"/>
      <c r="AM2932" s="17"/>
      <c r="AN2932" s="17"/>
      <c r="AO2932" s="17"/>
      <c r="AP2932" s="28" t="str">
        <f t="shared" si="865"/>
        <v>202310</v>
      </c>
      <c r="AQ2932" s="28" t="str">
        <f t="shared" si="866"/>
        <v>202310JPY</v>
      </c>
      <c r="AR2932" s="206" t="str">
        <f t="shared" si="867"/>
        <v>YAMAHA_Mounter</v>
      </c>
      <c r="AS2932" s="22">
        <f t="shared" si="868"/>
        <v>1</v>
      </c>
      <c r="AT2932" s="24" t="str">
        <f t="shared" si="869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2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4"/>
        <v>1</v>
      </c>
      <c r="Z2933" s="18">
        <f t="shared" si="870"/>
        <v>7800000</v>
      </c>
      <c r="AA2933" s="13">
        <v>5.4899999999999997E-2</v>
      </c>
      <c r="AB2933" s="21">
        <f t="shared" si="855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57"/>
        <v>499582152.5142017</v>
      </c>
      <c r="AJ2933" s="19">
        <f t="shared" si="858"/>
        <v>59520528.679470733</v>
      </c>
      <c r="AK2933" s="20">
        <f t="shared" si="864"/>
        <v>0.11914062257814291</v>
      </c>
      <c r="AL2933" s="17"/>
      <c r="AM2933" s="17"/>
      <c r="AN2933" s="17"/>
      <c r="AO2933" s="17"/>
      <c r="AP2933" s="28" t="str">
        <f t="shared" si="865"/>
        <v>CancelCancel</v>
      </c>
      <c r="AQ2933" s="28" t="str">
        <f t="shared" si="866"/>
        <v>CancelCancelJPY</v>
      </c>
      <c r="AR2933" s="206" t="str">
        <f t="shared" si="867"/>
        <v>YAMAHA_Mounter</v>
      </c>
      <c r="AS2933" s="22" t="str">
        <f t="shared" si="868"/>
        <v/>
      </c>
      <c r="AT2933" s="24" t="str">
        <f t="shared" si="869"/>
        <v/>
      </c>
      <c r="AU2933" s="22" t="s">
        <v>3745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2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0"/>
        <v>63000</v>
      </c>
      <c r="AA2934" s="13">
        <v>7.8</v>
      </c>
      <c r="AB2934" s="21">
        <f t="shared" si="855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57"/>
        <v>11730565.00042478</v>
      </c>
      <c r="AJ2934" s="19">
        <f t="shared" si="858"/>
        <v>1439625.5685810833</v>
      </c>
      <c r="AK2934" s="20">
        <f t="shared" si="864"/>
        <v>0.12272431622253084</v>
      </c>
      <c r="AL2934" s="17"/>
      <c r="AM2934" s="17"/>
      <c r="AN2934" s="17"/>
      <c r="AO2934" s="17"/>
      <c r="AP2934" s="28" t="str">
        <f t="shared" si="865"/>
        <v>202311</v>
      </c>
      <c r="AQ2934" s="28" t="str">
        <f t="shared" si="866"/>
        <v>202311USD</v>
      </c>
      <c r="AR2934" s="206" t="str">
        <f t="shared" si="867"/>
        <v>YAMAHA_Mounter</v>
      </c>
      <c r="AS2934" s="22">
        <f t="shared" si="868"/>
        <v>1</v>
      </c>
      <c r="AT2934" s="24" t="str">
        <f t="shared" si="869"/>
        <v>0-3 months</v>
      </c>
      <c r="AU2934" s="22" t="s">
        <v>3746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2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0"/>
        <v>94600</v>
      </c>
      <c r="AA2935" s="22">
        <v>7.8</v>
      </c>
      <c r="AB2935" s="21">
        <f t="shared" si="855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57"/>
        <v>21241742.157380536</v>
      </c>
      <c r="AJ2935" s="27">
        <f t="shared" si="858"/>
        <v>2987081.1613773629</v>
      </c>
      <c r="AK2935" s="28">
        <f t="shared" si="864"/>
        <v>0.14062317201884914</v>
      </c>
      <c r="AL2935" s="24"/>
      <c r="AM2935" s="24"/>
      <c r="AN2935" s="24"/>
      <c r="AO2935" s="24"/>
      <c r="AP2935" s="28" t="str">
        <f t="shared" si="865"/>
        <v>20243</v>
      </c>
      <c r="AQ2935" s="28" t="str">
        <f t="shared" si="866"/>
        <v>20243USD</v>
      </c>
      <c r="AR2935" s="206" t="str">
        <f t="shared" si="867"/>
        <v>YAMAHA_Mounter</v>
      </c>
      <c r="AS2935" s="22">
        <f t="shared" si="868"/>
        <v>1</v>
      </c>
      <c r="AT2935" s="24" t="str">
        <f t="shared" si="869"/>
        <v>0-3 months</v>
      </c>
      <c r="AU2935" s="22" t="s">
        <v>3752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2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0"/>
        <v>6800000</v>
      </c>
      <c r="AA2936" s="13">
        <v>7.2800000000000004E-2</v>
      </c>
      <c r="AB2936" s="21">
        <f t="shared" si="855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57"/>
        <v>63006605.696460173</v>
      </c>
      <c r="AJ2936" s="19">
        <f t="shared" si="858"/>
        <v>8897485.660753984</v>
      </c>
      <c r="AK2936" s="20">
        <f t="shared" si="864"/>
        <v>0.141215124388995</v>
      </c>
      <c r="AL2936" s="17"/>
      <c r="AM2936" s="17"/>
      <c r="AN2936" s="17"/>
      <c r="AO2936" s="17"/>
      <c r="AP2936" s="28" t="str">
        <f t="shared" si="865"/>
        <v>20215</v>
      </c>
      <c r="AQ2936" s="28" t="str">
        <f t="shared" si="866"/>
        <v>20215JPY</v>
      </c>
      <c r="AR2936" s="206" t="str">
        <f t="shared" si="867"/>
        <v>YAMAHA_Mounter</v>
      </c>
      <c r="AS2936" s="22">
        <f t="shared" si="868"/>
        <v>4</v>
      </c>
      <c r="AT2936" s="24" t="str">
        <f t="shared" si="869"/>
        <v>4-6 months</v>
      </c>
      <c r="AU2936" s="22" t="s">
        <v>3745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2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0"/>
        <v>7448000</v>
      </c>
      <c r="AA2937" s="13">
        <v>7.5700000000000003E-2</v>
      </c>
      <c r="AB2937" s="21">
        <f t="shared" si="855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57"/>
        <v>499582152.5142017</v>
      </c>
      <c r="AJ2937" s="19">
        <f t="shared" si="858"/>
        <v>59520528.679470733</v>
      </c>
      <c r="AK2937" s="20">
        <f t="shared" si="864"/>
        <v>0.11914062257814291</v>
      </c>
      <c r="AL2937" s="17"/>
      <c r="AM2937" s="17"/>
      <c r="AN2937" s="17"/>
      <c r="AO2937" s="17"/>
      <c r="AP2937" s="28" t="str">
        <f t="shared" si="865"/>
        <v>CancelCancel</v>
      </c>
      <c r="AQ2937" s="28" t="str">
        <f t="shared" si="866"/>
        <v>CancelCancelJPY</v>
      </c>
      <c r="AR2937" s="206" t="str">
        <f t="shared" si="867"/>
        <v>YAMAHA_Mounter</v>
      </c>
      <c r="AS2937" s="22" t="str">
        <f t="shared" si="868"/>
        <v/>
      </c>
      <c r="AT2937" s="24" t="str">
        <f t="shared" si="869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2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0"/>
        <v>7448000</v>
      </c>
      <c r="AA2938" s="13">
        <v>7.5700000000000003E-2</v>
      </c>
      <c r="AB2938" s="21">
        <f t="shared" si="855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57"/>
        <v>499582152.5142017</v>
      </c>
      <c r="AJ2938" s="19">
        <f t="shared" si="858"/>
        <v>59520528.679470733</v>
      </c>
      <c r="AK2938" s="20">
        <f t="shared" si="864"/>
        <v>0.11914062257814291</v>
      </c>
      <c r="AL2938" s="17"/>
      <c r="AM2938" s="17"/>
      <c r="AN2938" s="17"/>
      <c r="AO2938" s="17"/>
      <c r="AP2938" s="28" t="str">
        <f t="shared" si="865"/>
        <v>CancelCancel</v>
      </c>
      <c r="AQ2938" s="28" t="str">
        <f t="shared" si="866"/>
        <v>CancelCancelJPY</v>
      </c>
      <c r="AR2938" s="206" t="str">
        <f t="shared" si="867"/>
        <v>YAMAHA_Mounter</v>
      </c>
      <c r="AS2938" s="22" t="str">
        <f t="shared" si="868"/>
        <v/>
      </c>
      <c r="AT2938" s="24" t="str">
        <f t="shared" si="869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2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0"/>
        <v>11819760</v>
      </c>
      <c r="AA2939" s="13">
        <v>7.22E-2</v>
      </c>
      <c r="AB2939" s="21">
        <f t="shared" si="855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57"/>
        <v>26492741.106427077</v>
      </c>
      <c r="AJ2939" s="19">
        <f t="shared" si="858"/>
        <v>3348032.1325698122</v>
      </c>
      <c r="AK2939" s="20">
        <f t="shared" si="864"/>
        <v>0.12637545201985867</v>
      </c>
      <c r="AL2939" s="17"/>
      <c r="AM2939" s="17"/>
      <c r="AN2939" s="17"/>
      <c r="AO2939" s="17"/>
      <c r="AP2939" s="28" t="str">
        <f t="shared" si="865"/>
        <v>20189</v>
      </c>
      <c r="AQ2939" s="28" t="str">
        <f t="shared" si="866"/>
        <v>20189JPY</v>
      </c>
      <c r="AR2939" s="206" t="str">
        <f t="shared" si="867"/>
        <v>YAMAHA_Mounter</v>
      </c>
      <c r="AS2939" s="22">
        <f t="shared" si="868"/>
        <v>2</v>
      </c>
      <c r="AT2939" s="24" t="str">
        <f t="shared" si="869"/>
        <v>0-3 months</v>
      </c>
      <c r="AU2939" s="22" t="s">
        <v>3745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2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0"/>
        <v>1530000</v>
      </c>
      <c r="AA2940" s="13">
        <v>1.1100000000000001</v>
      </c>
      <c r="AB2940" s="21">
        <f t="shared" ref="AB2940:AB3003" si="875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57"/>
        <v>27318180.088495575</v>
      </c>
      <c r="AJ2940" s="19">
        <f t="shared" si="858"/>
        <v>3014099.212353982</v>
      </c>
      <c r="AK2940" s="20">
        <f t="shared" si="864"/>
        <v>0.11033308963444827</v>
      </c>
      <c r="AL2940" s="17"/>
      <c r="AM2940" s="17"/>
      <c r="AN2940" s="17"/>
      <c r="AO2940" s="17"/>
      <c r="AP2940" s="28" t="str">
        <f t="shared" si="865"/>
        <v>201912</v>
      </c>
      <c r="AQ2940" s="28" t="str">
        <f t="shared" si="866"/>
        <v>201912RMB</v>
      </c>
      <c r="AR2940" s="206" t="str">
        <f t="shared" si="867"/>
        <v>YAMAHA_Mounter</v>
      </c>
      <c r="AS2940" s="22">
        <f t="shared" si="868"/>
        <v>0</v>
      </c>
      <c r="AT2940" s="24" t="str">
        <f t="shared" si="869"/>
        <v>0-3 months</v>
      </c>
      <c r="AU2940" s="22" t="s">
        <v>3751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2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0"/>
        <v>630000</v>
      </c>
      <c r="AA2941" s="13">
        <v>1.135</v>
      </c>
      <c r="AB2941" s="21">
        <f t="shared" si="875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57"/>
        <v>34015877.71150443</v>
      </c>
      <c r="AJ2941" s="19">
        <f t="shared" si="858"/>
        <v>4446292.375441948</v>
      </c>
      <c r="AK2941" s="20">
        <f t="shared" si="864"/>
        <v>0.13071226364205143</v>
      </c>
      <c r="AL2941" s="17"/>
      <c r="AM2941" s="17"/>
      <c r="AN2941" s="17"/>
      <c r="AO2941" s="17"/>
      <c r="AP2941" s="28" t="str">
        <f t="shared" si="865"/>
        <v>20197</v>
      </c>
      <c r="AQ2941" s="28" t="str">
        <f t="shared" si="866"/>
        <v>20197RMB</v>
      </c>
      <c r="AR2941" s="206" t="str">
        <f t="shared" si="867"/>
        <v>YAMAHA_Mounter</v>
      </c>
      <c r="AS2941" s="22">
        <f t="shared" si="868"/>
        <v>1</v>
      </c>
      <c r="AT2941" s="24" t="str">
        <f t="shared" si="869"/>
        <v>0-3 months</v>
      </c>
      <c r="AU2941" s="22" t="s">
        <v>3744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2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0"/>
        <v>7175000</v>
      </c>
      <c r="AA2942" s="13">
        <v>7.5700000000000003E-2</v>
      </c>
      <c r="AB2942" s="21">
        <f t="shared" si="875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57"/>
        <v>37969334.083628319</v>
      </c>
      <c r="AJ2942" s="19">
        <f t="shared" si="858"/>
        <v>5097226.4551657084</v>
      </c>
      <c r="AK2942" s="20">
        <f t="shared" si="864"/>
        <v>0.13424587441904964</v>
      </c>
      <c r="AL2942" s="17"/>
      <c r="AM2942" s="17"/>
      <c r="AN2942" s="17"/>
      <c r="AO2942" s="17"/>
      <c r="AP2942" s="28" t="str">
        <f t="shared" si="865"/>
        <v>20208</v>
      </c>
      <c r="AQ2942" s="28" t="str">
        <f t="shared" si="866"/>
        <v>20208JPY</v>
      </c>
      <c r="AR2942" s="206" t="str">
        <f t="shared" si="867"/>
        <v>YAMAHA_Mounter</v>
      </c>
      <c r="AS2942" s="22">
        <f t="shared" si="868"/>
        <v>1</v>
      </c>
      <c r="AT2942" s="24" t="str">
        <f t="shared" si="869"/>
        <v>0-3 months</v>
      </c>
      <c r="AU2942" s="22" t="s">
        <v>3745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2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0"/>
        <v>7175000</v>
      </c>
      <c r="AA2943" s="13">
        <v>7.5700000000000003E-2</v>
      </c>
      <c r="AB2943" s="21">
        <f t="shared" si="875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57"/>
        <v>37969334.083628319</v>
      </c>
      <c r="AJ2943" s="19">
        <f t="shared" si="858"/>
        <v>5097226.4551657084</v>
      </c>
      <c r="AK2943" s="20">
        <f t="shared" si="864"/>
        <v>0.13424587441904964</v>
      </c>
      <c r="AL2943" s="17"/>
      <c r="AM2943" s="17"/>
      <c r="AN2943" s="17"/>
      <c r="AO2943" s="17"/>
      <c r="AP2943" s="28" t="str">
        <f t="shared" si="865"/>
        <v>20208</v>
      </c>
      <c r="AQ2943" s="28" t="str">
        <f t="shared" si="866"/>
        <v>20208JPY</v>
      </c>
      <c r="AR2943" s="206" t="str">
        <f t="shared" si="867"/>
        <v>YAMAHA_Mounter</v>
      </c>
      <c r="AS2943" s="22">
        <f t="shared" si="868"/>
        <v>1</v>
      </c>
      <c r="AT2943" s="24" t="str">
        <f t="shared" si="869"/>
        <v>0-3 months</v>
      </c>
      <c r="AU2943" s="22" t="s">
        <v>3745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2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6">IF(W2944="RMB","1.13", "1")</f>
        <v>1</v>
      </c>
      <c r="Z2944" s="18">
        <f t="shared" si="870"/>
        <v>6920000</v>
      </c>
      <c r="AA2944" s="13">
        <v>7.5700000000000003E-2</v>
      </c>
      <c r="AB2944" s="21">
        <f t="shared" si="875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57"/>
        <v>31097187.02948761</v>
      </c>
      <c r="AJ2944" s="19">
        <f t="shared" si="858"/>
        <v>3892353.6644401965</v>
      </c>
      <c r="AK2944" s="20">
        <f t="shared" si="864"/>
        <v>0.12516738767237401</v>
      </c>
      <c r="AL2944" s="17"/>
      <c r="AM2944" s="17"/>
      <c r="AN2944" s="17"/>
      <c r="AO2944" s="17"/>
      <c r="AP2944" s="28" t="str">
        <f t="shared" si="865"/>
        <v>20212</v>
      </c>
      <c r="AQ2944" s="28" t="str">
        <f t="shared" si="866"/>
        <v>20212JPY</v>
      </c>
      <c r="AR2944" s="206" t="str">
        <f t="shared" si="867"/>
        <v>YAMAHA_Mounter</v>
      </c>
      <c r="AS2944" s="22">
        <f t="shared" si="868"/>
        <v>1</v>
      </c>
      <c r="AT2944" s="24" t="str">
        <f t="shared" si="869"/>
        <v>0-3 months</v>
      </c>
      <c r="AU2944" s="22" t="s">
        <v>3745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2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6"/>
        <v>1</v>
      </c>
      <c r="Z2945" s="18">
        <f t="shared" si="870"/>
        <v>21900000</v>
      </c>
      <c r="AA2945" s="13">
        <v>7.0999999999999994E-2</v>
      </c>
      <c r="AB2945" s="21">
        <f t="shared" si="875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57"/>
        <v>15533177.71460177</v>
      </c>
      <c r="AJ2945" s="19">
        <f t="shared" si="858"/>
        <v>1819298.5437526547</v>
      </c>
      <c r="AK2945" s="20">
        <f t="shared" si="864"/>
        <v>0.11712339723265033</v>
      </c>
      <c r="AL2945" s="17"/>
      <c r="AM2945" s="17"/>
      <c r="AN2945" s="17"/>
      <c r="AO2945" s="17"/>
      <c r="AP2945" s="28" t="str">
        <f t="shared" si="865"/>
        <v>202110</v>
      </c>
      <c r="AQ2945" s="28" t="str">
        <f t="shared" si="866"/>
        <v>202110JPY</v>
      </c>
      <c r="AR2945" s="206" t="str">
        <f t="shared" si="867"/>
        <v>YAMAHA_Mounter</v>
      </c>
      <c r="AS2945" s="22">
        <f t="shared" si="868"/>
        <v>1</v>
      </c>
      <c r="AT2945" s="24" t="str">
        <f t="shared" si="869"/>
        <v>0-3 months</v>
      </c>
      <c r="AU2945" s="22" t="s">
        <v>3745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2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6"/>
        <v>1.13</v>
      </c>
      <c r="Z2946" s="18">
        <f t="shared" si="870"/>
        <v>826000</v>
      </c>
      <c r="AA2946" s="13">
        <v>1.1000000000000001</v>
      </c>
      <c r="AB2946" s="21">
        <f t="shared" si="875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77">IF(P2946="C66 SERVICE","",SUMIFS(AB:AB,F:F,F2946,G:G,G2946,E:E,E2946))</f>
        <v>22717528.991150443</v>
      </c>
      <c r="AJ2946" s="19">
        <f t="shared" ref="AJ2946:AJ3009" si="878">IF(P2946="C66 SERVICE","",SUMIFS(AC:AC,F:F,F2946,G:G,G2946,E:E,E2946))</f>
        <v>3947747.192555753</v>
      </c>
      <c r="AK2946" s="20">
        <f t="shared" si="864"/>
        <v>0.1737753782153679</v>
      </c>
      <c r="AL2946" s="17"/>
      <c r="AM2946" s="17"/>
      <c r="AN2946" s="17"/>
      <c r="AO2946" s="17"/>
      <c r="AP2946" s="28" t="str">
        <f t="shared" si="865"/>
        <v>202210</v>
      </c>
      <c r="AQ2946" s="28" t="str">
        <f t="shared" si="866"/>
        <v>202210RMB</v>
      </c>
      <c r="AR2946" s="206" t="str">
        <f t="shared" si="867"/>
        <v>YAMAHA_Mounter</v>
      </c>
      <c r="AS2946" s="22">
        <f t="shared" si="868"/>
        <v>0</v>
      </c>
      <c r="AT2946" s="24" t="str">
        <f t="shared" si="869"/>
        <v>0-3 months</v>
      </c>
      <c r="AU2946" s="22" t="s">
        <v>3751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2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6"/>
        <v>1.13</v>
      </c>
      <c r="Z2947" s="18">
        <f t="shared" si="870"/>
        <v>460000</v>
      </c>
      <c r="AA2947" s="13">
        <v>1.07</v>
      </c>
      <c r="AB2947" s="21">
        <f t="shared" si="875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77"/>
        <v>5219988.5752212387</v>
      </c>
      <c r="AJ2947" s="19">
        <f t="shared" si="878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6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  <c r="AU2947" s="22" t="s">
        <v>3751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2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6"/>
        <v>1.13</v>
      </c>
      <c r="Z2948" s="18">
        <f t="shared" si="870"/>
        <v>415000</v>
      </c>
      <c r="AA2948" s="13">
        <v>1.1299999999999999</v>
      </c>
      <c r="AB2948" s="21">
        <f t="shared" si="875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77"/>
        <v>33543315.897345133</v>
      </c>
      <c r="AJ2948" s="19">
        <f t="shared" si="878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6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  <c r="AU2948" s="22" t="s">
        <v>3751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2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6"/>
        <v>1.13</v>
      </c>
      <c r="Z2949" s="18">
        <f t="shared" si="870"/>
        <v>415000</v>
      </c>
      <c r="AA2949" s="13">
        <v>1.1299999999999999</v>
      </c>
      <c r="AB2949" s="21">
        <f t="shared" si="875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77"/>
        <v>33543315.897345133</v>
      </c>
      <c r="AJ2949" s="19">
        <f t="shared" si="878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6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  <c r="AU2949" s="22" t="s">
        <v>3751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2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6"/>
        <v>1.13</v>
      </c>
      <c r="Z2950" s="18">
        <f t="shared" si="870"/>
        <v>415000</v>
      </c>
      <c r="AA2950" s="13">
        <v>1.1299999999999999</v>
      </c>
      <c r="AB2950" s="21">
        <f t="shared" si="875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77"/>
        <v>33543315.897345133</v>
      </c>
      <c r="AJ2950" s="19">
        <f t="shared" si="878"/>
        <v>4706169.3252984071</v>
      </c>
      <c r="AK2950" s="20">
        <f t="shared" ref="AK2950:AK3013" si="884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5">IF(F2950="","",F2950&amp;G2950)</f>
        <v>20233</v>
      </c>
      <c r="AQ2950" s="28" t="str">
        <f t="shared" ref="AQ2950:AQ3013" si="886">IF(W2950="","",F2950&amp;G2950&amp;W2950)</f>
        <v>20233RMB</v>
      </c>
      <c r="AR2950" s="206" t="str">
        <f t="shared" ref="AR2950:AR3013" si="887">IFERROR(IF(AND(M2950="YAMAHA", R2950="C28"), "YAMAHA_Non_Mounter", IF(AND(M2950="YAMAHA", R2950="C49"), "YAMAHA_Mounter", M2950)),"")</f>
        <v>YAMAHA_Mounter</v>
      </c>
      <c r="AS2950" s="22">
        <f t="shared" ref="AS2950:AS3013" si="888">IFERROR(IF(OR(G2950="TBA", G2950=""), "", DATEDIF(DATE(B2950, C2950, 1), DATE(F2950, G2950, 1), "M")),"")</f>
        <v>1</v>
      </c>
      <c r="AT2950" s="24" t="str">
        <f t="shared" ref="AT2950:AT3013" si="889">IF(ISNUMBER(AS2950), IF(AS2950&gt;=0, IF(AS2950&lt;=3, "0-3 months", IF(AS2950&lt;=6, "4-6 months", "&gt; 6 months"))), "")</f>
        <v>0-3 months</v>
      </c>
      <c r="AU2950" s="22" t="s">
        <v>3751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2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0"/>
        <v>12200000</v>
      </c>
      <c r="AA2951" s="13">
        <v>5.3400000000000003E-2</v>
      </c>
      <c r="AB2951" s="21">
        <f t="shared" si="875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77"/>
        <v>11730565.00042478</v>
      </c>
      <c r="AJ2951" s="19">
        <f t="shared" si="878"/>
        <v>1439625.5685810833</v>
      </c>
      <c r="AK2951" s="20">
        <f t="shared" si="884"/>
        <v>0.12272431622253084</v>
      </c>
      <c r="AL2951" s="17"/>
      <c r="AM2951" s="17"/>
      <c r="AN2951" s="17"/>
      <c r="AO2951" s="17"/>
      <c r="AP2951" s="28" t="str">
        <f t="shared" si="885"/>
        <v>202311</v>
      </c>
      <c r="AQ2951" s="28" t="str">
        <f t="shared" si="886"/>
        <v>202311JPY</v>
      </c>
      <c r="AR2951" s="206" t="str">
        <f t="shared" si="887"/>
        <v>YAMAHA_Mounter</v>
      </c>
      <c r="AS2951" s="22">
        <f t="shared" si="888"/>
        <v>0</v>
      </c>
      <c r="AT2951" s="24" t="str">
        <f t="shared" si="889"/>
        <v>0-3 months</v>
      </c>
      <c r="AU2951" s="22" t="s">
        <v>3745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2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0"/>
        <v>7200000</v>
      </c>
      <c r="AA2952" s="13">
        <v>5.3400000000000003E-2</v>
      </c>
      <c r="AB2952" s="21">
        <f t="shared" si="875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77"/>
        <v>11730565.00042478</v>
      </c>
      <c r="AJ2952" s="19">
        <f t="shared" si="878"/>
        <v>1439625.5685810833</v>
      </c>
      <c r="AK2952" s="20">
        <f t="shared" si="884"/>
        <v>0.12272431622253084</v>
      </c>
      <c r="AL2952" s="17"/>
      <c r="AM2952" s="17"/>
      <c r="AN2952" s="17"/>
      <c r="AO2952" s="17"/>
      <c r="AP2952" s="28" t="str">
        <f t="shared" si="885"/>
        <v>202311</v>
      </c>
      <c r="AQ2952" s="28" t="str">
        <f t="shared" si="886"/>
        <v>202311JPY</v>
      </c>
      <c r="AR2952" s="206" t="str">
        <f t="shared" si="887"/>
        <v>YAMAHA_Mounter</v>
      </c>
      <c r="AS2952" s="22">
        <f t="shared" si="888"/>
        <v>0</v>
      </c>
      <c r="AT2952" s="24" t="str">
        <f t="shared" si="889"/>
        <v>0-3 months</v>
      </c>
      <c r="AU2952" s="22" t="s">
        <v>3745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2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0"/>
        <v>8160000</v>
      </c>
      <c r="AA2953" s="13">
        <v>5.3100000000000001E-2</v>
      </c>
      <c r="AB2953" s="21">
        <f t="shared" si="875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77"/>
        <v>21241742.157380536</v>
      </c>
      <c r="AJ2953" s="19">
        <f t="shared" si="878"/>
        <v>2987081.1613773629</v>
      </c>
      <c r="AK2953" s="20">
        <f t="shared" si="884"/>
        <v>0.14062317201884914</v>
      </c>
      <c r="AL2953" s="17"/>
      <c r="AM2953" s="17"/>
      <c r="AN2953" s="17"/>
      <c r="AO2953" s="17"/>
      <c r="AP2953" s="28" t="str">
        <f t="shared" si="885"/>
        <v>20243</v>
      </c>
      <c r="AQ2953" s="28" t="str">
        <f t="shared" si="886"/>
        <v>20243JPY</v>
      </c>
      <c r="AR2953" s="206" t="str">
        <f t="shared" si="887"/>
        <v>YAMAHA_Non_Mounter</v>
      </c>
      <c r="AS2953" s="22">
        <f t="shared" si="888"/>
        <v>4</v>
      </c>
      <c r="AT2953" s="24" t="str">
        <f t="shared" si="889"/>
        <v>4-6 months</v>
      </c>
      <c r="AU2953" s="22" t="s">
        <v>3745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2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0">IF(X2954="","",X2954*MAX(O2954,N2954))</f>
        <v>669000</v>
      </c>
      <c r="AA2954" s="22">
        <v>1.0900000000000001</v>
      </c>
      <c r="AB2954" s="21">
        <f t="shared" si="875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77"/>
        <v>21241742.157380536</v>
      </c>
      <c r="AJ2954" s="27">
        <f t="shared" si="878"/>
        <v>2987081.1613773629</v>
      </c>
      <c r="AK2954" s="28">
        <f t="shared" si="884"/>
        <v>0.14062317201884914</v>
      </c>
      <c r="AL2954" s="24"/>
      <c r="AM2954" s="24"/>
      <c r="AN2954" s="24"/>
      <c r="AO2954" s="24"/>
      <c r="AP2954" s="28" t="str">
        <f t="shared" si="885"/>
        <v>20243</v>
      </c>
      <c r="AQ2954" s="28" t="str">
        <f t="shared" si="886"/>
        <v>20243RMB</v>
      </c>
      <c r="AR2954" s="206" t="str">
        <f t="shared" si="887"/>
        <v>YAMAHA_Mounter</v>
      </c>
      <c r="AS2954" s="22">
        <f t="shared" si="888"/>
        <v>0</v>
      </c>
      <c r="AT2954" s="24" t="str">
        <f t="shared" si="889"/>
        <v>0-3 months</v>
      </c>
      <c r="AU2954" s="22" t="s">
        <v>3751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2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0"/>
        <v>669000</v>
      </c>
      <c r="AA2955" s="22">
        <v>1.0900000000000001</v>
      </c>
      <c r="AB2955" s="21">
        <f t="shared" si="875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77"/>
        <v>21241742.157380536</v>
      </c>
      <c r="AJ2955" s="27">
        <f t="shared" si="878"/>
        <v>2987081.1613773629</v>
      </c>
      <c r="AK2955" s="28">
        <f t="shared" si="884"/>
        <v>0.14062317201884914</v>
      </c>
      <c r="AL2955" s="24"/>
      <c r="AM2955" s="24"/>
      <c r="AN2955" s="24"/>
      <c r="AO2955" s="24"/>
      <c r="AP2955" s="28" t="str">
        <f t="shared" si="885"/>
        <v>20243</v>
      </c>
      <c r="AQ2955" s="28" t="str">
        <f t="shared" si="886"/>
        <v>20243RMB</v>
      </c>
      <c r="AR2955" s="206" t="str">
        <f t="shared" si="887"/>
        <v>YAMAHA_Mounter</v>
      </c>
      <c r="AS2955" s="22">
        <f t="shared" si="888"/>
        <v>0</v>
      </c>
      <c r="AT2955" s="24" t="str">
        <f t="shared" si="889"/>
        <v>0-3 months</v>
      </c>
      <c r="AU2955" s="22" t="s">
        <v>3751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2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0"/>
        <v>6500000</v>
      </c>
      <c r="AA2956" s="13">
        <v>7.4899999999999994E-2</v>
      </c>
      <c r="AB2956" s="21">
        <f t="shared" si="875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77"/>
        <v>499582152.5142017</v>
      </c>
      <c r="AJ2956" s="19">
        <f t="shared" si="878"/>
        <v>59520528.679470733</v>
      </c>
      <c r="AK2956" s="20">
        <f t="shared" si="884"/>
        <v>0.11914062257814291</v>
      </c>
      <c r="AL2956" s="17"/>
      <c r="AM2956" s="17"/>
      <c r="AN2956" s="17"/>
      <c r="AO2956" s="17"/>
      <c r="AP2956" s="28" t="str">
        <f t="shared" si="885"/>
        <v>CancelCancel</v>
      </c>
      <c r="AQ2956" s="28" t="str">
        <f t="shared" si="886"/>
        <v>CancelCancelJPY</v>
      </c>
      <c r="AR2956" s="206" t="str">
        <f t="shared" si="887"/>
        <v>YAMAHA_Mounter</v>
      </c>
      <c r="AS2956" s="22" t="str">
        <f t="shared" si="888"/>
        <v/>
      </c>
      <c r="AT2956" s="24" t="str">
        <f t="shared" si="889"/>
        <v/>
      </c>
      <c r="AU2956" s="22" t="s">
        <v>3745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2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0"/>
        <v>9000000</v>
      </c>
      <c r="AA2957" s="13">
        <v>7.0199999999999999E-2</v>
      </c>
      <c r="AB2957" s="21">
        <f t="shared" si="875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77"/>
        <v>10786543.370020689</v>
      </c>
      <c r="AJ2957" s="19">
        <f t="shared" si="878"/>
        <v>1330367.5841569281</v>
      </c>
      <c r="AK2957" s="20">
        <f t="shared" si="884"/>
        <v>0.123335858255987</v>
      </c>
      <c r="AL2957" s="17"/>
      <c r="AM2957" s="17"/>
      <c r="AN2957" s="17"/>
      <c r="AO2957" s="17"/>
      <c r="AP2957" s="28" t="str">
        <f t="shared" si="885"/>
        <v>201810</v>
      </c>
      <c r="AQ2957" s="28" t="str">
        <f t="shared" si="886"/>
        <v>201810JPY</v>
      </c>
      <c r="AR2957" s="206" t="str">
        <f t="shared" si="887"/>
        <v>YAMAHA_Mounter</v>
      </c>
      <c r="AS2957" s="22">
        <f t="shared" si="888"/>
        <v>0</v>
      </c>
      <c r="AT2957" s="24" t="str">
        <f t="shared" si="889"/>
        <v>0-3 months</v>
      </c>
      <c r="AU2957" s="22" t="s">
        <v>3746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2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0"/>
        <v>14000000</v>
      </c>
      <c r="AA2958" s="13">
        <v>7.0199999999999999E-2</v>
      </c>
      <c r="AB2958" s="21">
        <f t="shared" si="875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77"/>
        <v>10786543.370020689</v>
      </c>
      <c r="AJ2958" s="19">
        <f t="shared" si="878"/>
        <v>1330367.5841569281</v>
      </c>
      <c r="AK2958" s="20">
        <f t="shared" si="884"/>
        <v>0.123335858255987</v>
      </c>
      <c r="AL2958" s="17"/>
      <c r="AM2958" s="17"/>
      <c r="AN2958" s="17"/>
      <c r="AO2958" s="17"/>
      <c r="AP2958" s="28" t="str">
        <f t="shared" si="885"/>
        <v>201810</v>
      </c>
      <c r="AQ2958" s="28" t="str">
        <f t="shared" si="886"/>
        <v>201810JPY</v>
      </c>
      <c r="AR2958" s="206" t="str">
        <f t="shared" si="887"/>
        <v>YAMAHA_Mounter</v>
      </c>
      <c r="AS2958" s="22">
        <f t="shared" si="888"/>
        <v>0</v>
      </c>
      <c r="AT2958" s="24" t="str">
        <f t="shared" si="889"/>
        <v>0-3 months</v>
      </c>
      <c r="AU2958" s="22" t="s">
        <v>3746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2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0"/>
        <v>14000000</v>
      </c>
      <c r="AA2959" s="13">
        <v>7.0199999999999999E-2</v>
      </c>
      <c r="AB2959" s="21">
        <f t="shared" si="875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77"/>
        <v>10786543.370020689</v>
      </c>
      <c r="AJ2959" s="19">
        <f t="shared" si="878"/>
        <v>1330367.5841569281</v>
      </c>
      <c r="AK2959" s="20">
        <f t="shared" si="884"/>
        <v>0.123335858255987</v>
      </c>
      <c r="AL2959" s="17"/>
      <c r="AM2959" s="17"/>
      <c r="AN2959" s="17"/>
      <c r="AO2959" s="17"/>
      <c r="AP2959" s="28" t="str">
        <f t="shared" si="885"/>
        <v>201810</v>
      </c>
      <c r="AQ2959" s="28" t="str">
        <f t="shared" si="886"/>
        <v>201810JPY</v>
      </c>
      <c r="AR2959" s="206" t="str">
        <f t="shared" si="887"/>
        <v>YAMAHA_Mounter</v>
      </c>
      <c r="AS2959" s="22">
        <f t="shared" si="888"/>
        <v>0</v>
      </c>
      <c r="AT2959" s="24" t="str">
        <f t="shared" si="889"/>
        <v>0-3 months</v>
      </c>
      <c r="AU2959" s="22" t="s">
        <v>3746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2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0"/>
        <v>9000000</v>
      </c>
      <c r="AA2960" s="13">
        <v>7.17E-2</v>
      </c>
      <c r="AB2960" s="21">
        <f t="shared" si="875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77"/>
        <v>499582152.5142017</v>
      </c>
      <c r="AJ2960" s="19">
        <f t="shared" si="878"/>
        <v>59520528.679470733</v>
      </c>
      <c r="AK2960" s="20">
        <f t="shared" si="884"/>
        <v>0.11914062257814291</v>
      </c>
      <c r="AL2960" s="17"/>
      <c r="AM2960" s="17"/>
      <c r="AN2960" s="17"/>
      <c r="AO2960" s="17"/>
      <c r="AP2960" s="28" t="str">
        <f t="shared" si="885"/>
        <v>CancelCancel</v>
      </c>
      <c r="AQ2960" s="28" t="str">
        <f t="shared" si="886"/>
        <v>CancelCancelJPY</v>
      </c>
      <c r="AR2960" s="206" t="str">
        <f t="shared" si="887"/>
        <v>YAMAHA_Mounter</v>
      </c>
      <c r="AS2960" s="22" t="str">
        <f t="shared" si="888"/>
        <v/>
      </c>
      <c r="AT2960" s="24" t="str">
        <f t="shared" si="889"/>
        <v/>
      </c>
      <c r="AU2960" s="22" t="s">
        <v>3746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2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0"/>
        <v>9000000</v>
      </c>
      <c r="AA2961" s="13">
        <v>7.17E-2</v>
      </c>
      <c r="AB2961" s="21">
        <f t="shared" si="875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77"/>
        <v>499582152.5142017</v>
      </c>
      <c r="AJ2961" s="19">
        <f t="shared" si="878"/>
        <v>59520528.679470733</v>
      </c>
      <c r="AK2961" s="20">
        <f t="shared" si="884"/>
        <v>0.11914062257814291</v>
      </c>
      <c r="AL2961" s="17"/>
      <c r="AM2961" s="17"/>
      <c r="AN2961" s="17"/>
      <c r="AO2961" s="17"/>
      <c r="AP2961" s="28" t="str">
        <f t="shared" si="885"/>
        <v>CancelCancel</v>
      </c>
      <c r="AQ2961" s="28" t="str">
        <f t="shared" si="886"/>
        <v>CancelCancelJPY</v>
      </c>
      <c r="AR2961" s="206" t="str">
        <f t="shared" si="887"/>
        <v>YAMAHA_Mounter</v>
      </c>
      <c r="AS2961" s="22" t="str">
        <f t="shared" si="888"/>
        <v/>
      </c>
      <c r="AT2961" s="24" t="str">
        <f t="shared" si="889"/>
        <v/>
      </c>
      <c r="AU2961" s="22" t="s">
        <v>3746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2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0"/>
        <v>13275000</v>
      </c>
      <c r="AA2962" s="13">
        <v>7.1599999999999997E-2</v>
      </c>
      <c r="AB2962" s="21">
        <f t="shared" si="875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77"/>
        <v>499582152.5142017</v>
      </c>
      <c r="AJ2962" s="19">
        <f t="shared" si="878"/>
        <v>59520528.679470733</v>
      </c>
      <c r="AK2962" s="20">
        <f t="shared" si="884"/>
        <v>0.11914062257814291</v>
      </c>
      <c r="AL2962" s="17"/>
      <c r="AM2962" s="17"/>
      <c r="AN2962" s="17"/>
      <c r="AO2962" s="17"/>
      <c r="AP2962" s="28" t="str">
        <f t="shared" si="885"/>
        <v>CancelCancel</v>
      </c>
      <c r="AQ2962" s="28" t="str">
        <f t="shared" si="886"/>
        <v>CancelCancelJPY</v>
      </c>
      <c r="AR2962" s="206" t="str">
        <f t="shared" si="887"/>
        <v>YAMAHA_Mounter</v>
      </c>
      <c r="AS2962" s="22" t="str">
        <f t="shared" si="888"/>
        <v/>
      </c>
      <c r="AT2962" s="24" t="str">
        <f t="shared" si="889"/>
        <v/>
      </c>
      <c r="AU2962" s="22" t="s">
        <v>3746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2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0"/>
        <v>13275000</v>
      </c>
      <c r="AA2963" s="13">
        <v>7.17E-2</v>
      </c>
      <c r="AB2963" s="21">
        <f t="shared" si="875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77"/>
        <v>499582152.5142017</v>
      </c>
      <c r="AJ2963" s="19">
        <f t="shared" si="878"/>
        <v>59520528.679470733</v>
      </c>
      <c r="AK2963" s="20">
        <f t="shared" si="884"/>
        <v>0.11914062257814291</v>
      </c>
      <c r="AL2963" s="17"/>
      <c r="AM2963" s="17"/>
      <c r="AN2963" s="17"/>
      <c r="AO2963" s="17"/>
      <c r="AP2963" s="28" t="str">
        <f t="shared" si="885"/>
        <v>CancelCancel</v>
      </c>
      <c r="AQ2963" s="28" t="str">
        <f t="shared" si="886"/>
        <v>CancelCancelJPY</v>
      </c>
      <c r="AR2963" s="206" t="str">
        <f t="shared" si="887"/>
        <v>YAMAHA_Mounter</v>
      </c>
      <c r="AS2963" s="22" t="str">
        <f t="shared" si="888"/>
        <v/>
      </c>
      <c r="AT2963" s="24" t="str">
        <f t="shared" si="889"/>
        <v/>
      </c>
      <c r="AU2963" s="22" t="s">
        <v>3746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2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0"/>
        <v>14500000</v>
      </c>
      <c r="AA2964" s="13">
        <v>7.2999999999999995E-2</v>
      </c>
      <c r="AB2964" s="21">
        <f t="shared" si="875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77"/>
        <v>23168285.927433632</v>
      </c>
      <c r="AJ2964" s="19">
        <f t="shared" si="878"/>
        <v>2764878.916878053</v>
      </c>
      <c r="AK2964" s="20">
        <f t="shared" si="884"/>
        <v>0.11933895004309111</v>
      </c>
      <c r="AL2964" s="17"/>
      <c r="AM2964" s="17"/>
      <c r="AN2964" s="17"/>
      <c r="AO2964" s="17"/>
      <c r="AP2964" s="28" t="str">
        <f t="shared" si="885"/>
        <v>20203</v>
      </c>
      <c r="AQ2964" s="28" t="str">
        <f t="shared" si="886"/>
        <v>20203JPY</v>
      </c>
      <c r="AR2964" s="206" t="str">
        <f t="shared" si="887"/>
        <v>YAMAHA_Mounter</v>
      </c>
      <c r="AS2964" s="22">
        <f t="shared" si="888"/>
        <v>2</v>
      </c>
      <c r="AT2964" s="24" t="str">
        <f t="shared" si="889"/>
        <v>0-3 months</v>
      </c>
      <c r="AU2964" s="22" t="s">
        <v>3745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2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0"/>
        <v>13900000</v>
      </c>
      <c r="AA2965" s="13">
        <v>5.5599999999999997E-2</v>
      </c>
      <c r="AB2965" s="21">
        <f t="shared" si="875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77"/>
        <v>499582152.5142017</v>
      </c>
      <c r="AJ2965" s="19">
        <f t="shared" si="878"/>
        <v>59520528.679470733</v>
      </c>
      <c r="AK2965" s="20">
        <f t="shared" si="884"/>
        <v>0.11914062257814291</v>
      </c>
      <c r="AL2965" s="17"/>
      <c r="AM2965" s="17"/>
      <c r="AN2965" s="17"/>
      <c r="AO2965" s="17"/>
      <c r="AP2965" s="28" t="str">
        <f t="shared" si="885"/>
        <v>CancelCancel</v>
      </c>
      <c r="AQ2965" s="28" t="str">
        <f t="shared" si="886"/>
        <v>CancelCancelJPY</v>
      </c>
      <c r="AR2965" s="206" t="str">
        <f t="shared" si="887"/>
        <v>YAMAHA_Mounter</v>
      </c>
      <c r="AS2965" s="22" t="str">
        <f t="shared" si="888"/>
        <v/>
      </c>
      <c r="AT2965" s="24" t="str">
        <f t="shared" si="889"/>
        <v/>
      </c>
      <c r="AU2965" s="22" t="s">
        <v>3746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1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0"/>
        <v>13900000</v>
      </c>
      <c r="AA2966" s="13">
        <v>5.5599999999999997E-2</v>
      </c>
      <c r="AB2966" s="21">
        <f t="shared" si="875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77"/>
        <v>499582152.5142017</v>
      </c>
      <c r="AJ2966" s="19">
        <f t="shared" si="878"/>
        <v>59520528.679470733</v>
      </c>
      <c r="AK2966" s="20">
        <f t="shared" si="884"/>
        <v>0.11914062257814291</v>
      </c>
      <c r="AL2966" s="17"/>
      <c r="AM2966" s="17"/>
      <c r="AN2966" s="17"/>
      <c r="AO2966" s="17"/>
      <c r="AP2966" s="28" t="str">
        <f t="shared" si="885"/>
        <v>CancelCancel</v>
      </c>
      <c r="AQ2966" s="28" t="str">
        <f t="shared" si="886"/>
        <v>CancelCancelJPY</v>
      </c>
      <c r="AR2966" s="206" t="str">
        <f t="shared" si="887"/>
        <v>YAMAHA_Mounter</v>
      </c>
      <c r="AS2966" s="22" t="str">
        <f t="shared" si="888"/>
        <v/>
      </c>
      <c r="AT2966" s="24" t="str">
        <f t="shared" si="889"/>
        <v/>
      </c>
      <c r="AU2966" s="22" t="s">
        <v>3746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1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0"/>
        <v>12300000</v>
      </c>
      <c r="AA2967" s="13">
        <v>4.9500000000000002E-2</v>
      </c>
      <c r="AB2967" s="21">
        <f t="shared" si="875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77"/>
        <v>499582152.5142017</v>
      </c>
      <c r="AJ2967" s="27">
        <f t="shared" si="878"/>
        <v>59520528.679470733</v>
      </c>
      <c r="AK2967" s="28">
        <f t="shared" si="884"/>
        <v>0.11914062257814291</v>
      </c>
      <c r="AL2967" s="24"/>
      <c r="AM2967" s="24"/>
      <c r="AN2967" s="24"/>
      <c r="AO2967" s="24"/>
      <c r="AP2967" s="28" t="str">
        <f t="shared" si="885"/>
        <v>CancelCancel</v>
      </c>
      <c r="AQ2967" s="28" t="str">
        <f t="shared" si="886"/>
        <v>CancelCancelJPY</v>
      </c>
      <c r="AR2967" s="206" t="str">
        <f t="shared" si="887"/>
        <v>YAMAHA_Mounter</v>
      </c>
      <c r="AS2967" s="22" t="str">
        <f t="shared" si="888"/>
        <v/>
      </c>
      <c r="AT2967" s="24" t="str">
        <f t="shared" si="889"/>
        <v/>
      </c>
      <c r="AU2967" s="22" t="s">
        <v>3745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1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0"/>
        <v>13610000</v>
      </c>
      <c r="AA2968" s="13">
        <v>7.3999999999999996E-2</v>
      </c>
      <c r="AB2968" s="21">
        <f t="shared" si="875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77"/>
        <v>34015877.71150443</v>
      </c>
      <c r="AJ2968" s="19">
        <f t="shared" si="878"/>
        <v>4446292.375441948</v>
      </c>
      <c r="AK2968" s="20">
        <f t="shared" si="884"/>
        <v>0.13071226364205143</v>
      </c>
      <c r="AL2968" s="17"/>
      <c r="AM2968" s="17"/>
      <c r="AN2968" s="17"/>
      <c r="AO2968" s="17"/>
      <c r="AP2968" s="28" t="str">
        <f t="shared" si="885"/>
        <v>20197</v>
      </c>
      <c r="AQ2968" s="28" t="str">
        <f t="shared" si="886"/>
        <v>20197JPY</v>
      </c>
      <c r="AR2968" s="206" t="str">
        <f t="shared" si="887"/>
        <v>YAMAHA_Mounter</v>
      </c>
      <c r="AS2968" s="22">
        <f t="shared" si="888"/>
        <v>3</v>
      </c>
      <c r="AT2968" s="24" t="str">
        <f t="shared" si="889"/>
        <v>0-3 months</v>
      </c>
      <c r="AU2968" s="22" t="s">
        <v>3746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1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0"/>
        <v>9340000</v>
      </c>
      <c r="AA2969" s="13">
        <v>7.17E-2</v>
      </c>
      <c r="AB2969" s="21">
        <f t="shared" si="875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77"/>
        <v>14593788.187146019</v>
      </c>
      <c r="AJ2969" s="19">
        <f t="shared" si="878"/>
        <v>1868647.7321969916</v>
      </c>
      <c r="AK2969" s="20">
        <f t="shared" si="884"/>
        <v>0.12804404916900652</v>
      </c>
      <c r="AL2969" s="17"/>
      <c r="AM2969" s="17"/>
      <c r="AN2969" s="17"/>
      <c r="AO2969" s="17"/>
      <c r="AP2969" s="28" t="str">
        <f t="shared" si="885"/>
        <v>20195</v>
      </c>
      <c r="AQ2969" s="28" t="str">
        <f t="shared" si="886"/>
        <v>20195JPY</v>
      </c>
      <c r="AR2969" s="206" t="str">
        <f t="shared" si="887"/>
        <v>YAMAHA_Mounter</v>
      </c>
      <c r="AS2969" s="22">
        <f t="shared" si="888"/>
        <v>1</v>
      </c>
      <c r="AT2969" s="24" t="str">
        <f t="shared" si="889"/>
        <v>0-3 months</v>
      </c>
      <c r="AU2969" s="22" t="s">
        <v>3746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1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0"/>
        <v>13707000</v>
      </c>
      <c r="AA2970" s="13">
        <v>7.17E-2</v>
      </c>
      <c r="AB2970" s="21">
        <f t="shared" si="875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77"/>
        <v>14593788.187146019</v>
      </c>
      <c r="AJ2970" s="19">
        <f t="shared" si="878"/>
        <v>1868647.7321969916</v>
      </c>
      <c r="AK2970" s="20">
        <f t="shared" si="884"/>
        <v>0.12804404916900652</v>
      </c>
      <c r="AL2970" s="17"/>
      <c r="AM2970" s="17"/>
      <c r="AN2970" s="17"/>
      <c r="AO2970" s="17"/>
      <c r="AP2970" s="28" t="str">
        <f t="shared" si="885"/>
        <v>20195</v>
      </c>
      <c r="AQ2970" s="28" t="str">
        <f t="shared" si="886"/>
        <v>20195JPY</v>
      </c>
      <c r="AR2970" s="206" t="str">
        <f t="shared" si="887"/>
        <v>YAMAHA_Mounter</v>
      </c>
      <c r="AS2970" s="22">
        <f t="shared" si="888"/>
        <v>2</v>
      </c>
      <c r="AT2970" s="24" t="str">
        <f t="shared" si="889"/>
        <v>0-3 months</v>
      </c>
      <c r="AU2970" s="22" t="s">
        <v>3746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1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0"/>
        <v>300000</v>
      </c>
      <c r="AA2971" s="13">
        <v>1.135</v>
      </c>
      <c r="AB2971" s="21">
        <f t="shared" si="875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77"/>
        <v>31296887.037898075</v>
      </c>
      <c r="AJ2971" s="19">
        <f t="shared" si="878"/>
        <v>3588873.9502021763</v>
      </c>
      <c r="AK2971" s="20">
        <f t="shared" si="884"/>
        <v>0.11467191436184473</v>
      </c>
      <c r="AL2971" s="17"/>
      <c r="AM2971" s="17"/>
      <c r="AN2971" s="17"/>
      <c r="AO2971" s="17"/>
      <c r="AP2971" s="28" t="str">
        <f t="shared" si="885"/>
        <v>20196</v>
      </c>
      <c r="AQ2971" s="28" t="str">
        <f t="shared" si="886"/>
        <v>20196RMB</v>
      </c>
      <c r="AR2971" s="206" t="str">
        <f t="shared" si="887"/>
        <v>HELLER</v>
      </c>
      <c r="AS2971" s="22">
        <f t="shared" si="888"/>
        <v>2</v>
      </c>
      <c r="AT2971" s="24" t="str">
        <f t="shared" si="889"/>
        <v>0-3 months</v>
      </c>
      <c r="AU2971" s="22" t="s">
        <v>3744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1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0"/>
        <v>13707000</v>
      </c>
      <c r="AA2972" s="13">
        <v>7.3999999999999996E-2</v>
      </c>
      <c r="AB2972" s="21">
        <f t="shared" si="875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77"/>
        <v>34015877.71150443</v>
      </c>
      <c r="AJ2972" s="19">
        <f t="shared" si="878"/>
        <v>4446292.375441948</v>
      </c>
      <c r="AK2972" s="20">
        <f t="shared" si="884"/>
        <v>0.13071226364205143</v>
      </c>
      <c r="AL2972" s="17"/>
      <c r="AM2972" s="17"/>
      <c r="AN2972" s="17"/>
      <c r="AO2972" s="17"/>
      <c r="AP2972" s="28" t="str">
        <f t="shared" si="885"/>
        <v>20197</v>
      </c>
      <c r="AQ2972" s="28" t="str">
        <f t="shared" si="886"/>
        <v>20197JPY</v>
      </c>
      <c r="AR2972" s="206" t="str">
        <f t="shared" si="887"/>
        <v>YAMAHA_Mounter</v>
      </c>
      <c r="AS2972" s="22">
        <f t="shared" si="888"/>
        <v>4</v>
      </c>
      <c r="AT2972" s="24" t="str">
        <f t="shared" si="889"/>
        <v>4-6 months</v>
      </c>
      <c r="AU2972" s="22" t="s">
        <v>3746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1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2">IF(W2973="RMB","1.13", "1")</f>
        <v>1</v>
      </c>
      <c r="Z2973" s="18">
        <f t="shared" si="890"/>
        <v>16665000</v>
      </c>
      <c r="AA2973" s="13">
        <v>6.54E-2</v>
      </c>
      <c r="AB2973" s="21">
        <f t="shared" si="875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77"/>
        <v>46600814.041769907</v>
      </c>
      <c r="AJ2973" s="19">
        <f t="shared" si="878"/>
        <v>5956366.3435927071</v>
      </c>
      <c r="AK2973" s="20">
        <f t="shared" si="884"/>
        <v>0.1278167874546958</v>
      </c>
      <c r="AL2973" s="17"/>
      <c r="AM2973" s="17"/>
      <c r="AN2973" s="17"/>
      <c r="AO2973" s="17"/>
      <c r="AP2973" s="28" t="str">
        <f t="shared" si="885"/>
        <v>20224</v>
      </c>
      <c r="AQ2973" s="28" t="str">
        <f t="shared" si="886"/>
        <v>20224JPY</v>
      </c>
      <c r="AR2973" s="206" t="str">
        <f t="shared" si="887"/>
        <v>SIGMA</v>
      </c>
      <c r="AS2973" s="22">
        <f t="shared" si="888"/>
        <v>3</v>
      </c>
      <c r="AT2973" s="24" t="str">
        <f t="shared" si="889"/>
        <v>0-3 months</v>
      </c>
      <c r="AU2973" s="22" t="s">
        <v>3745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1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2"/>
        <v>1</v>
      </c>
      <c r="Z2974" s="18">
        <f t="shared" si="890"/>
        <v>16665000</v>
      </c>
      <c r="AA2974" s="13">
        <v>6.54E-2</v>
      </c>
      <c r="AB2974" s="21">
        <f t="shared" si="875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77"/>
        <v>46600814.041769907</v>
      </c>
      <c r="AJ2974" s="19">
        <f t="shared" si="878"/>
        <v>5956366.3435927071</v>
      </c>
      <c r="AK2974" s="20">
        <f t="shared" si="884"/>
        <v>0.1278167874546958</v>
      </c>
      <c r="AL2974" s="17"/>
      <c r="AM2974" s="17"/>
      <c r="AN2974" s="17"/>
      <c r="AO2974" s="17"/>
      <c r="AP2974" s="28" t="str">
        <f t="shared" si="885"/>
        <v>20224</v>
      </c>
      <c r="AQ2974" s="28" t="str">
        <f t="shared" si="886"/>
        <v>20224JPY</v>
      </c>
      <c r="AR2974" s="206" t="str">
        <f t="shared" si="887"/>
        <v>SIGMA</v>
      </c>
      <c r="AS2974" s="22">
        <f t="shared" si="888"/>
        <v>3</v>
      </c>
      <c r="AT2974" s="24" t="str">
        <f t="shared" si="889"/>
        <v>0-3 months</v>
      </c>
      <c r="AU2974" s="22" t="s">
        <v>3745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1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2"/>
        <v>1</v>
      </c>
      <c r="Z2975" s="18">
        <f t="shared" si="890"/>
        <v>16665000</v>
      </c>
      <c r="AA2975" s="13">
        <v>6.54E-2</v>
      </c>
      <c r="AB2975" s="21">
        <f t="shared" si="875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77"/>
        <v>46600814.041769907</v>
      </c>
      <c r="AJ2975" s="19">
        <f t="shared" si="878"/>
        <v>5956366.3435927071</v>
      </c>
      <c r="AK2975" s="20">
        <f t="shared" si="884"/>
        <v>0.1278167874546958</v>
      </c>
      <c r="AL2975" s="17"/>
      <c r="AM2975" s="17"/>
      <c r="AN2975" s="17"/>
      <c r="AO2975" s="17"/>
      <c r="AP2975" s="28" t="str">
        <f t="shared" si="885"/>
        <v>20224</v>
      </c>
      <c r="AQ2975" s="28" t="str">
        <f t="shared" si="886"/>
        <v>20224JPY</v>
      </c>
      <c r="AR2975" s="206" t="str">
        <f t="shared" si="887"/>
        <v>SIGMA</v>
      </c>
      <c r="AS2975" s="22">
        <f t="shared" si="888"/>
        <v>3</v>
      </c>
      <c r="AT2975" s="24" t="str">
        <f t="shared" si="889"/>
        <v>0-3 months</v>
      </c>
      <c r="AU2975" s="22" t="s">
        <v>3745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1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2"/>
        <v>1</v>
      </c>
      <c r="Z2976" s="18">
        <f t="shared" si="890"/>
        <v>16665000</v>
      </c>
      <c r="AA2976" s="13">
        <v>6.54E-2</v>
      </c>
      <c r="AB2976" s="21">
        <f t="shared" si="875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77"/>
        <v>46600814.041769907</v>
      </c>
      <c r="AJ2976" s="19">
        <f t="shared" si="878"/>
        <v>5956366.3435927071</v>
      </c>
      <c r="AK2976" s="20">
        <f t="shared" si="884"/>
        <v>0.1278167874546958</v>
      </c>
      <c r="AL2976" s="17"/>
      <c r="AM2976" s="17"/>
      <c r="AN2976" s="17"/>
      <c r="AO2976" s="17"/>
      <c r="AP2976" s="28" t="str">
        <f t="shared" si="885"/>
        <v>20224</v>
      </c>
      <c r="AQ2976" s="28" t="str">
        <f t="shared" si="886"/>
        <v>20224JPY</v>
      </c>
      <c r="AR2976" s="206" t="str">
        <f t="shared" si="887"/>
        <v>SIGMA</v>
      </c>
      <c r="AS2976" s="22">
        <f t="shared" si="888"/>
        <v>3</v>
      </c>
      <c r="AT2976" s="24" t="str">
        <f t="shared" si="889"/>
        <v>0-3 months</v>
      </c>
      <c r="AU2976" s="22" t="s">
        <v>3745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1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2"/>
        <v>1</v>
      </c>
      <c r="Z2977" s="18">
        <f t="shared" si="890"/>
        <v>16665000</v>
      </c>
      <c r="AA2977" s="13">
        <v>6.54E-2</v>
      </c>
      <c r="AB2977" s="21">
        <f t="shared" si="875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77"/>
        <v>46600814.041769907</v>
      </c>
      <c r="AJ2977" s="19">
        <f t="shared" si="878"/>
        <v>5956366.3435927071</v>
      </c>
      <c r="AK2977" s="20">
        <f t="shared" si="884"/>
        <v>0.1278167874546958</v>
      </c>
      <c r="AL2977" s="17"/>
      <c r="AM2977" s="17"/>
      <c r="AN2977" s="17"/>
      <c r="AO2977" s="17"/>
      <c r="AP2977" s="28" t="str">
        <f t="shared" si="885"/>
        <v>20224</v>
      </c>
      <c r="AQ2977" s="28" t="str">
        <f t="shared" si="886"/>
        <v>20224JPY</v>
      </c>
      <c r="AR2977" s="206" t="str">
        <f t="shared" si="887"/>
        <v>SIGMA</v>
      </c>
      <c r="AS2977" s="22">
        <f t="shared" si="888"/>
        <v>3</v>
      </c>
      <c r="AT2977" s="24" t="str">
        <f t="shared" si="889"/>
        <v>0-3 months</v>
      </c>
      <c r="AU2977" s="22" t="s">
        <v>3745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1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2"/>
        <v>1</v>
      </c>
      <c r="Z2978" s="18">
        <f t="shared" si="890"/>
        <v>16665000</v>
      </c>
      <c r="AA2978" s="13">
        <v>6.54E-2</v>
      </c>
      <c r="AB2978" s="21">
        <f t="shared" si="875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77"/>
        <v>46600814.041769907</v>
      </c>
      <c r="AJ2978" s="19">
        <f t="shared" si="878"/>
        <v>5956366.3435927071</v>
      </c>
      <c r="AK2978" s="20">
        <f t="shared" si="884"/>
        <v>0.1278167874546958</v>
      </c>
      <c r="AL2978" s="17"/>
      <c r="AM2978" s="17"/>
      <c r="AN2978" s="17"/>
      <c r="AO2978" s="17"/>
      <c r="AP2978" s="28" t="str">
        <f t="shared" si="885"/>
        <v>20224</v>
      </c>
      <c r="AQ2978" s="28" t="str">
        <f t="shared" si="886"/>
        <v>20224JPY</v>
      </c>
      <c r="AR2978" s="206" t="str">
        <f t="shared" si="887"/>
        <v>SIGMA</v>
      </c>
      <c r="AS2978" s="22">
        <f t="shared" si="888"/>
        <v>3</v>
      </c>
      <c r="AT2978" s="24" t="str">
        <f t="shared" si="889"/>
        <v>0-3 months</v>
      </c>
      <c r="AU2978" s="22" t="s">
        <v>3745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1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2"/>
        <v>1.13</v>
      </c>
      <c r="Z2979" s="18">
        <f t="shared" si="890"/>
        <v>487000</v>
      </c>
      <c r="AA2979" s="13">
        <v>1.1299999999999999</v>
      </c>
      <c r="AB2979" s="21">
        <f t="shared" si="875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77"/>
        <v>33543315.897345133</v>
      </c>
      <c r="AJ2979" s="19">
        <f t="shared" si="878"/>
        <v>4706169.3252984071</v>
      </c>
      <c r="AK2979" s="20">
        <f t="shared" si="884"/>
        <v>0.14030125523967318</v>
      </c>
      <c r="AL2979" s="17"/>
      <c r="AM2979" s="17"/>
      <c r="AN2979" s="17"/>
      <c r="AO2979" s="17"/>
      <c r="AP2979" s="28" t="str">
        <f t="shared" si="885"/>
        <v>20233</v>
      </c>
      <c r="AQ2979" s="28" t="str">
        <f t="shared" si="886"/>
        <v>20233RMB</v>
      </c>
      <c r="AR2979" s="206" t="str">
        <f t="shared" si="887"/>
        <v>YAMAHA_Mounter</v>
      </c>
      <c r="AS2979" s="22">
        <f t="shared" si="888"/>
        <v>1</v>
      </c>
      <c r="AT2979" s="24" t="str">
        <f t="shared" si="889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1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2"/>
        <v>1.13</v>
      </c>
      <c r="Z2980" s="18">
        <f t="shared" si="890"/>
        <v>575000</v>
      </c>
      <c r="AA2980" s="13">
        <v>1.175</v>
      </c>
      <c r="AB2980" s="21">
        <f t="shared" si="875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77"/>
        <v>35682787.057522126</v>
      </c>
      <c r="AJ2980" s="19">
        <f t="shared" si="878"/>
        <v>5833368.3789623892</v>
      </c>
      <c r="AK2980" s="20">
        <f t="shared" si="884"/>
        <v>0.16347849649632912</v>
      </c>
      <c r="AL2980" s="17"/>
      <c r="AM2980" s="17"/>
      <c r="AN2980" s="17"/>
      <c r="AO2980" s="17"/>
      <c r="AP2980" s="28" t="str">
        <f t="shared" si="885"/>
        <v>20226</v>
      </c>
      <c r="AQ2980" s="28" t="str">
        <f t="shared" si="886"/>
        <v>20226RMB</v>
      </c>
      <c r="AR2980" s="206" t="str">
        <f t="shared" si="887"/>
        <v>YAMAHA_Mounter</v>
      </c>
      <c r="AS2980" s="22">
        <f t="shared" si="888"/>
        <v>6</v>
      </c>
      <c r="AT2980" s="24" t="str">
        <f t="shared" si="889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1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0"/>
        <v>9163000</v>
      </c>
      <c r="AA2981" s="13">
        <v>7.4300000000000005E-2</v>
      </c>
      <c r="AB2981" s="21">
        <f t="shared" si="875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77"/>
        <v>28065694.408805311</v>
      </c>
      <c r="AJ2981" s="19">
        <f t="shared" si="878"/>
        <v>4157433.2906989697</v>
      </c>
      <c r="AK2981" s="20">
        <f t="shared" si="884"/>
        <v>0.14813220831602228</v>
      </c>
      <c r="AL2981" s="17"/>
      <c r="AM2981" s="17"/>
      <c r="AN2981" s="17"/>
      <c r="AO2981" s="17"/>
      <c r="AP2981" s="28" t="str">
        <f t="shared" si="885"/>
        <v>20205</v>
      </c>
      <c r="AQ2981" s="28" t="str">
        <f t="shared" si="886"/>
        <v>20205JPY</v>
      </c>
      <c r="AR2981" s="206" t="str">
        <f t="shared" si="887"/>
        <v>YAMAHA_Mounter</v>
      </c>
      <c r="AS2981" s="22">
        <f t="shared" si="888"/>
        <v>4</v>
      </c>
      <c r="AT2981" s="24" t="str">
        <f t="shared" si="889"/>
        <v>4-6 months</v>
      </c>
      <c r="AU2981" s="22" t="s">
        <v>3745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1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0"/>
        <v>9163000</v>
      </c>
      <c r="AA2982" s="13">
        <v>7.3400000000000007E-2</v>
      </c>
      <c r="AB2982" s="21">
        <f t="shared" si="875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77"/>
        <v>499582152.5142017</v>
      </c>
      <c r="AJ2982" s="19">
        <f t="shared" si="878"/>
        <v>59520528.679470733</v>
      </c>
      <c r="AK2982" s="20">
        <f t="shared" si="884"/>
        <v>0.11914062257814291</v>
      </c>
      <c r="AL2982" s="17"/>
      <c r="AM2982" s="17"/>
      <c r="AN2982" s="17"/>
      <c r="AO2982" s="17"/>
      <c r="AP2982" s="28" t="str">
        <f t="shared" si="885"/>
        <v>CancelCANCEL</v>
      </c>
      <c r="AQ2982" s="28" t="str">
        <f t="shared" si="886"/>
        <v>CancelCANCELJPY</v>
      </c>
      <c r="AR2982" s="206" t="str">
        <f t="shared" si="887"/>
        <v>YAMAHA_Mounter</v>
      </c>
      <c r="AS2982" s="22" t="str">
        <f t="shared" si="888"/>
        <v/>
      </c>
      <c r="AT2982" s="24" t="str">
        <f t="shared" si="889"/>
        <v/>
      </c>
      <c r="AU2982" s="22" t="s">
        <v>3745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1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0"/>
        <v>12663000</v>
      </c>
      <c r="AA2983" s="13">
        <v>7.3400000000000007E-2</v>
      </c>
      <c r="AB2983" s="21">
        <f t="shared" si="875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77"/>
        <v>35384300.169380538</v>
      </c>
      <c r="AJ2983" s="19">
        <f t="shared" si="878"/>
        <v>5044538.8896988509</v>
      </c>
      <c r="AK2983" s="20">
        <f t="shared" si="884"/>
        <v>0.14256432557804533</v>
      </c>
      <c r="AL2983" s="17"/>
      <c r="AM2983" s="17"/>
      <c r="AN2983" s="17"/>
      <c r="AO2983" s="17"/>
      <c r="AP2983" s="28" t="str">
        <f t="shared" si="885"/>
        <v>20207</v>
      </c>
      <c r="AQ2983" s="28" t="str">
        <f t="shared" si="886"/>
        <v>20207JPY</v>
      </c>
      <c r="AR2983" s="206" t="str">
        <f t="shared" si="887"/>
        <v>YAMAHA_Mounter</v>
      </c>
      <c r="AS2983" s="22">
        <f t="shared" si="888"/>
        <v>0</v>
      </c>
      <c r="AT2983" s="24" t="str">
        <f t="shared" si="889"/>
        <v>0-3 months</v>
      </c>
      <c r="AU2983" s="22" t="s">
        <v>3745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1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0"/>
        <v>366000</v>
      </c>
      <c r="AA2984" s="13">
        <v>1.1499999999999999</v>
      </c>
      <c r="AB2984" s="21">
        <f t="shared" si="875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77"/>
        <v>16455710.386637932</v>
      </c>
      <c r="AJ2984" s="19">
        <f t="shared" si="878"/>
        <v>2150644.6466930606</v>
      </c>
      <c r="AK2984" s="20">
        <f t="shared" si="884"/>
        <v>0.13069290818580451</v>
      </c>
      <c r="AL2984" s="17"/>
      <c r="AM2984" s="17"/>
      <c r="AN2984" s="17"/>
      <c r="AO2984" s="17"/>
      <c r="AP2984" s="28" t="str">
        <f t="shared" si="885"/>
        <v>20192</v>
      </c>
      <c r="AQ2984" s="28" t="str">
        <f t="shared" si="886"/>
        <v>20192RMB</v>
      </c>
      <c r="AR2984" s="206" t="str">
        <f t="shared" si="887"/>
        <v>PEMTRON</v>
      </c>
      <c r="AS2984" s="22">
        <f t="shared" si="888"/>
        <v>1</v>
      </c>
      <c r="AT2984" s="24" t="str">
        <f t="shared" si="889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1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0"/>
        <v>10460000</v>
      </c>
      <c r="AA2985" s="13">
        <v>7.0199999999999999E-2</v>
      </c>
      <c r="AB2985" s="21">
        <f t="shared" si="875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77"/>
        <v>499582152.5142017</v>
      </c>
      <c r="AJ2985" s="19">
        <f t="shared" si="878"/>
        <v>59520528.679470733</v>
      </c>
      <c r="AK2985" s="20">
        <f t="shared" si="884"/>
        <v>0.11914062257814291</v>
      </c>
      <c r="AL2985" s="17"/>
      <c r="AM2985" s="17"/>
      <c r="AN2985" s="17"/>
      <c r="AO2985" s="17"/>
      <c r="AP2985" s="28" t="str">
        <f t="shared" si="885"/>
        <v>CancelCancel</v>
      </c>
      <c r="AQ2985" s="28" t="str">
        <f t="shared" si="886"/>
        <v>CancelCancelJPY</v>
      </c>
      <c r="AR2985" s="206" t="str">
        <f t="shared" si="887"/>
        <v>YAMAHA_Mounter</v>
      </c>
      <c r="AS2985" s="22" t="str">
        <f t="shared" si="888"/>
        <v/>
      </c>
      <c r="AT2985" s="24" t="str">
        <f t="shared" si="889"/>
        <v/>
      </c>
      <c r="AU2985" s="22" t="s">
        <v>3745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1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0"/>
        <v>10460000</v>
      </c>
      <c r="AA2986" s="13">
        <v>7.2099999999999997E-2</v>
      </c>
      <c r="AB2986" s="21">
        <f t="shared" si="875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77"/>
        <v>499582152.5142017</v>
      </c>
      <c r="AJ2986" s="19">
        <f t="shared" si="878"/>
        <v>59520528.679470733</v>
      </c>
      <c r="AK2986" s="20">
        <f t="shared" si="884"/>
        <v>0.11914062257814291</v>
      </c>
      <c r="AL2986" s="17"/>
      <c r="AM2986" s="17"/>
      <c r="AN2986" s="17"/>
      <c r="AO2986" s="17"/>
      <c r="AP2986" s="28" t="str">
        <f t="shared" si="885"/>
        <v>CancelCancel</v>
      </c>
      <c r="AQ2986" s="28" t="str">
        <f t="shared" si="886"/>
        <v>CancelCancelJPY</v>
      </c>
      <c r="AR2986" s="206" t="str">
        <f t="shared" si="887"/>
        <v>YAMAHA_Mounter</v>
      </c>
      <c r="AS2986" s="22" t="str">
        <f t="shared" si="888"/>
        <v/>
      </c>
      <c r="AT2986" s="24" t="str">
        <f t="shared" si="889"/>
        <v/>
      </c>
      <c r="AU2986" s="22" t="s">
        <v>3745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1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0"/>
        <v>14700000</v>
      </c>
      <c r="AA2987" s="13">
        <v>7.2999999999999995E-2</v>
      </c>
      <c r="AB2987" s="21">
        <f t="shared" si="875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77"/>
        <v>23168285.927433632</v>
      </c>
      <c r="AJ2987" s="19">
        <f t="shared" si="878"/>
        <v>2764878.916878053</v>
      </c>
      <c r="AK2987" s="20">
        <f t="shared" si="884"/>
        <v>0.11933895004309111</v>
      </c>
      <c r="AL2987" s="17"/>
      <c r="AM2987" s="17"/>
      <c r="AN2987" s="17"/>
      <c r="AO2987" s="17"/>
      <c r="AP2987" s="28" t="str">
        <f t="shared" si="885"/>
        <v>20203</v>
      </c>
      <c r="AQ2987" s="28" t="str">
        <f t="shared" si="886"/>
        <v>20203JPY</v>
      </c>
      <c r="AR2987" s="206" t="str">
        <f t="shared" si="887"/>
        <v>YAMAHA_Mounter</v>
      </c>
      <c r="AS2987" s="22">
        <f t="shared" si="888"/>
        <v>3</v>
      </c>
      <c r="AT2987" s="24" t="str">
        <f t="shared" si="889"/>
        <v>0-3 months</v>
      </c>
      <c r="AU2987" s="22" t="s">
        <v>3745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1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3">IF(W2988="RMB","1.13", "1")</f>
        <v>1</v>
      </c>
      <c r="Z2988" s="18">
        <f t="shared" si="890"/>
        <v>12600000</v>
      </c>
      <c r="AA2988" s="13">
        <v>7.6799999999999993E-2</v>
      </c>
      <c r="AB2988" s="21">
        <f t="shared" si="875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77"/>
        <v>45803245.025628321</v>
      </c>
      <c r="AJ2988" s="19">
        <f t="shared" si="878"/>
        <v>5664636.2584379362</v>
      </c>
      <c r="AK2988" s="20">
        <f t="shared" si="884"/>
        <v>0.12367325186825515</v>
      </c>
      <c r="AL2988" s="17"/>
      <c r="AM2988" s="17"/>
      <c r="AN2988" s="17"/>
      <c r="AO2988" s="17"/>
      <c r="AP2988" s="28" t="str">
        <f t="shared" si="885"/>
        <v>20211</v>
      </c>
      <c r="AQ2988" s="28" t="str">
        <f t="shared" si="886"/>
        <v>20211JPY</v>
      </c>
      <c r="AR2988" s="206" t="str">
        <f t="shared" si="887"/>
        <v>YAMAHA_Mounter</v>
      </c>
      <c r="AS2988" s="22">
        <f t="shared" si="888"/>
        <v>2</v>
      </c>
      <c r="AT2988" s="24" t="str">
        <f t="shared" si="889"/>
        <v>0-3 months</v>
      </c>
      <c r="AU2988" s="22" t="s">
        <v>3745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1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3"/>
        <v>1</v>
      </c>
      <c r="Z2989" s="18">
        <f t="shared" si="890"/>
        <v>9000000</v>
      </c>
      <c r="AA2989" s="13">
        <v>7.6799999999999993E-2</v>
      </c>
      <c r="AB2989" s="21">
        <f t="shared" si="875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77"/>
        <v>45803245.025628321</v>
      </c>
      <c r="AJ2989" s="19">
        <f t="shared" si="878"/>
        <v>5664636.2584379362</v>
      </c>
      <c r="AK2989" s="20">
        <f t="shared" si="884"/>
        <v>0.12367325186825515</v>
      </c>
      <c r="AL2989" s="17"/>
      <c r="AM2989" s="17"/>
      <c r="AN2989" s="17"/>
      <c r="AO2989" s="17"/>
      <c r="AP2989" s="28" t="str">
        <f t="shared" si="885"/>
        <v>20211</v>
      </c>
      <c r="AQ2989" s="28" t="str">
        <f t="shared" si="886"/>
        <v>20211JPY</v>
      </c>
      <c r="AR2989" s="206" t="str">
        <f t="shared" si="887"/>
        <v>YAMAHA_Mounter</v>
      </c>
      <c r="AS2989" s="22">
        <f t="shared" si="888"/>
        <v>2</v>
      </c>
      <c r="AT2989" s="24" t="str">
        <f t="shared" si="889"/>
        <v>0-3 months</v>
      </c>
      <c r="AU2989" s="22" t="s">
        <v>3745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1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3"/>
        <v>1</v>
      </c>
      <c r="Z2990" s="18">
        <f t="shared" si="890"/>
        <v>12800000</v>
      </c>
      <c r="AA2990" s="13">
        <v>7.4499999999999997E-2</v>
      </c>
      <c r="AB2990" s="21">
        <f t="shared" si="875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77"/>
        <v>57778307.282035396</v>
      </c>
      <c r="AJ2990" s="19">
        <f t="shared" si="878"/>
        <v>7259860.7225420559</v>
      </c>
      <c r="AK2990" s="20">
        <f t="shared" si="884"/>
        <v>0.12565028406083667</v>
      </c>
      <c r="AL2990" s="17"/>
      <c r="AM2990" s="17"/>
      <c r="AN2990" s="17"/>
      <c r="AO2990" s="17"/>
      <c r="AP2990" s="28" t="str">
        <f t="shared" si="885"/>
        <v>20213</v>
      </c>
      <c r="AQ2990" s="28" t="str">
        <f t="shared" si="886"/>
        <v>20213JPY</v>
      </c>
      <c r="AR2990" s="206" t="str">
        <f t="shared" si="887"/>
        <v>YAMAHA_Mounter</v>
      </c>
      <c r="AS2990" s="22">
        <f t="shared" si="888"/>
        <v>4</v>
      </c>
      <c r="AT2990" s="24" t="str">
        <f t="shared" si="889"/>
        <v>4-6 months</v>
      </c>
      <c r="AU2990" s="22" t="s">
        <v>3745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1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3"/>
        <v>1</v>
      </c>
      <c r="Z2991" s="18">
        <f t="shared" si="890"/>
        <v>12800000</v>
      </c>
      <c r="AA2991" s="13">
        <v>7.4499999999999997E-2</v>
      </c>
      <c r="AB2991" s="21">
        <f t="shared" si="875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77"/>
        <v>57778307.282035396</v>
      </c>
      <c r="AJ2991" s="19">
        <f t="shared" si="878"/>
        <v>7259860.7225420559</v>
      </c>
      <c r="AK2991" s="20">
        <f t="shared" si="884"/>
        <v>0.12565028406083667</v>
      </c>
      <c r="AL2991" s="17"/>
      <c r="AM2991" s="17"/>
      <c r="AN2991" s="17"/>
      <c r="AO2991" s="17"/>
      <c r="AP2991" s="28" t="str">
        <f t="shared" si="885"/>
        <v>20213</v>
      </c>
      <c r="AQ2991" s="28" t="str">
        <f t="shared" si="886"/>
        <v>20213JPY</v>
      </c>
      <c r="AR2991" s="206" t="str">
        <f t="shared" si="887"/>
        <v>YAMAHA_Mounter</v>
      </c>
      <c r="AS2991" s="22">
        <f t="shared" si="888"/>
        <v>4</v>
      </c>
      <c r="AT2991" s="24" t="str">
        <f t="shared" si="889"/>
        <v>4-6 months</v>
      </c>
      <c r="AU2991" s="22" t="s">
        <v>3745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1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3"/>
        <v>1</v>
      </c>
      <c r="Z2992" s="18">
        <f t="shared" si="890"/>
        <v>9000000</v>
      </c>
      <c r="AA2992" s="13">
        <v>7.4499999999999997E-2</v>
      </c>
      <c r="AB2992" s="21">
        <f t="shared" si="875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77"/>
        <v>57778307.282035396</v>
      </c>
      <c r="AJ2992" s="19">
        <f t="shared" si="878"/>
        <v>7259860.7225420559</v>
      </c>
      <c r="AK2992" s="20">
        <f t="shared" si="884"/>
        <v>0.12565028406083667</v>
      </c>
      <c r="AL2992" s="17"/>
      <c r="AM2992" s="17"/>
      <c r="AN2992" s="17"/>
      <c r="AO2992" s="17"/>
      <c r="AP2992" s="28" t="str">
        <f t="shared" si="885"/>
        <v>20213</v>
      </c>
      <c r="AQ2992" s="28" t="str">
        <f t="shared" si="886"/>
        <v>20213JPY</v>
      </c>
      <c r="AR2992" s="206" t="str">
        <f t="shared" si="887"/>
        <v>YAMAHA_Mounter</v>
      </c>
      <c r="AS2992" s="22">
        <f t="shared" si="888"/>
        <v>4</v>
      </c>
      <c r="AT2992" s="24" t="str">
        <f t="shared" si="889"/>
        <v>4-6 months</v>
      </c>
      <c r="AU2992" s="22" t="s">
        <v>3745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1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3"/>
        <v>1</v>
      </c>
      <c r="Z2993" s="18">
        <f t="shared" si="890"/>
        <v>11560000</v>
      </c>
      <c r="AA2993" s="13">
        <v>7.0999999999999994E-2</v>
      </c>
      <c r="AB2993" s="21">
        <f t="shared" si="875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77"/>
        <v>15533177.71460177</v>
      </c>
      <c r="AJ2993" s="19">
        <f t="shared" si="878"/>
        <v>1819298.5437526547</v>
      </c>
      <c r="AK2993" s="20">
        <f t="shared" si="884"/>
        <v>0.11712339723265033</v>
      </c>
      <c r="AL2993" s="17"/>
      <c r="AM2993" s="17"/>
      <c r="AN2993" s="17"/>
      <c r="AO2993" s="17"/>
      <c r="AP2993" s="28" t="str">
        <f t="shared" si="885"/>
        <v>202110</v>
      </c>
      <c r="AQ2993" s="28" t="str">
        <f t="shared" si="886"/>
        <v>202110JPY</v>
      </c>
      <c r="AR2993" s="206" t="str">
        <f t="shared" si="887"/>
        <v>YAMAHA_Mounter</v>
      </c>
      <c r="AS2993" s="22">
        <f t="shared" si="888"/>
        <v>3</v>
      </c>
      <c r="AT2993" s="24" t="str">
        <f t="shared" si="889"/>
        <v>0-3 months</v>
      </c>
      <c r="AU2993" s="22" t="s">
        <v>3745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1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3"/>
        <v>1</v>
      </c>
      <c r="Z2994" s="18">
        <f t="shared" si="890"/>
        <v>11560000</v>
      </c>
      <c r="AA2994" s="13">
        <v>7.0000000000000007E-2</v>
      </c>
      <c r="AB2994" s="21">
        <f t="shared" si="875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77"/>
        <v>29500529.005044252</v>
      </c>
      <c r="AJ2994" s="19">
        <f t="shared" si="878"/>
        <v>3253064.846231177</v>
      </c>
      <c r="AK2994" s="20">
        <f t="shared" si="884"/>
        <v>0.11027140718984871</v>
      </c>
      <c r="AL2994" s="17"/>
      <c r="AM2994" s="17"/>
      <c r="AN2994" s="17"/>
      <c r="AO2994" s="17"/>
      <c r="AP2994" s="28" t="str">
        <f t="shared" si="885"/>
        <v>202111</v>
      </c>
      <c r="AQ2994" s="28" t="str">
        <f t="shared" si="886"/>
        <v>202111JPY</v>
      </c>
      <c r="AR2994" s="206" t="str">
        <f t="shared" si="887"/>
        <v>YAMAHA_Mounter</v>
      </c>
      <c r="AS2994" s="22">
        <f t="shared" si="888"/>
        <v>4</v>
      </c>
      <c r="AT2994" s="24" t="str">
        <f t="shared" si="889"/>
        <v>4-6 months</v>
      </c>
      <c r="AU2994" s="22" t="s">
        <v>3745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1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3"/>
        <v>1</v>
      </c>
      <c r="Z2995" s="18">
        <f t="shared" si="890"/>
        <v>11560000</v>
      </c>
      <c r="AA2995" s="13">
        <v>7.0000000000000007E-2</v>
      </c>
      <c r="AB2995" s="21">
        <f t="shared" si="875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77"/>
        <v>29500529.005044252</v>
      </c>
      <c r="AJ2995" s="19">
        <f t="shared" si="878"/>
        <v>3253064.846231177</v>
      </c>
      <c r="AK2995" s="20">
        <f t="shared" si="884"/>
        <v>0.11027140718984871</v>
      </c>
      <c r="AL2995" s="17"/>
      <c r="AM2995" s="17"/>
      <c r="AN2995" s="17"/>
      <c r="AO2995" s="17"/>
      <c r="AP2995" s="28" t="str">
        <f t="shared" si="885"/>
        <v>202111</v>
      </c>
      <c r="AQ2995" s="28" t="str">
        <f t="shared" si="886"/>
        <v>202111JPY</v>
      </c>
      <c r="AR2995" s="206" t="str">
        <f t="shared" si="887"/>
        <v>YAMAHA_Mounter</v>
      </c>
      <c r="AS2995" s="22">
        <f t="shared" si="888"/>
        <v>4</v>
      </c>
      <c r="AT2995" s="24" t="str">
        <f t="shared" si="889"/>
        <v>4-6 months</v>
      </c>
      <c r="AU2995" s="22" t="s">
        <v>3745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1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3"/>
        <v>1</v>
      </c>
      <c r="Z2996" s="18">
        <f t="shared" si="890"/>
        <v>13300000</v>
      </c>
      <c r="AA2996" s="13">
        <v>7.4499999999999997E-2</v>
      </c>
      <c r="AB2996" s="21">
        <f t="shared" si="875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77"/>
        <v>57778307.282035396</v>
      </c>
      <c r="AJ2996" s="19">
        <f t="shared" si="878"/>
        <v>7259860.7225420559</v>
      </c>
      <c r="AK2996" s="20">
        <f t="shared" si="884"/>
        <v>0.12565028406083667</v>
      </c>
      <c r="AL2996" s="17"/>
      <c r="AM2996" s="17"/>
      <c r="AN2996" s="17"/>
      <c r="AO2996" s="17" t="s">
        <v>1576</v>
      </c>
      <c r="AP2996" s="28" t="str">
        <f t="shared" si="885"/>
        <v>20213</v>
      </c>
      <c r="AQ2996" s="28" t="str">
        <f t="shared" si="886"/>
        <v>20213JPY</v>
      </c>
      <c r="AR2996" s="206" t="str">
        <f t="shared" si="887"/>
        <v>YAMAHA_Mounter</v>
      </c>
      <c r="AS2996" s="22">
        <f t="shared" si="888"/>
        <v>3</v>
      </c>
      <c r="AT2996" s="24" t="str">
        <f t="shared" si="889"/>
        <v>0-3 months</v>
      </c>
      <c r="AU2996" s="22" t="s">
        <v>3745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1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3"/>
        <v>1.13</v>
      </c>
      <c r="Z2997" s="18">
        <f t="shared" si="890"/>
        <v>900000</v>
      </c>
      <c r="AA2997" s="13">
        <v>1.163</v>
      </c>
      <c r="AB2997" s="21">
        <f t="shared" si="875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77"/>
        <v>35073581.838938057</v>
      </c>
      <c r="AJ2997" s="19">
        <f t="shared" si="878"/>
        <v>5034113.9728989396</v>
      </c>
      <c r="AK2997" s="20">
        <f t="shared" si="884"/>
        <v>0.14353007902118958</v>
      </c>
      <c r="AL2997" s="17"/>
      <c r="AM2997" s="17"/>
      <c r="AN2997" s="17"/>
      <c r="AO2997" s="17"/>
      <c r="AP2997" s="28" t="str">
        <f t="shared" si="885"/>
        <v>20228</v>
      </c>
      <c r="AQ2997" s="28" t="str">
        <f t="shared" si="886"/>
        <v>20228RMB</v>
      </c>
      <c r="AR2997" s="206" t="str">
        <f t="shared" si="887"/>
        <v>YAMAHA_Mounter</v>
      </c>
      <c r="AS2997" s="22">
        <f t="shared" si="888"/>
        <v>1</v>
      </c>
      <c r="AT2997" s="24" t="str">
        <f t="shared" si="889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1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3"/>
        <v>1.13</v>
      </c>
      <c r="Z2998" s="18">
        <f t="shared" si="890"/>
        <v>790000</v>
      </c>
      <c r="AA2998" s="13">
        <v>1.163</v>
      </c>
      <c r="AB2998" s="21">
        <f t="shared" si="875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77"/>
        <v>35073581.838938057</v>
      </c>
      <c r="AJ2998" s="19">
        <f t="shared" si="878"/>
        <v>5034113.9728989396</v>
      </c>
      <c r="AK2998" s="20">
        <f t="shared" si="884"/>
        <v>0.14353007902118958</v>
      </c>
      <c r="AL2998" s="17"/>
      <c r="AM2998" s="17"/>
      <c r="AN2998" s="17"/>
      <c r="AO2998" s="17"/>
      <c r="AP2998" s="28" t="str">
        <f t="shared" si="885"/>
        <v>20228</v>
      </c>
      <c r="AQ2998" s="28" t="str">
        <f t="shared" si="886"/>
        <v>20228RMB</v>
      </c>
      <c r="AR2998" s="206" t="str">
        <f t="shared" si="887"/>
        <v>YAMAHA_Mounter</v>
      </c>
      <c r="AS2998" s="22">
        <f t="shared" si="888"/>
        <v>1</v>
      </c>
      <c r="AT2998" s="24" t="str">
        <f t="shared" si="889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1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3"/>
        <v>1.13</v>
      </c>
      <c r="Z2999" s="18">
        <f t="shared" si="890"/>
        <v>790000</v>
      </c>
      <c r="AA2999" s="13">
        <v>1.163</v>
      </c>
      <c r="AB2999" s="21">
        <f t="shared" si="875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77"/>
        <v>35073581.838938057</v>
      </c>
      <c r="AJ2999" s="19">
        <f t="shared" si="878"/>
        <v>5034113.9728989396</v>
      </c>
      <c r="AK2999" s="20">
        <f t="shared" si="884"/>
        <v>0.14353007902118958</v>
      </c>
      <c r="AL2999" s="17"/>
      <c r="AM2999" s="17"/>
      <c r="AN2999" s="17"/>
      <c r="AO2999" s="17"/>
      <c r="AP2999" s="28" t="str">
        <f t="shared" si="885"/>
        <v>20228</v>
      </c>
      <c r="AQ2999" s="28" t="str">
        <f t="shared" si="886"/>
        <v>20228RMB</v>
      </c>
      <c r="AR2999" s="206" t="str">
        <f t="shared" si="887"/>
        <v>YAMAHA_Mounter</v>
      </c>
      <c r="AS2999" s="22">
        <f t="shared" si="888"/>
        <v>1</v>
      </c>
      <c r="AT2999" s="24" t="str">
        <f t="shared" si="889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1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0"/>
        <v>12300000</v>
      </c>
      <c r="AA3000" s="13">
        <v>4.9500000000000002E-2</v>
      </c>
      <c r="AB3000" s="21">
        <f t="shared" si="875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77"/>
        <v>499582152.5142017</v>
      </c>
      <c r="AJ3000" s="27">
        <f t="shared" si="878"/>
        <v>59520528.679470733</v>
      </c>
      <c r="AK3000" s="28">
        <f t="shared" si="884"/>
        <v>0.11914062257814291</v>
      </c>
      <c r="AL3000" s="24"/>
      <c r="AM3000" s="24"/>
      <c r="AN3000" s="24"/>
      <c r="AO3000" s="24"/>
      <c r="AP3000" s="28" t="str">
        <f t="shared" si="885"/>
        <v>CancelCancel</v>
      </c>
      <c r="AQ3000" s="28" t="str">
        <f t="shared" si="886"/>
        <v>CancelCancelJPY</v>
      </c>
      <c r="AR3000" s="206" t="str">
        <f t="shared" si="887"/>
        <v>YAMAHA_Mounter</v>
      </c>
      <c r="AS3000" s="22" t="str">
        <f t="shared" si="888"/>
        <v/>
      </c>
      <c r="AT3000" s="24" t="str">
        <f t="shared" si="889"/>
        <v/>
      </c>
      <c r="AU3000" s="22" t="s">
        <v>3745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1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0"/>
        <v>12900000</v>
      </c>
      <c r="AA3001" s="22">
        <v>5.2299999999999999E-2</v>
      </c>
      <c r="AB3001" s="197">
        <f t="shared" si="875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77"/>
        <v>25354039.366920356</v>
      </c>
      <c r="AJ3001" s="200">
        <f t="shared" si="878"/>
        <v>3028631.2816309328</v>
      </c>
      <c r="AK3001" s="201">
        <f t="shared" si="884"/>
        <v>0.11945360018579192</v>
      </c>
      <c r="AL3001" s="24"/>
      <c r="AM3001" s="24"/>
      <c r="AN3001" s="24"/>
      <c r="AO3001" s="24"/>
      <c r="AP3001" s="105" t="str">
        <f t="shared" si="885"/>
        <v>20248</v>
      </c>
      <c r="AQ3001" s="28" t="str">
        <f t="shared" si="886"/>
        <v>20248JPY</v>
      </c>
      <c r="AR3001" s="206" t="str">
        <f t="shared" si="887"/>
        <v>YAMAHA_Mounter</v>
      </c>
      <c r="AS3001" s="22">
        <f t="shared" si="888"/>
        <v>3</v>
      </c>
      <c r="AT3001" s="24" t="str">
        <f t="shared" si="889"/>
        <v>0-3 months</v>
      </c>
      <c r="AU3001" s="22" t="s">
        <v>3745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1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0"/>
        <v>10000000</v>
      </c>
      <c r="AA3002" s="22">
        <v>5.2299999999999999E-2</v>
      </c>
      <c r="AB3002" s="197">
        <f t="shared" si="875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77"/>
        <v>25354039.366920356</v>
      </c>
      <c r="AJ3002" s="200">
        <f t="shared" si="878"/>
        <v>3028631.2816309328</v>
      </c>
      <c r="AK3002" s="201">
        <f t="shared" si="884"/>
        <v>0.11945360018579192</v>
      </c>
      <c r="AL3002" s="24"/>
      <c r="AM3002" s="24"/>
      <c r="AN3002" s="24"/>
      <c r="AO3002" s="24"/>
      <c r="AP3002" s="28" t="str">
        <f t="shared" si="885"/>
        <v>20248</v>
      </c>
      <c r="AQ3002" s="28" t="str">
        <f t="shared" si="886"/>
        <v>20248JPY</v>
      </c>
      <c r="AR3002" s="206" t="str">
        <f t="shared" si="887"/>
        <v>YAMAHA_Mounter</v>
      </c>
      <c r="AS3002" s="22">
        <f t="shared" si="888"/>
        <v>3</v>
      </c>
      <c r="AT3002" s="24" t="str">
        <f t="shared" si="889"/>
        <v>0-3 months</v>
      </c>
      <c r="AU3002" s="22" t="s">
        <v>3745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1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0"/>
        <v>463000</v>
      </c>
      <c r="AA3003" s="22">
        <v>1.08</v>
      </c>
      <c r="AB3003" s="197">
        <f t="shared" si="875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77"/>
        <v>25354039.366920356</v>
      </c>
      <c r="AJ3003" s="200">
        <f t="shared" si="878"/>
        <v>3028631.2816309328</v>
      </c>
      <c r="AK3003" s="201">
        <f t="shared" si="884"/>
        <v>0.11945360018579192</v>
      </c>
      <c r="AL3003" s="24"/>
      <c r="AM3003" s="24"/>
      <c r="AN3003" s="24"/>
      <c r="AO3003" s="24"/>
      <c r="AP3003" s="105" t="str">
        <f t="shared" si="885"/>
        <v>20248</v>
      </c>
      <c r="AQ3003" s="28" t="str">
        <f t="shared" si="886"/>
        <v>20248RMB</v>
      </c>
      <c r="AR3003" s="206" t="str">
        <f t="shared" si="887"/>
        <v>YAMAHA_Mounter</v>
      </c>
      <c r="AS3003" s="22">
        <f t="shared" si="888"/>
        <v>3</v>
      </c>
      <c r="AT3003" s="24" t="str">
        <f t="shared" si="889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1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0"/>
        <v>850000</v>
      </c>
      <c r="AA3004" s="13">
        <v>1.1299999999999999</v>
      </c>
      <c r="AB3004" s="21">
        <f t="shared" ref="AB3004:AB3067" si="894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77"/>
        <v>47907808.356810622</v>
      </c>
      <c r="AJ3004" s="19">
        <f t="shared" si="878"/>
        <v>6027384.8806384448</v>
      </c>
      <c r="AK3004" s="20">
        <f t="shared" si="884"/>
        <v>0.12581216063459488</v>
      </c>
      <c r="AL3004" s="17"/>
      <c r="AM3004" s="17"/>
      <c r="AN3004" s="17"/>
      <c r="AO3004" s="17"/>
      <c r="AP3004" s="28" t="str">
        <f t="shared" si="885"/>
        <v>20209</v>
      </c>
      <c r="AQ3004" s="28" t="str">
        <f t="shared" si="886"/>
        <v>20209RMB</v>
      </c>
      <c r="AR3004" s="206" t="str">
        <f t="shared" si="887"/>
        <v>YAMAHA_Mounter</v>
      </c>
      <c r="AS3004" s="22">
        <f t="shared" si="888"/>
        <v>2</v>
      </c>
      <c r="AT3004" s="24" t="str">
        <f t="shared" si="889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1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0"/>
        <v>850000</v>
      </c>
      <c r="AA3005" s="13">
        <v>1.1299999999999999</v>
      </c>
      <c r="AB3005" s="21">
        <f t="shared" si="894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77"/>
        <v>47907808.356810622</v>
      </c>
      <c r="AJ3005" s="19">
        <f t="shared" si="878"/>
        <v>6027384.8806384448</v>
      </c>
      <c r="AK3005" s="20">
        <f t="shared" si="884"/>
        <v>0.12581216063459488</v>
      </c>
      <c r="AL3005" s="17"/>
      <c r="AM3005" s="17"/>
      <c r="AN3005" s="17"/>
      <c r="AO3005" s="17"/>
      <c r="AP3005" s="28" t="str">
        <f t="shared" si="885"/>
        <v>20209</v>
      </c>
      <c r="AQ3005" s="28" t="str">
        <f t="shared" si="886"/>
        <v>20209RMB</v>
      </c>
      <c r="AR3005" s="206" t="str">
        <f t="shared" si="887"/>
        <v>YAMAHA_Mounter</v>
      </c>
      <c r="AS3005" s="22">
        <f t="shared" si="888"/>
        <v>2</v>
      </c>
      <c r="AT3005" s="24" t="str">
        <f t="shared" si="889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1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0"/>
        <v>900000</v>
      </c>
      <c r="AA3006" s="13">
        <v>1.1299999999999999</v>
      </c>
      <c r="AB3006" s="21">
        <f t="shared" si="894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77"/>
        <v>47907808.356810622</v>
      </c>
      <c r="AJ3006" s="19">
        <f t="shared" si="878"/>
        <v>6027384.8806384448</v>
      </c>
      <c r="AK3006" s="20">
        <f t="shared" si="884"/>
        <v>0.12581216063459488</v>
      </c>
      <c r="AL3006" s="17"/>
      <c r="AM3006" s="17"/>
      <c r="AN3006" s="17"/>
      <c r="AO3006" s="17"/>
      <c r="AP3006" s="28" t="str">
        <f t="shared" si="885"/>
        <v>20209</v>
      </c>
      <c r="AQ3006" s="28" t="str">
        <f t="shared" si="886"/>
        <v>20209RMB</v>
      </c>
      <c r="AR3006" s="206" t="str">
        <f t="shared" si="887"/>
        <v>YAMAHA_Mounter</v>
      </c>
      <c r="AS3006" s="22">
        <f t="shared" si="888"/>
        <v>2</v>
      </c>
      <c r="AT3006" s="24" t="str">
        <f t="shared" si="889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1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0"/>
        <v>660000</v>
      </c>
      <c r="AA3007" s="13">
        <v>1.175</v>
      </c>
      <c r="AB3007" s="21">
        <f t="shared" si="894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77"/>
        <v>499582152.5142017</v>
      </c>
      <c r="AJ3007" s="19">
        <f t="shared" si="878"/>
        <v>59520528.679470733</v>
      </c>
      <c r="AK3007" s="20">
        <f t="shared" si="884"/>
        <v>0.11914062257814291</v>
      </c>
      <c r="AL3007" s="17"/>
      <c r="AM3007" s="17"/>
      <c r="AN3007" s="17"/>
      <c r="AO3007" s="17"/>
      <c r="AP3007" s="28" t="str">
        <f t="shared" si="885"/>
        <v>CancelCancel</v>
      </c>
      <c r="AQ3007" s="28" t="str">
        <f t="shared" si="886"/>
        <v>CancelCancelRMB</v>
      </c>
      <c r="AR3007" s="206" t="str">
        <f t="shared" si="887"/>
        <v>YAMAHA_Mounter</v>
      </c>
      <c r="AS3007" s="22" t="str">
        <f t="shared" si="888"/>
        <v/>
      </c>
      <c r="AT3007" s="24" t="str">
        <f t="shared" si="889"/>
        <v/>
      </c>
      <c r="AU3007" s="22" t="s">
        <v>3751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1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0"/>
        <v>21772000</v>
      </c>
      <c r="AA3008" s="13">
        <v>7.0199999999999999E-2</v>
      </c>
      <c r="AB3008" s="21">
        <f t="shared" si="894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77"/>
        <v>499582152.5142017</v>
      </c>
      <c r="AJ3008" s="19">
        <f t="shared" si="878"/>
        <v>59520528.679470733</v>
      </c>
      <c r="AK3008" s="20">
        <f t="shared" si="884"/>
        <v>0.11914062257814291</v>
      </c>
      <c r="AL3008" s="17"/>
      <c r="AM3008" s="17"/>
      <c r="AN3008" s="17"/>
      <c r="AO3008" s="17"/>
      <c r="AP3008" s="28" t="str">
        <f t="shared" si="885"/>
        <v>CancelCancel</v>
      </c>
      <c r="AQ3008" s="28" t="str">
        <f t="shared" si="886"/>
        <v>CancelCancelJPY</v>
      </c>
      <c r="AR3008" s="206" t="str">
        <f t="shared" si="887"/>
        <v>YAMAHA_Mounter</v>
      </c>
      <c r="AS3008" s="22" t="str">
        <f t="shared" si="888"/>
        <v/>
      </c>
      <c r="AT3008" s="24" t="str">
        <f t="shared" si="889"/>
        <v/>
      </c>
      <c r="AU3008" s="22" t="s">
        <v>3746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1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0"/>
        <v>30660000</v>
      </c>
      <c r="AA3009" s="13">
        <v>7.22E-2</v>
      </c>
      <c r="AB3009" s="21">
        <f t="shared" si="894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77"/>
        <v>499582152.5142017</v>
      </c>
      <c r="AJ3009" s="19">
        <f t="shared" si="878"/>
        <v>59520528.679470733</v>
      </c>
      <c r="AK3009" s="20">
        <f t="shared" si="884"/>
        <v>0.11914062257814291</v>
      </c>
      <c r="AL3009" s="17"/>
      <c r="AM3009" s="17"/>
      <c r="AN3009" s="17"/>
      <c r="AO3009" s="17"/>
      <c r="AP3009" s="28" t="str">
        <f t="shared" si="885"/>
        <v>CancelCancel</v>
      </c>
      <c r="AQ3009" s="28" t="str">
        <f t="shared" si="886"/>
        <v>CancelCancelJPY</v>
      </c>
      <c r="AR3009" s="206" t="str">
        <f t="shared" si="887"/>
        <v>YAMAHA_Mounter</v>
      </c>
      <c r="AS3009" s="22" t="str">
        <f t="shared" si="888"/>
        <v/>
      </c>
      <c r="AT3009" s="24" t="str">
        <f t="shared" si="889"/>
        <v/>
      </c>
      <c r="AU3009" s="22" t="s">
        <v>3746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1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0"/>
        <v>8656000</v>
      </c>
      <c r="AA3010" s="13">
        <v>7.0199999999999999E-2</v>
      </c>
      <c r="AB3010" s="21">
        <f t="shared" si="894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895">IF(P3010="C66 SERVICE","",SUMIFS(AB:AB,F:F,F3010,G:G,G3010,E:E,E3010))</f>
        <v>499582152.5142017</v>
      </c>
      <c r="AJ3010" s="19">
        <f t="shared" ref="AJ3010:AJ3073" si="896">IF(P3010="C66 SERVICE","",SUMIFS(AC:AC,F:F,F3010,G:G,G3010,E:E,E3010))</f>
        <v>59520528.679470733</v>
      </c>
      <c r="AK3010" s="20">
        <f t="shared" si="884"/>
        <v>0.11914062257814291</v>
      </c>
      <c r="AL3010" s="17"/>
      <c r="AM3010" s="17"/>
      <c r="AN3010" s="17"/>
      <c r="AO3010" s="17"/>
      <c r="AP3010" s="28" t="str">
        <f t="shared" si="885"/>
        <v>CancelCancel</v>
      </c>
      <c r="AQ3010" s="28" t="str">
        <f t="shared" si="886"/>
        <v>CancelCancelJPY</v>
      </c>
      <c r="AR3010" s="206" t="str">
        <f t="shared" si="887"/>
        <v>YAMAHA_Mounter</v>
      </c>
      <c r="AS3010" s="22" t="str">
        <f t="shared" si="888"/>
        <v/>
      </c>
      <c r="AT3010" s="24" t="str">
        <f t="shared" si="889"/>
        <v/>
      </c>
      <c r="AU3010" s="22" t="s">
        <v>3746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1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0"/>
        <v>17312000</v>
      </c>
      <c r="AA3011" s="13">
        <v>7.0199999999999999E-2</v>
      </c>
      <c r="AB3011" s="21">
        <f t="shared" si="894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95"/>
        <v>499582152.5142017</v>
      </c>
      <c r="AJ3011" s="19">
        <f t="shared" si="896"/>
        <v>59520528.679470733</v>
      </c>
      <c r="AK3011" s="20">
        <f t="shared" si="884"/>
        <v>0.11914062257814291</v>
      </c>
      <c r="AL3011" s="17"/>
      <c r="AM3011" s="17"/>
      <c r="AN3011" s="17"/>
      <c r="AO3011" s="17"/>
      <c r="AP3011" s="28" t="str">
        <f t="shared" si="885"/>
        <v>CancelCancel</v>
      </c>
      <c r="AQ3011" s="28" t="str">
        <f t="shared" si="886"/>
        <v>CancelCancelJPY</v>
      </c>
      <c r="AR3011" s="206" t="str">
        <f t="shared" si="887"/>
        <v>YAMAHA_Mounter</v>
      </c>
      <c r="AS3011" s="22" t="str">
        <f t="shared" si="888"/>
        <v/>
      </c>
      <c r="AT3011" s="24" t="str">
        <f t="shared" si="889"/>
        <v/>
      </c>
      <c r="AU3011" s="22" t="s">
        <v>3746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1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0"/>
        <v>10220000</v>
      </c>
      <c r="AA3012" s="13">
        <v>7.0400000000000004E-2</v>
      </c>
      <c r="AB3012" s="21">
        <f t="shared" si="894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95"/>
        <v>499582152.5142017</v>
      </c>
      <c r="AJ3012" s="19">
        <f t="shared" si="896"/>
        <v>59520528.679470733</v>
      </c>
      <c r="AK3012" s="20">
        <f t="shared" si="884"/>
        <v>0.11914062257814291</v>
      </c>
      <c r="AL3012" s="17"/>
      <c r="AM3012" s="17"/>
      <c r="AN3012" s="17"/>
      <c r="AO3012" s="17" t="s">
        <v>185</v>
      </c>
      <c r="AP3012" s="28" t="str">
        <f t="shared" si="885"/>
        <v>CancelCancel</v>
      </c>
      <c r="AQ3012" s="28" t="str">
        <f t="shared" si="886"/>
        <v>CancelCancelJPY</v>
      </c>
      <c r="AR3012" s="206" t="str">
        <f t="shared" si="887"/>
        <v>YAMAHA_Mounter</v>
      </c>
      <c r="AS3012" s="22" t="str">
        <f t="shared" si="888"/>
        <v/>
      </c>
      <c r="AT3012" s="24" t="str">
        <f t="shared" si="889"/>
        <v/>
      </c>
      <c r="AU3012" s="22" t="s">
        <v>3746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1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0"/>
        <v>20440000</v>
      </c>
      <c r="AA3013" s="13">
        <v>7.0400000000000004E-2</v>
      </c>
      <c r="AB3013" s="21">
        <f t="shared" si="894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95"/>
        <v>499582152.5142017</v>
      </c>
      <c r="AJ3013" s="19">
        <f t="shared" si="896"/>
        <v>59520528.679470733</v>
      </c>
      <c r="AK3013" s="20">
        <f t="shared" si="884"/>
        <v>0.11914062257814291</v>
      </c>
      <c r="AL3013" s="17"/>
      <c r="AM3013" s="17"/>
      <c r="AN3013" s="17"/>
      <c r="AO3013" s="17" t="s">
        <v>185</v>
      </c>
      <c r="AP3013" s="28" t="str">
        <f t="shared" si="885"/>
        <v>CancelCancel</v>
      </c>
      <c r="AQ3013" s="28" t="str">
        <f t="shared" si="886"/>
        <v>CancelCancelJPY</v>
      </c>
      <c r="AR3013" s="206" t="str">
        <f t="shared" si="887"/>
        <v>YAMAHA_Mounter</v>
      </c>
      <c r="AS3013" s="22" t="str">
        <f t="shared" si="888"/>
        <v/>
      </c>
      <c r="AT3013" s="24" t="str">
        <f t="shared" si="889"/>
        <v/>
      </c>
      <c r="AU3013" s="22" t="s">
        <v>3746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1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0"/>
        <v>48000000</v>
      </c>
      <c r="AA3014" s="13">
        <v>7.0400000000000004E-2</v>
      </c>
      <c r="AB3014" s="21">
        <f t="shared" si="894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895"/>
        <v>499582152.5142017</v>
      </c>
      <c r="AJ3014" s="19">
        <f t="shared" si="896"/>
        <v>59520528.679470733</v>
      </c>
      <c r="AK3014" s="20">
        <f t="shared" ref="AK3014:AK3077" si="902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3">IF(F3014="","",F3014&amp;G3014)</f>
        <v>CancelCancel</v>
      </c>
      <c r="AQ3014" s="28" t="str">
        <f t="shared" ref="AQ3014:AQ3077" si="904">IF(W3014="","",F3014&amp;G3014&amp;W3014)</f>
        <v>CancelCancelJPY</v>
      </c>
      <c r="AR3014" s="206" t="str">
        <f t="shared" ref="AR3014:AR3077" si="905">IFERROR(IF(AND(M3014="YAMAHA", R3014="C28"), "YAMAHA_Non_Mounter", IF(AND(M3014="YAMAHA", R3014="C49"), "YAMAHA_Mounter", M3014)),"")</f>
        <v>YAMAHA_Mounter</v>
      </c>
      <c r="AS3014" s="22" t="str">
        <f t="shared" ref="AS3014:AS3077" si="906">IFERROR(IF(OR(G3014="TBA", G3014=""), "", DATEDIF(DATE(B3014, C3014, 1), DATE(F3014, G3014, 1), "M")),"")</f>
        <v/>
      </c>
      <c r="AT3014" s="24" t="str">
        <f t="shared" ref="AT3014:AT3077" si="907">IF(ISNUMBER(AS3014), IF(AS3014&gt;=0, IF(AS3014&lt;=3, "0-3 months", IF(AS3014&lt;=6, "4-6 months", "&gt; 6 months"))), "")</f>
        <v/>
      </c>
      <c r="AU3014" s="22" t="s">
        <v>3746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1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0"/>
        <v>10200000</v>
      </c>
      <c r="AA3015" s="13">
        <v>7.2300000000000003E-2</v>
      </c>
      <c r="AB3015" s="21">
        <f t="shared" si="894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895"/>
        <v>32843736.557277881</v>
      </c>
      <c r="AJ3015" s="19">
        <f t="shared" si="896"/>
        <v>3921470.6822663117</v>
      </c>
      <c r="AK3015" s="20">
        <f t="shared" si="902"/>
        <v>0.11939782416131177</v>
      </c>
      <c r="AL3015" s="17"/>
      <c r="AM3015" s="17"/>
      <c r="AN3015" s="17"/>
      <c r="AO3015" s="17"/>
      <c r="AP3015" s="28" t="str">
        <f t="shared" si="903"/>
        <v>20194</v>
      </c>
      <c r="AQ3015" s="28" t="str">
        <f t="shared" si="904"/>
        <v>20194JPY</v>
      </c>
      <c r="AR3015" s="206" t="str">
        <f t="shared" si="905"/>
        <v>YAMAHA_Mounter</v>
      </c>
      <c r="AS3015" s="22">
        <f t="shared" si="906"/>
        <v>1</v>
      </c>
      <c r="AT3015" s="24" t="str">
        <f t="shared" si="907"/>
        <v>0-3 months</v>
      </c>
      <c r="AU3015" s="22" t="s">
        <v>3746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1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0"/>
        <v>10200000</v>
      </c>
      <c r="AA3016" s="13">
        <v>7.2300000000000003E-2</v>
      </c>
      <c r="AB3016" s="21">
        <f t="shared" si="894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895"/>
        <v>32843736.557277881</v>
      </c>
      <c r="AJ3016" s="19">
        <f t="shared" si="896"/>
        <v>3921470.6822663117</v>
      </c>
      <c r="AK3016" s="20">
        <f t="shared" si="902"/>
        <v>0.11939782416131177</v>
      </c>
      <c r="AL3016" s="17"/>
      <c r="AM3016" s="17"/>
      <c r="AN3016" s="17"/>
      <c r="AO3016" s="17"/>
      <c r="AP3016" s="28" t="str">
        <f t="shared" si="903"/>
        <v>20194</v>
      </c>
      <c r="AQ3016" s="28" t="str">
        <f t="shared" si="904"/>
        <v>20194JPY</v>
      </c>
      <c r="AR3016" s="206" t="str">
        <f t="shared" si="905"/>
        <v>YAMAHA_Mounter</v>
      </c>
      <c r="AS3016" s="22">
        <f t="shared" si="906"/>
        <v>1</v>
      </c>
      <c r="AT3016" s="24" t="str">
        <f t="shared" si="907"/>
        <v>0-3 months</v>
      </c>
      <c r="AU3016" s="22" t="s">
        <v>3746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1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0"/>
        <v>10800000</v>
      </c>
      <c r="AA3017" s="13">
        <v>7.4899999999999994E-2</v>
      </c>
      <c r="AB3017" s="21">
        <f t="shared" si="894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895"/>
        <v>47907808.356810622</v>
      </c>
      <c r="AJ3017" s="19">
        <f t="shared" si="896"/>
        <v>6027384.8806384448</v>
      </c>
      <c r="AK3017" s="20">
        <f t="shared" si="902"/>
        <v>0.12581216063459488</v>
      </c>
      <c r="AL3017" s="17"/>
      <c r="AM3017" s="17"/>
      <c r="AN3017" s="17"/>
      <c r="AO3017" s="17"/>
      <c r="AP3017" s="28" t="str">
        <f t="shared" si="903"/>
        <v>20209</v>
      </c>
      <c r="AQ3017" s="28" t="str">
        <f t="shared" si="904"/>
        <v>20209JPY</v>
      </c>
      <c r="AR3017" s="206" t="str">
        <f t="shared" si="905"/>
        <v>YAMAHA_Mounter</v>
      </c>
      <c r="AS3017" s="22">
        <f t="shared" si="906"/>
        <v>2</v>
      </c>
      <c r="AT3017" s="24" t="str">
        <f t="shared" si="907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1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08">IF(X3018="","",X3018*MAX(O3018,N3018))</f>
        <v>10800000</v>
      </c>
      <c r="AA3018" s="13">
        <v>7.4899999999999994E-2</v>
      </c>
      <c r="AB3018" s="21">
        <f t="shared" si="894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895"/>
        <v>47907808.356810622</v>
      </c>
      <c r="AJ3018" s="19">
        <f t="shared" si="896"/>
        <v>6027384.8806384448</v>
      </c>
      <c r="AK3018" s="20">
        <f t="shared" si="902"/>
        <v>0.12581216063459488</v>
      </c>
      <c r="AL3018" s="17"/>
      <c r="AM3018" s="17"/>
      <c r="AN3018" s="17"/>
      <c r="AO3018" s="17"/>
      <c r="AP3018" s="28" t="str">
        <f t="shared" si="903"/>
        <v>20209</v>
      </c>
      <c r="AQ3018" s="28" t="str">
        <f t="shared" si="904"/>
        <v>20209JPY</v>
      </c>
      <c r="AR3018" s="206" t="str">
        <f t="shared" si="905"/>
        <v>YAMAHA_Mounter</v>
      </c>
      <c r="AS3018" s="22">
        <f t="shared" si="906"/>
        <v>2</v>
      </c>
      <c r="AT3018" s="24" t="str">
        <f t="shared" si="907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1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08"/>
        <v>6896000</v>
      </c>
      <c r="AA3019" s="13">
        <v>7.4899999999999994E-2</v>
      </c>
      <c r="AB3019" s="21">
        <f t="shared" si="894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895"/>
        <v>47907808.356810622</v>
      </c>
      <c r="AJ3019" s="19">
        <f t="shared" si="896"/>
        <v>6027384.8806384448</v>
      </c>
      <c r="AK3019" s="20">
        <f t="shared" si="902"/>
        <v>0.12581216063459488</v>
      </c>
      <c r="AL3019" s="17"/>
      <c r="AM3019" s="17"/>
      <c r="AN3019" s="17"/>
      <c r="AO3019" s="17"/>
      <c r="AP3019" s="28" t="str">
        <f t="shared" si="903"/>
        <v>20209</v>
      </c>
      <c r="AQ3019" s="28" t="str">
        <f t="shared" si="904"/>
        <v>20209JPY</v>
      </c>
      <c r="AR3019" s="206" t="str">
        <f t="shared" si="905"/>
        <v>YAMAHA_Mounter</v>
      </c>
      <c r="AS3019" s="22">
        <f t="shared" si="906"/>
        <v>2</v>
      </c>
      <c r="AT3019" s="24" t="str">
        <f t="shared" si="907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1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08"/>
        <v>6896000</v>
      </c>
      <c r="AA3020" s="13">
        <v>7.4899999999999994E-2</v>
      </c>
      <c r="AB3020" s="21">
        <f t="shared" si="894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895"/>
        <v>47907808.356810622</v>
      </c>
      <c r="AJ3020" s="19">
        <f t="shared" si="896"/>
        <v>6027384.8806384448</v>
      </c>
      <c r="AK3020" s="20">
        <f t="shared" si="902"/>
        <v>0.12581216063459488</v>
      </c>
      <c r="AL3020" s="17"/>
      <c r="AM3020" s="17"/>
      <c r="AN3020" s="17"/>
      <c r="AO3020" s="17"/>
      <c r="AP3020" s="28" t="str">
        <f t="shared" si="903"/>
        <v>20209</v>
      </c>
      <c r="AQ3020" s="28" t="str">
        <f t="shared" si="904"/>
        <v>20209JPY</v>
      </c>
      <c r="AR3020" s="206" t="str">
        <f t="shared" si="905"/>
        <v>YAMAHA_Mounter</v>
      </c>
      <c r="AS3020" s="22">
        <f t="shared" si="906"/>
        <v>2</v>
      </c>
      <c r="AT3020" s="24" t="str">
        <f t="shared" si="907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1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09">IF(W3021="RMB","1.13", "1")</f>
        <v>1</v>
      </c>
      <c r="Z3021" s="18">
        <f t="shared" si="908"/>
        <v>11530000</v>
      </c>
      <c r="AA3021" s="13">
        <v>5.8700000000000002E-2</v>
      </c>
      <c r="AB3021" s="21">
        <f t="shared" si="894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895"/>
        <v>499582152.5142017</v>
      </c>
      <c r="AJ3021" s="19">
        <f t="shared" si="896"/>
        <v>59520528.679470733</v>
      </c>
      <c r="AK3021" s="20">
        <f t="shared" si="902"/>
        <v>0.11914062257814291</v>
      </c>
      <c r="AL3021" s="17"/>
      <c r="AM3021" s="17"/>
      <c r="AN3021" s="17"/>
      <c r="AO3021" s="17"/>
      <c r="AP3021" s="28" t="str">
        <f t="shared" si="903"/>
        <v>CancelCancel</v>
      </c>
      <c r="AQ3021" s="28" t="str">
        <f t="shared" si="904"/>
        <v>CancelCancelJPY</v>
      </c>
      <c r="AR3021" s="206" t="str">
        <f t="shared" si="905"/>
        <v>YAMAHA_Mounter</v>
      </c>
      <c r="AS3021" s="22" t="str">
        <f t="shared" si="906"/>
        <v/>
      </c>
      <c r="AT3021" s="24" t="str">
        <f t="shared" si="907"/>
        <v/>
      </c>
      <c r="AU3021" s="22" t="s">
        <v>3746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1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09"/>
        <v>1</v>
      </c>
      <c r="Z3022" s="18">
        <f t="shared" si="908"/>
        <v>11530000</v>
      </c>
      <c r="AA3022" s="13">
        <v>5.8700000000000002E-2</v>
      </c>
      <c r="AB3022" s="21">
        <f t="shared" si="894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895"/>
        <v>499582152.5142017</v>
      </c>
      <c r="AJ3022" s="19">
        <f t="shared" si="896"/>
        <v>59520528.679470733</v>
      </c>
      <c r="AK3022" s="20">
        <f t="shared" si="902"/>
        <v>0.11914062257814291</v>
      </c>
      <c r="AL3022" s="17"/>
      <c r="AM3022" s="17"/>
      <c r="AN3022" s="17"/>
      <c r="AO3022" s="17"/>
      <c r="AP3022" s="28" t="str">
        <f t="shared" si="903"/>
        <v>CancelCancel</v>
      </c>
      <c r="AQ3022" s="28" t="str">
        <f t="shared" si="904"/>
        <v>CancelCancelJPY</v>
      </c>
      <c r="AR3022" s="206" t="str">
        <f t="shared" si="905"/>
        <v>YAMAHA_Mounter</v>
      </c>
      <c r="AS3022" s="22" t="str">
        <f t="shared" si="906"/>
        <v/>
      </c>
      <c r="AT3022" s="24" t="str">
        <f t="shared" si="907"/>
        <v/>
      </c>
      <c r="AU3022" s="22" t="s">
        <v>3746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1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09"/>
        <v>1</v>
      </c>
      <c r="Z3023" s="18">
        <f t="shared" si="908"/>
        <v>11530000</v>
      </c>
      <c r="AA3023" s="13">
        <v>5.8700000000000002E-2</v>
      </c>
      <c r="AB3023" s="21">
        <f t="shared" si="894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895"/>
        <v>499582152.5142017</v>
      </c>
      <c r="AJ3023" s="19">
        <f t="shared" si="896"/>
        <v>59520528.679470733</v>
      </c>
      <c r="AK3023" s="20">
        <f t="shared" si="902"/>
        <v>0.11914062257814291</v>
      </c>
      <c r="AL3023" s="17"/>
      <c r="AM3023" s="17"/>
      <c r="AN3023" s="17"/>
      <c r="AO3023" s="17"/>
      <c r="AP3023" s="28" t="str">
        <f t="shared" si="903"/>
        <v>CancelCancel</v>
      </c>
      <c r="AQ3023" s="28" t="str">
        <f t="shared" si="904"/>
        <v>CancelCancelJPY</v>
      </c>
      <c r="AR3023" s="206" t="str">
        <f t="shared" si="905"/>
        <v>YAMAHA_Mounter</v>
      </c>
      <c r="AS3023" s="22" t="str">
        <f t="shared" si="906"/>
        <v/>
      </c>
      <c r="AT3023" s="24" t="str">
        <f t="shared" si="907"/>
        <v/>
      </c>
      <c r="AU3023" s="22" t="s">
        <v>3746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1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09"/>
        <v>1</v>
      </c>
      <c r="Z3024" s="18">
        <f t="shared" si="908"/>
        <v>11530000</v>
      </c>
      <c r="AA3024" s="13">
        <v>5.8700000000000002E-2</v>
      </c>
      <c r="AB3024" s="21">
        <f t="shared" si="894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895"/>
        <v>499582152.5142017</v>
      </c>
      <c r="AJ3024" s="19">
        <f t="shared" si="896"/>
        <v>59520528.679470733</v>
      </c>
      <c r="AK3024" s="20">
        <f t="shared" si="902"/>
        <v>0.11914062257814291</v>
      </c>
      <c r="AL3024" s="17"/>
      <c r="AM3024" s="17"/>
      <c r="AN3024" s="17"/>
      <c r="AO3024" s="17"/>
      <c r="AP3024" s="28" t="str">
        <f t="shared" si="903"/>
        <v>CancelCancel</v>
      </c>
      <c r="AQ3024" s="28" t="str">
        <f t="shared" si="904"/>
        <v>CancelCancelJPY</v>
      </c>
      <c r="AR3024" s="206" t="str">
        <f t="shared" si="905"/>
        <v>YAMAHA_Mounter</v>
      </c>
      <c r="AS3024" s="22" t="str">
        <f t="shared" si="906"/>
        <v/>
      </c>
      <c r="AT3024" s="24" t="str">
        <f t="shared" si="907"/>
        <v/>
      </c>
      <c r="AU3024" s="22" t="s">
        <v>3746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1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09"/>
        <v>1</v>
      </c>
      <c r="Z3025" s="18">
        <f t="shared" si="908"/>
        <v>7500000</v>
      </c>
      <c r="AA3025" s="13">
        <v>5.8700000000000002E-2</v>
      </c>
      <c r="AB3025" s="21">
        <f t="shared" si="894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895"/>
        <v>499582152.5142017</v>
      </c>
      <c r="AJ3025" s="19">
        <f t="shared" si="896"/>
        <v>59520528.679470733</v>
      </c>
      <c r="AK3025" s="20">
        <f t="shared" si="902"/>
        <v>0.11914062257814291</v>
      </c>
      <c r="AL3025" s="17"/>
      <c r="AM3025" s="17"/>
      <c r="AN3025" s="17"/>
      <c r="AO3025" s="17"/>
      <c r="AP3025" s="28" t="str">
        <f t="shared" si="903"/>
        <v>CancelCancel</v>
      </c>
      <c r="AQ3025" s="28" t="str">
        <f t="shared" si="904"/>
        <v>CancelCancelJPY</v>
      </c>
      <c r="AR3025" s="206" t="str">
        <f t="shared" si="905"/>
        <v>YAMAHA_Mounter</v>
      </c>
      <c r="AS3025" s="22" t="str">
        <f t="shared" si="906"/>
        <v/>
      </c>
      <c r="AT3025" s="24" t="str">
        <f t="shared" si="907"/>
        <v/>
      </c>
      <c r="AU3025" s="22" t="s">
        <v>3746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1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09"/>
        <v>1</v>
      </c>
      <c r="Z3026" s="18">
        <f t="shared" si="908"/>
        <v>7500000</v>
      </c>
      <c r="AA3026" s="13">
        <v>5.8700000000000002E-2</v>
      </c>
      <c r="AB3026" s="21">
        <f t="shared" si="894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895"/>
        <v>499582152.5142017</v>
      </c>
      <c r="AJ3026" s="19">
        <f t="shared" si="896"/>
        <v>59520528.679470733</v>
      </c>
      <c r="AK3026" s="20">
        <f t="shared" si="902"/>
        <v>0.11914062257814291</v>
      </c>
      <c r="AL3026" s="17"/>
      <c r="AM3026" s="17"/>
      <c r="AN3026" s="17"/>
      <c r="AO3026" s="17"/>
      <c r="AP3026" s="28" t="str">
        <f t="shared" si="903"/>
        <v>CancelCancel</v>
      </c>
      <c r="AQ3026" s="28" t="str">
        <f t="shared" si="904"/>
        <v>CancelCancelJPY</v>
      </c>
      <c r="AR3026" s="206" t="str">
        <f t="shared" si="905"/>
        <v>YAMAHA_Mounter</v>
      </c>
      <c r="AS3026" s="22" t="str">
        <f t="shared" si="906"/>
        <v/>
      </c>
      <c r="AT3026" s="24" t="str">
        <f t="shared" si="907"/>
        <v/>
      </c>
      <c r="AU3026" s="22" t="s">
        <v>3746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1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09"/>
        <v>1</v>
      </c>
      <c r="Z3027" s="18">
        <f t="shared" si="908"/>
        <v>7500000</v>
      </c>
      <c r="AA3027" s="13">
        <v>5.8700000000000002E-2</v>
      </c>
      <c r="AB3027" s="21">
        <f t="shared" si="894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895"/>
        <v>499582152.5142017</v>
      </c>
      <c r="AJ3027" s="19">
        <f t="shared" si="896"/>
        <v>59520528.679470733</v>
      </c>
      <c r="AK3027" s="20">
        <f t="shared" si="902"/>
        <v>0.11914062257814291</v>
      </c>
      <c r="AL3027" s="17"/>
      <c r="AM3027" s="17"/>
      <c r="AN3027" s="17"/>
      <c r="AO3027" s="17"/>
      <c r="AP3027" s="28" t="str">
        <f t="shared" si="903"/>
        <v>CancelCancel</v>
      </c>
      <c r="AQ3027" s="28" t="str">
        <f t="shared" si="904"/>
        <v>CancelCancelJPY</v>
      </c>
      <c r="AR3027" s="206" t="str">
        <f t="shared" si="905"/>
        <v>YAMAHA_Mounter</v>
      </c>
      <c r="AS3027" s="22" t="str">
        <f t="shared" si="906"/>
        <v/>
      </c>
      <c r="AT3027" s="24" t="str">
        <f t="shared" si="907"/>
        <v/>
      </c>
      <c r="AU3027" s="22" t="s">
        <v>3746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1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09"/>
        <v>1</v>
      </c>
      <c r="Z3028" s="18">
        <f t="shared" si="908"/>
        <v>7500000</v>
      </c>
      <c r="AA3028" s="13">
        <v>5.8700000000000002E-2</v>
      </c>
      <c r="AB3028" s="21">
        <f t="shared" si="894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895"/>
        <v>499582152.5142017</v>
      </c>
      <c r="AJ3028" s="19">
        <f t="shared" si="896"/>
        <v>59520528.679470733</v>
      </c>
      <c r="AK3028" s="20">
        <f t="shared" si="902"/>
        <v>0.11914062257814291</v>
      </c>
      <c r="AL3028" s="17"/>
      <c r="AM3028" s="17"/>
      <c r="AN3028" s="17"/>
      <c r="AO3028" s="17"/>
      <c r="AP3028" s="28" t="str">
        <f t="shared" si="903"/>
        <v>CancelCancel</v>
      </c>
      <c r="AQ3028" s="28" t="str">
        <f t="shared" si="904"/>
        <v>CancelCancelJPY</v>
      </c>
      <c r="AR3028" s="206" t="str">
        <f t="shared" si="905"/>
        <v>YAMAHA_Mounter</v>
      </c>
      <c r="AS3028" s="22" t="str">
        <f t="shared" si="906"/>
        <v/>
      </c>
      <c r="AT3028" s="24" t="str">
        <f t="shared" si="907"/>
        <v/>
      </c>
      <c r="AU3028" s="22" t="s">
        <v>3746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1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09"/>
        <v>1</v>
      </c>
      <c r="Z3029" s="18">
        <f t="shared" si="908"/>
        <v>10500000</v>
      </c>
      <c r="AA3029" s="13">
        <v>7.2800000000000004E-2</v>
      </c>
      <c r="AB3029" s="21">
        <f t="shared" si="894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895"/>
        <v>63006605.696460173</v>
      </c>
      <c r="AJ3029" s="19">
        <f t="shared" si="896"/>
        <v>8897485.660753984</v>
      </c>
      <c r="AK3029" s="20">
        <f t="shared" si="902"/>
        <v>0.141215124388995</v>
      </c>
      <c r="AL3029" s="17"/>
      <c r="AM3029" s="17"/>
      <c r="AN3029" s="17"/>
      <c r="AO3029" s="17"/>
      <c r="AP3029" s="28" t="str">
        <f t="shared" si="903"/>
        <v>20215</v>
      </c>
      <c r="AQ3029" s="28" t="str">
        <f t="shared" si="904"/>
        <v>20215JPY</v>
      </c>
      <c r="AR3029" s="206" t="str">
        <f t="shared" si="905"/>
        <v>YAMAHA_Mounter</v>
      </c>
      <c r="AS3029" s="22">
        <f t="shared" si="906"/>
        <v>3</v>
      </c>
      <c r="AT3029" s="24" t="str">
        <f t="shared" si="907"/>
        <v>0-3 months</v>
      </c>
      <c r="AU3029" s="22" t="s">
        <v>3746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0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09"/>
        <v>1</v>
      </c>
      <c r="Z3030" s="18">
        <f t="shared" si="908"/>
        <v>11530000</v>
      </c>
      <c r="AA3030" s="13">
        <v>6.54E-2</v>
      </c>
      <c r="AB3030" s="21">
        <f t="shared" si="894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895"/>
        <v>46600814.041769907</v>
      </c>
      <c r="AJ3030" s="19">
        <f t="shared" si="896"/>
        <v>5956366.3435927071</v>
      </c>
      <c r="AK3030" s="20">
        <f t="shared" si="902"/>
        <v>0.1278167874546958</v>
      </c>
      <c r="AL3030" s="17"/>
      <c r="AM3030" s="17"/>
      <c r="AN3030" s="17"/>
      <c r="AO3030" s="17"/>
      <c r="AP3030" s="28" t="str">
        <f t="shared" si="903"/>
        <v>20224</v>
      </c>
      <c r="AQ3030" s="28" t="str">
        <f t="shared" si="904"/>
        <v>20224JPY</v>
      </c>
      <c r="AR3030" s="206" t="str">
        <f t="shared" si="905"/>
        <v>YAMAHA_Mounter</v>
      </c>
      <c r="AS3030" s="22">
        <f t="shared" si="906"/>
        <v>12</v>
      </c>
      <c r="AT3030" s="24" t="str">
        <f t="shared" si="907"/>
        <v>&gt; 6 months</v>
      </c>
      <c r="AU3030" s="22" t="s">
        <v>3746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0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09"/>
        <v>1</v>
      </c>
      <c r="Z3031" s="18">
        <f t="shared" si="908"/>
        <v>7500000</v>
      </c>
      <c r="AA3031" s="13">
        <v>6.54E-2</v>
      </c>
      <c r="AB3031" s="21">
        <f t="shared" si="894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895"/>
        <v>46600814.041769907</v>
      </c>
      <c r="AJ3031" s="19">
        <f t="shared" si="896"/>
        <v>5956366.3435927071</v>
      </c>
      <c r="AK3031" s="20">
        <f t="shared" si="902"/>
        <v>0.1278167874546958</v>
      </c>
      <c r="AL3031" s="17"/>
      <c r="AM3031" s="17"/>
      <c r="AN3031" s="17"/>
      <c r="AO3031" s="17"/>
      <c r="AP3031" s="28" t="str">
        <f t="shared" si="903"/>
        <v>20224</v>
      </c>
      <c r="AQ3031" s="28" t="str">
        <f t="shared" si="904"/>
        <v>20224JPY</v>
      </c>
      <c r="AR3031" s="206" t="str">
        <f t="shared" si="905"/>
        <v>YAMAHA_Mounter</v>
      </c>
      <c r="AS3031" s="22">
        <f t="shared" si="906"/>
        <v>12</v>
      </c>
      <c r="AT3031" s="24" t="str">
        <f t="shared" si="907"/>
        <v>&gt; 6 months</v>
      </c>
      <c r="AU3031" s="22" t="s">
        <v>3746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0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09"/>
        <v>1</v>
      </c>
      <c r="Z3032" s="18">
        <f t="shared" si="908"/>
        <v>11530000</v>
      </c>
      <c r="AA3032" s="13">
        <v>5.8700000000000002E-2</v>
      </c>
      <c r="AB3032" s="21">
        <f t="shared" si="894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895"/>
        <v>36480247.665929198</v>
      </c>
      <c r="AJ3032" s="19">
        <f t="shared" si="896"/>
        <v>5330996.6372757526</v>
      </c>
      <c r="AK3032" s="20">
        <f t="shared" si="902"/>
        <v>0.14613378412599562</v>
      </c>
      <c r="AL3032" s="17"/>
      <c r="AM3032" s="17"/>
      <c r="AN3032" s="17"/>
      <c r="AO3032" s="17"/>
      <c r="AP3032" s="28" t="str">
        <f t="shared" si="903"/>
        <v>20227</v>
      </c>
      <c r="AQ3032" s="28" t="str">
        <f t="shared" si="904"/>
        <v>20227JPY</v>
      </c>
      <c r="AR3032" s="206" t="str">
        <f t="shared" si="905"/>
        <v>YAMAHA_Mounter</v>
      </c>
      <c r="AS3032" s="22">
        <f t="shared" si="906"/>
        <v>15</v>
      </c>
      <c r="AT3032" s="24" t="str">
        <f t="shared" si="907"/>
        <v>&gt; 6 months</v>
      </c>
      <c r="AU3032" s="22" t="s">
        <v>3746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0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09"/>
        <v>1</v>
      </c>
      <c r="Z3033" s="18">
        <f t="shared" si="908"/>
        <v>7500000</v>
      </c>
      <c r="AA3033" s="13">
        <v>5.8700000000000002E-2</v>
      </c>
      <c r="AB3033" s="21">
        <f t="shared" si="894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895"/>
        <v>36480247.665929198</v>
      </c>
      <c r="AJ3033" s="19">
        <f t="shared" si="896"/>
        <v>5330996.6372757526</v>
      </c>
      <c r="AK3033" s="20">
        <f t="shared" si="902"/>
        <v>0.14613378412599562</v>
      </c>
      <c r="AL3033" s="17"/>
      <c r="AM3033" s="17"/>
      <c r="AN3033" s="17"/>
      <c r="AO3033" s="17"/>
      <c r="AP3033" s="28" t="str">
        <f t="shared" si="903"/>
        <v>20227</v>
      </c>
      <c r="AQ3033" s="28" t="str">
        <f t="shared" si="904"/>
        <v>20227JPY</v>
      </c>
      <c r="AR3033" s="206" t="str">
        <f t="shared" si="905"/>
        <v>YAMAHA_Mounter</v>
      </c>
      <c r="AS3033" s="22">
        <f t="shared" si="906"/>
        <v>15</v>
      </c>
      <c r="AT3033" s="24" t="str">
        <f t="shared" si="907"/>
        <v>&gt; 6 months</v>
      </c>
      <c r="AU3033" s="22" t="s">
        <v>3746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0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08"/>
        <v>11800000</v>
      </c>
      <c r="AA3034" s="13">
        <v>5.6300000000000003E-2</v>
      </c>
      <c r="AB3034" s="21">
        <f t="shared" si="894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895"/>
        <v>499582152.5142017</v>
      </c>
      <c r="AJ3034" s="19">
        <f t="shared" si="896"/>
        <v>59520528.679470733</v>
      </c>
      <c r="AK3034" s="20">
        <f t="shared" si="902"/>
        <v>0.11914062257814291</v>
      </c>
      <c r="AL3034" s="17"/>
      <c r="AM3034" s="17"/>
      <c r="AN3034" s="17"/>
      <c r="AO3034" s="17"/>
      <c r="AP3034" s="28" t="str">
        <f t="shared" si="903"/>
        <v>CancelCancel</v>
      </c>
      <c r="AQ3034" s="28" t="str">
        <f t="shared" si="904"/>
        <v>CancelCancelJPY</v>
      </c>
      <c r="AR3034" s="206" t="str">
        <f t="shared" si="905"/>
        <v>YAMAHA_Mounter</v>
      </c>
      <c r="AS3034" s="22" t="str">
        <f t="shared" si="906"/>
        <v/>
      </c>
      <c r="AT3034" s="24" t="str">
        <f t="shared" si="907"/>
        <v/>
      </c>
      <c r="AU3034" s="22" t="s">
        <v>3745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0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08"/>
        <v>11800000</v>
      </c>
      <c r="AA3035" s="13">
        <v>5.6300000000000003E-2</v>
      </c>
      <c r="AB3035" s="21">
        <f t="shared" si="894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895"/>
        <v>499582152.5142017</v>
      </c>
      <c r="AJ3035" s="19">
        <f t="shared" si="896"/>
        <v>59520528.679470733</v>
      </c>
      <c r="AK3035" s="20">
        <f t="shared" si="902"/>
        <v>0.11914062257814291</v>
      </c>
      <c r="AL3035" s="17"/>
      <c r="AM3035" s="17"/>
      <c r="AN3035" s="17"/>
      <c r="AO3035" s="17"/>
      <c r="AP3035" s="28" t="str">
        <f t="shared" si="903"/>
        <v>CancelCancel</v>
      </c>
      <c r="AQ3035" s="28" t="str">
        <f t="shared" si="904"/>
        <v>CancelCancelJPY</v>
      </c>
      <c r="AR3035" s="206" t="str">
        <f t="shared" si="905"/>
        <v>YAMAHA_Mounter</v>
      </c>
      <c r="AS3035" s="22" t="str">
        <f t="shared" si="906"/>
        <v/>
      </c>
      <c r="AT3035" s="24" t="str">
        <f t="shared" si="907"/>
        <v/>
      </c>
      <c r="AU3035" s="22" t="s">
        <v>3745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0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1">IF(W3036="RMB","1.13", "1")</f>
        <v>1</v>
      </c>
      <c r="Z3036" s="18">
        <f t="shared" si="908"/>
        <v>12800000</v>
      </c>
      <c r="AA3036" s="13">
        <v>7.6100000000000001E-2</v>
      </c>
      <c r="AB3036" s="21">
        <f t="shared" si="894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895"/>
        <v>499582152.5142017</v>
      </c>
      <c r="AJ3036" s="19">
        <f t="shared" si="896"/>
        <v>59520528.679470733</v>
      </c>
      <c r="AK3036" s="20">
        <f t="shared" si="902"/>
        <v>0.11914062257814291</v>
      </c>
      <c r="AL3036" s="17" t="s">
        <v>185</v>
      </c>
      <c r="AM3036" s="17"/>
      <c r="AN3036" s="17"/>
      <c r="AO3036" s="17"/>
      <c r="AP3036" s="28" t="str">
        <f t="shared" si="903"/>
        <v>CancelCancel</v>
      </c>
      <c r="AQ3036" s="28" t="str">
        <f t="shared" si="904"/>
        <v>CancelCancelJPY</v>
      </c>
      <c r="AR3036" s="206" t="str">
        <f t="shared" si="905"/>
        <v>YAMAHA_Mounter</v>
      </c>
      <c r="AS3036" s="22" t="str">
        <f t="shared" si="906"/>
        <v/>
      </c>
      <c r="AT3036" s="24" t="str">
        <f t="shared" si="907"/>
        <v/>
      </c>
      <c r="AU3036" s="22" t="s">
        <v>3746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0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1"/>
        <v>1</v>
      </c>
      <c r="Z3037" s="18">
        <f t="shared" si="908"/>
        <v>12800000</v>
      </c>
      <c r="AA3037" s="13">
        <v>7.6100000000000001E-2</v>
      </c>
      <c r="AB3037" s="21">
        <f t="shared" si="894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895"/>
        <v>499582152.5142017</v>
      </c>
      <c r="AJ3037" s="19">
        <f t="shared" si="896"/>
        <v>59520528.679470733</v>
      </c>
      <c r="AK3037" s="20">
        <f t="shared" si="902"/>
        <v>0.11914062257814291</v>
      </c>
      <c r="AL3037" s="17"/>
      <c r="AM3037" s="17"/>
      <c r="AN3037" s="17"/>
      <c r="AO3037" s="17"/>
      <c r="AP3037" s="28" t="str">
        <f t="shared" si="903"/>
        <v>CancelCancel</v>
      </c>
      <c r="AQ3037" s="28" t="str">
        <f t="shared" si="904"/>
        <v>CancelCancelJPY</v>
      </c>
      <c r="AR3037" s="206" t="str">
        <f t="shared" si="905"/>
        <v>YAMAHA_Mounter</v>
      </c>
      <c r="AS3037" s="22" t="str">
        <f t="shared" si="906"/>
        <v/>
      </c>
      <c r="AT3037" s="24" t="str">
        <f t="shared" si="907"/>
        <v/>
      </c>
      <c r="AU3037" s="22" t="s">
        <v>3746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0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1"/>
        <v>1</v>
      </c>
      <c r="Z3038" s="18">
        <f t="shared" si="908"/>
        <v>7348000</v>
      </c>
      <c r="AA3038" s="13">
        <v>7.6100000000000001E-2</v>
      </c>
      <c r="AB3038" s="21">
        <f t="shared" si="894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895"/>
        <v>499582152.5142017</v>
      </c>
      <c r="AJ3038" s="19">
        <f t="shared" si="896"/>
        <v>59520528.679470733</v>
      </c>
      <c r="AK3038" s="20">
        <f t="shared" si="902"/>
        <v>0.11914062257814291</v>
      </c>
      <c r="AL3038" s="17"/>
      <c r="AM3038" s="17"/>
      <c r="AN3038" s="17"/>
      <c r="AO3038" s="17"/>
      <c r="AP3038" s="28" t="str">
        <f t="shared" si="903"/>
        <v>CancelCancel</v>
      </c>
      <c r="AQ3038" s="28" t="str">
        <f t="shared" si="904"/>
        <v>CancelCancelJPY</v>
      </c>
      <c r="AR3038" s="206" t="str">
        <f t="shared" si="905"/>
        <v>YAMAHA_Mounter</v>
      </c>
      <c r="AS3038" s="22" t="str">
        <f t="shared" si="906"/>
        <v/>
      </c>
      <c r="AT3038" s="24" t="str">
        <f t="shared" si="907"/>
        <v/>
      </c>
      <c r="AU3038" s="22" t="s">
        <v>3746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0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1"/>
        <v>1</v>
      </c>
      <c r="Z3039" s="18">
        <f t="shared" si="908"/>
        <v>7348000</v>
      </c>
      <c r="AA3039" s="13">
        <v>7.6100000000000001E-2</v>
      </c>
      <c r="AB3039" s="21">
        <f t="shared" si="894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895"/>
        <v>499582152.5142017</v>
      </c>
      <c r="AJ3039" s="19">
        <f t="shared" si="896"/>
        <v>59520528.679470733</v>
      </c>
      <c r="AK3039" s="20">
        <f t="shared" si="902"/>
        <v>0.11914062257814291</v>
      </c>
      <c r="AL3039" s="17"/>
      <c r="AM3039" s="17"/>
      <c r="AN3039" s="17"/>
      <c r="AO3039" s="17"/>
      <c r="AP3039" s="28" t="str">
        <f t="shared" si="903"/>
        <v>CancelCancel</v>
      </c>
      <c r="AQ3039" s="28" t="str">
        <f t="shared" si="904"/>
        <v>CancelCancelJPY</v>
      </c>
      <c r="AR3039" s="206" t="str">
        <f t="shared" si="905"/>
        <v>YAMAHA_Mounter</v>
      </c>
      <c r="AS3039" s="22" t="str">
        <f t="shared" si="906"/>
        <v/>
      </c>
      <c r="AT3039" s="24" t="str">
        <f t="shared" si="907"/>
        <v/>
      </c>
      <c r="AU3039" s="22" t="s">
        <v>3746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0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1"/>
        <v>1</v>
      </c>
      <c r="Z3040" s="18">
        <f t="shared" si="908"/>
        <v>15000000</v>
      </c>
      <c r="AA3040" s="13">
        <v>7.4499999999999997E-2</v>
      </c>
      <c r="AB3040" s="21">
        <f t="shared" si="894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895"/>
        <v>499582152.5142017</v>
      </c>
      <c r="AJ3040" s="19">
        <f t="shared" si="896"/>
        <v>59520528.679470733</v>
      </c>
      <c r="AK3040" s="20">
        <f t="shared" si="902"/>
        <v>0.11914062257814291</v>
      </c>
      <c r="AL3040" s="17"/>
      <c r="AM3040" s="17"/>
      <c r="AN3040" s="17"/>
      <c r="AO3040" s="17"/>
      <c r="AP3040" s="28" t="str">
        <f t="shared" si="903"/>
        <v>CancelCancel</v>
      </c>
      <c r="AQ3040" s="28" t="str">
        <f t="shared" si="904"/>
        <v>CancelCancelJPY</v>
      </c>
      <c r="AR3040" s="206" t="str">
        <f t="shared" si="905"/>
        <v>YAMAHA_Mounter</v>
      </c>
      <c r="AS3040" s="22" t="str">
        <f t="shared" si="906"/>
        <v/>
      </c>
      <c r="AT3040" s="24" t="str">
        <f t="shared" si="907"/>
        <v/>
      </c>
      <c r="AU3040" s="22" t="s">
        <v>3746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0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1"/>
        <v>1</v>
      </c>
      <c r="Z3041" s="18">
        <f t="shared" si="908"/>
        <v>11530000</v>
      </c>
      <c r="AA3041" s="13">
        <v>7.4499999999999997E-2</v>
      </c>
      <c r="AB3041" s="21">
        <f t="shared" si="894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895"/>
        <v>499582152.5142017</v>
      </c>
      <c r="AJ3041" s="19">
        <f t="shared" si="896"/>
        <v>59520528.679470733</v>
      </c>
      <c r="AK3041" s="20">
        <f t="shared" si="902"/>
        <v>0.11914062257814291</v>
      </c>
      <c r="AL3041" s="17"/>
      <c r="AM3041" s="17"/>
      <c r="AN3041" s="17"/>
      <c r="AO3041" s="17"/>
      <c r="AP3041" s="28" t="str">
        <f t="shared" si="903"/>
        <v>CancelCancel</v>
      </c>
      <c r="AQ3041" s="28" t="str">
        <f t="shared" si="904"/>
        <v>CancelCancelJPY</v>
      </c>
      <c r="AR3041" s="206" t="str">
        <f t="shared" si="905"/>
        <v>YAMAHA_Mounter</v>
      </c>
      <c r="AS3041" s="22" t="str">
        <f t="shared" si="906"/>
        <v/>
      </c>
      <c r="AT3041" s="24" t="str">
        <f t="shared" si="907"/>
        <v/>
      </c>
      <c r="AU3041" s="22" t="s">
        <v>3746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0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1"/>
        <v>1</v>
      </c>
      <c r="Z3042" s="18">
        <f t="shared" si="908"/>
        <v>11530000</v>
      </c>
      <c r="AA3042" s="13">
        <v>7.4499999999999997E-2</v>
      </c>
      <c r="AB3042" s="21">
        <f t="shared" si="894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895"/>
        <v>499582152.5142017</v>
      </c>
      <c r="AJ3042" s="19">
        <f t="shared" si="896"/>
        <v>59520528.679470733</v>
      </c>
      <c r="AK3042" s="20">
        <f t="shared" si="902"/>
        <v>0.11914062257814291</v>
      </c>
      <c r="AL3042" s="17"/>
      <c r="AM3042" s="17"/>
      <c r="AN3042" s="17"/>
      <c r="AO3042" s="17"/>
      <c r="AP3042" s="28" t="str">
        <f t="shared" si="903"/>
        <v>CancelCancel</v>
      </c>
      <c r="AQ3042" s="28" t="str">
        <f t="shared" si="904"/>
        <v>CancelCancelJPY</v>
      </c>
      <c r="AR3042" s="206" t="str">
        <f t="shared" si="905"/>
        <v>YAMAHA_Mounter</v>
      </c>
      <c r="AS3042" s="22" t="str">
        <f t="shared" si="906"/>
        <v/>
      </c>
      <c r="AT3042" s="24" t="str">
        <f t="shared" si="907"/>
        <v/>
      </c>
      <c r="AU3042" s="22" t="s">
        <v>3746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0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1"/>
        <v>1</v>
      </c>
      <c r="Z3043" s="18">
        <f t="shared" si="908"/>
        <v>7500000</v>
      </c>
      <c r="AA3043" s="13">
        <v>7.4499999999999997E-2</v>
      </c>
      <c r="AB3043" s="21">
        <f t="shared" si="894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895"/>
        <v>499582152.5142017</v>
      </c>
      <c r="AJ3043" s="19">
        <f t="shared" si="896"/>
        <v>59520528.679470733</v>
      </c>
      <c r="AK3043" s="20">
        <f t="shared" si="902"/>
        <v>0.11914062257814291</v>
      </c>
      <c r="AL3043" s="17"/>
      <c r="AM3043" s="17"/>
      <c r="AN3043" s="17"/>
      <c r="AO3043" s="17"/>
      <c r="AP3043" s="28" t="str">
        <f t="shared" si="903"/>
        <v>CancelCancel</v>
      </c>
      <c r="AQ3043" s="28" t="str">
        <f t="shared" si="904"/>
        <v>CancelCancelJPY</v>
      </c>
      <c r="AR3043" s="206" t="str">
        <f t="shared" si="905"/>
        <v>YAMAHA_Mounter</v>
      </c>
      <c r="AS3043" s="22" t="str">
        <f t="shared" si="906"/>
        <v/>
      </c>
      <c r="AT3043" s="24" t="str">
        <f t="shared" si="907"/>
        <v/>
      </c>
      <c r="AU3043" s="22" t="s">
        <v>3746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0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1"/>
        <v>1</v>
      </c>
      <c r="Z3044" s="18">
        <f t="shared" si="908"/>
        <v>7500000</v>
      </c>
      <c r="AA3044" s="13">
        <v>7.4499999999999997E-2</v>
      </c>
      <c r="AB3044" s="21">
        <f t="shared" si="894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895"/>
        <v>499582152.5142017</v>
      </c>
      <c r="AJ3044" s="19">
        <f t="shared" si="896"/>
        <v>59520528.679470733</v>
      </c>
      <c r="AK3044" s="20">
        <f t="shared" si="902"/>
        <v>0.11914062257814291</v>
      </c>
      <c r="AL3044" s="17"/>
      <c r="AM3044" s="17"/>
      <c r="AN3044" s="17"/>
      <c r="AO3044" s="17"/>
      <c r="AP3044" s="28" t="str">
        <f t="shared" si="903"/>
        <v>CancelCancel</v>
      </c>
      <c r="AQ3044" s="28" t="str">
        <f t="shared" si="904"/>
        <v>CancelCancelJPY</v>
      </c>
      <c r="AR3044" s="206" t="str">
        <f t="shared" si="905"/>
        <v>YAMAHA_Mounter</v>
      </c>
      <c r="AS3044" s="22" t="str">
        <f t="shared" si="906"/>
        <v/>
      </c>
      <c r="AT3044" s="24" t="str">
        <f t="shared" si="907"/>
        <v/>
      </c>
      <c r="AU3044" s="22" t="s">
        <v>3746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0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08"/>
        <v>970000</v>
      </c>
      <c r="AA3045" s="22">
        <v>1.0900000000000001</v>
      </c>
      <c r="AB3045" s="21">
        <f t="shared" si="894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95"/>
        <v>10524262.405309737</v>
      </c>
      <c r="AJ3045" s="27">
        <f t="shared" si="896"/>
        <v>1479050.9527127435</v>
      </c>
      <c r="AK3045" s="28">
        <f t="shared" si="902"/>
        <v>0.14053725532028996</v>
      </c>
      <c r="AL3045" s="24"/>
      <c r="AM3045" s="24"/>
      <c r="AN3045" s="24"/>
      <c r="AO3045" s="24"/>
      <c r="AP3045" s="28" t="str">
        <f t="shared" si="903"/>
        <v>20242</v>
      </c>
      <c r="AQ3045" s="28" t="str">
        <f t="shared" si="904"/>
        <v>20242RMB</v>
      </c>
      <c r="AR3045" s="206" t="str">
        <f t="shared" si="905"/>
        <v>YAMAHA_Mounter</v>
      </c>
      <c r="AS3045" s="22">
        <f t="shared" si="906"/>
        <v>1</v>
      </c>
      <c r="AT3045" s="24" t="str">
        <f t="shared" si="907"/>
        <v>0-3 months</v>
      </c>
      <c r="AU3045" s="22" t="s">
        <v>3751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0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08"/>
        <v>970000</v>
      </c>
      <c r="AA3046" s="22">
        <v>1.0900000000000001</v>
      </c>
      <c r="AB3046" s="21">
        <f t="shared" si="894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95"/>
        <v>10524262.405309737</v>
      </c>
      <c r="AJ3046" s="27">
        <f t="shared" si="896"/>
        <v>1479050.9527127435</v>
      </c>
      <c r="AK3046" s="28">
        <f t="shared" si="902"/>
        <v>0.14053725532028996</v>
      </c>
      <c r="AL3046" s="24"/>
      <c r="AM3046" s="24"/>
      <c r="AN3046" s="24"/>
      <c r="AO3046" s="24"/>
      <c r="AP3046" s="28" t="str">
        <f t="shared" si="903"/>
        <v>20242</v>
      </c>
      <c r="AQ3046" s="28" t="str">
        <f t="shared" si="904"/>
        <v>20242RMB</v>
      </c>
      <c r="AR3046" s="206" t="str">
        <f t="shared" si="905"/>
        <v>YAMAHA_Mounter</v>
      </c>
      <c r="AS3046" s="22">
        <f t="shared" si="906"/>
        <v>1</v>
      </c>
      <c r="AT3046" s="24" t="str">
        <f t="shared" si="907"/>
        <v>0-3 months</v>
      </c>
      <c r="AU3046" s="22" t="s">
        <v>3751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0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08"/>
        <v>21500000</v>
      </c>
      <c r="AA3047" s="13">
        <v>7.2099999999999997E-2</v>
      </c>
      <c r="AB3047" s="21">
        <f t="shared" si="894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895"/>
        <v>26754147.763010349</v>
      </c>
      <c r="AJ3047" s="19">
        <f t="shared" si="896"/>
        <v>3429137.9965357962</v>
      </c>
      <c r="AK3047" s="20">
        <f t="shared" si="902"/>
        <v>0.12817220069617921</v>
      </c>
      <c r="AL3047" s="17"/>
      <c r="AM3047" s="17"/>
      <c r="AN3047" s="17"/>
      <c r="AO3047" s="17"/>
      <c r="AP3047" s="28" t="str">
        <f t="shared" si="903"/>
        <v>20188</v>
      </c>
      <c r="AQ3047" s="28" t="str">
        <f t="shared" si="904"/>
        <v>20188JPY</v>
      </c>
      <c r="AR3047" s="206" t="str">
        <f t="shared" si="905"/>
        <v>YAMAHA_Mounter</v>
      </c>
      <c r="AS3047" s="22">
        <f t="shared" si="906"/>
        <v>1</v>
      </c>
      <c r="AT3047" s="24" t="str">
        <f t="shared" si="907"/>
        <v>0-3 months</v>
      </c>
      <c r="AU3047" s="22" t="s">
        <v>3745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0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08"/>
        <v>38500000</v>
      </c>
      <c r="AA3048" s="13">
        <v>7.3400000000000007E-2</v>
      </c>
      <c r="AB3048" s="21">
        <f t="shared" si="894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895"/>
        <v>34109166.105589926</v>
      </c>
      <c r="AJ3048" s="19">
        <f t="shared" si="896"/>
        <v>4642032.7199573703</v>
      </c>
      <c r="AK3048" s="20">
        <f t="shared" si="902"/>
        <v>0.13609340977692849</v>
      </c>
      <c r="AL3048" s="17"/>
      <c r="AM3048" s="17"/>
      <c r="AN3048" s="17"/>
      <c r="AO3048" s="17"/>
      <c r="AP3048" s="28" t="str">
        <f t="shared" si="903"/>
        <v>20185</v>
      </c>
      <c r="AQ3048" s="28" t="str">
        <f t="shared" si="904"/>
        <v>20185JPY</v>
      </c>
      <c r="AR3048" s="206" t="str">
        <f t="shared" si="905"/>
        <v>YAMAHA_Mounter</v>
      </c>
      <c r="AS3048" s="22">
        <f t="shared" si="906"/>
        <v>2</v>
      </c>
      <c r="AT3048" s="24" t="str">
        <f t="shared" si="907"/>
        <v>0-3 months</v>
      </c>
      <c r="AU3048" s="22" t="s">
        <v>3746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0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08"/>
        <v>28875000</v>
      </c>
      <c r="AA3049" s="13">
        <v>7.2099999999999997E-2</v>
      </c>
      <c r="AB3049" s="21">
        <f t="shared" si="894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895"/>
        <v>499582152.5142017</v>
      </c>
      <c r="AJ3049" s="19">
        <f t="shared" si="896"/>
        <v>59520528.679470733</v>
      </c>
      <c r="AK3049" s="20">
        <f t="shared" si="902"/>
        <v>0.11914062257814291</v>
      </c>
      <c r="AL3049" s="17"/>
      <c r="AM3049" s="17"/>
      <c r="AN3049" s="17"/>
      <c r="AO3049" s="17"/>
      <c r="AP3049" s="28" t="str">
        <f t="shared" si="903"/>
        <v>CancelCancel</v>
      </c>
      <c r="AQ3049" s="28" t="str">
        <f t="shared" si="904"/>
        <v>CancelCancelJPY</v>
      </c>
      <c r="AR3049" s="206" t="str">
        <f t="shared" si="905"/>
        <v>YAMAHA_Mounter</v>
      </c>
      <c r="AS3049" s="22" t="str">
        <f t="shared" si="906"/>
        <v/>
      </c>
      <c r="AT3049" s="24" t="str">
        <f t="shared" si="907"/>
        <v/>
      </c>
      <c r="AU3049" s="22" t="s">
        <v>3746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0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08"/>
        <v>9625000</v>
      </c>
      <c r="AA3050" s="13">
        <v>7.22E-2</v>
      </c>
      <c r="AB3050" s="21">
        <f t="shared" si="894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895"/>
        <v>499582152.5142017</v>
      </c>
      <c r="AJ3050" s="19">
        <f t="shared" si="896"/>
        <v>59520528.679470733</v>
      </c>
      <c r="AK3050" s="20">
        <f t="shared" si="902"/>
        <v>0.11914062257814291</v>
      </c>
      <c r="AL3050" s="17"/>
      <c r="AM3050" s="17"/>
      <c r="AN3050" s="17"/>
      <c r="AO3050" s="17"/>
      <c r="AP3050" s="28" t="str">
        <f t="shared" si="903"/>
        <v>CancelCancel</v>
      </c>
      <c r="AQ3050" s="28" t="str">
        <f t="shared" si="904"/>
        <v>CancelCancelJPY</v>
      </c>
      <c r="AR3050" s="206" t="str">
        <f t="shared" si="905"/>
        <v>YAMAHA_Mounter</v>
      </c>
      <c r="AS3050" s="22" t="str">
        <f t="shared" si="906"/>
        <v/>
      </c>
      <c r="AT3050" s="24" t="str">
        <f t="shared" si="907"/>
        <v/>
      </c>
      <c r="AU3050" s="22" t="s">
        <v>3746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0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08"/>
        <v>945000</v>
      </c>
      <c r="AA3051" s="13">
        <v>1.2</v>
      </c>
      <c r="AB3051" s="21">
        <f t="shared" si="894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895"/>
        <v>57778307.282035396</v>
      </c>
      <c r="AJ3051" s="19">
        <f t="shared" si="896"/>
        <v>7259860.7225420559</v>
      </c>
      <c r="AK3051" s="20">
        <f t="shared" si="902"/>
        <v>0.12565028406083667</v>
      </c>
      <c r="AL3051" s="17"/>
      <c r="AM3051" s="17"/>
      <c r="AN3051" s="17"/>
      <c r="AO3051" s="17"/>
      <c r="AP3051" s="28" t="str">
        <f t="shared" si="903"/>
        <v>20213</v>
      </c>
      <c r="AQ3051" s="28" t="str">
        <f t="shared" si="904"/>
        <v>20213RMB</v>
      </c>
      <c r="AR3051" s="206" t="str">
        <f t="shared" si="905"/>
        <v>YAMAHA_Mounter</v>
      </c>
      <c r="AS3051" s="22">
        <f t="shared" si="906"/>
        <v>4</v>
      </c>
      <c r="AT3051" s="24" t="str">
        <f t="shared" si="907"/>
        <v>4-6 months</v>
      </c>
      <c r="AU3051" s="22" t="s">
        <v>3744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0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08"/>
        <v>945000</v>
      </c>
      <c r="AA3052" s="13">
        <v>1.2</v>
      </c>
      <c r="AB3052" s="21">
        <f t="shared" si="894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895"/>
        <v>57778307.282035396</v>
      </c>
      <c r="AJ3052" s="19">
        <f t="shared" si="896"/>
        <v>7259860.7225420559</v>
      </c>
      <c r="AK3052" s="20">
        <f t="shared" si="902"/>
        <v>0.12565028406083667</v>
      </c>
      <c r="AL3052" s="17"/>
      <c r="AM3052" s="17"/>
      <c r="AN3052" s="17"/>
      <c r="AO3052" s="17"/>
      <c r="AP3052" s="28" t="str">
        <f t="shared" si="903"/>
        <v>20213</v>
      </c>
      <c r="AQ3052" s="28" t="str">
        <f t="shared" si="904"/>
        <v>20213RMB</v>
      </c>
      <c r="AR3052" s="206" t="str">
        <f t="shared" si="905"/>
        <v>YAMAHA_Mounter</v>
      </c>
      <c r="AS3052" s="22">
        <f t="shared" si="906"/>
        <v>4</v>
      </c>
      <c r="AT3052" s="24" t="str">
        <f t="shared" si="907"/>
        <v>4-6 months</v>
      </c>
      <c r="AU3052" s="22" t="s">
        <v>3744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0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08"/>
        <v>860000</v>
      </c>
      <c r="AA3053" s="13">
        <v>1.0920000000000001</v>
      </c>
      <c r="AB3053" s="21">
        <f t="shared" si="894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895"/>
        <v>22953677.784070797</v>
      </c>
      <c r="AJ3053" s="19">
        <f t="shared" si="896"/>
        <v>4168706.6744155753</v>
      </c>
      <c r="AK3053" s="20">
        <f t="shared" si="902"/>
        <v>0.18161388835511752</v>
      </c>
      <c r="AL3053" s="17"/>
      <c r="AM3053" s="17"/>
      <c r="AN3053" s="17"/>
      <c r="AO3053" s="17"/>
      <c r="AP3053" s="28" t="str">
        <f t="shared" si="903"/>
        <v>20238</v>
      </c>
      <c r="AQ3053" s="28" t="str">
        <f t="shared" si="904"/>
        <v>20238RMB</v>
      </c>
      <c r="AR3053" s="206" t="str">
        <f t="shared" si="905"/>
        <v>YAMAHA_Mounter</v>
      </c>
      <c r="AS3053" s="22">
        <f t="shared" si="906"/>
        <v>1</v>
      </c>
      <c r="AT3053" s="24" t="str">
        <f t="shared" si="907"/>
        <v>0-3 months</v>
      </c>
      <c r="AU3053" s="22" t="s">
        <v>3751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0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08"/>
        <v>602800</v>
      </c>
      <c r="AA3054" s="13">
        <v>1.1100000000000001</v>
      </c>
      <c r="AB3054" s="21">
        <f t="shared" si="894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895"/>
        <v>11620538.477876106</v>
      </c>
      <c r="AJ3054" s="19">
        <f t="shared" si="896"/>
        <v>1598596.3145221241</v>
      </c>
      <c r="AK3054" s="20">
        <f t="shared" si="902"/>
        <v>0.13756645766163331</v>
      </c>
      <c r="AL3054" s="17"/>
      <c r="AM3054" s="17"/>
      <c r="AN3054" s="17"/>
      <c r="AO3054" s="17"/>
      <c r="AP3054" s="28" t="str">
        <f t="shared" si="903"/>
        <v>20201</v>
      </c>
      <c r="AQ3054" s="28" t="str">
        <f t="shared" si="904"/>
        <v>20201RMB</v>
      </c>
      <c r="AR3054" s="206" t="str">
        <f t="shared" si="905"/>
        <v>YAMAHA_Mounter</v>
      </c>
      <c r="AS3054" s="22">
        <f t="shared" si="906"/>
        <v>1</v>
      </c>
      <c r="AT3054" s="24" t="str">
        <f t="shared" si="907"/>
        <v>0-3 months</v>
      </c>
      <c r="AU3054" s="22" t="s">
        <v>3744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0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08"/>
        <v>415000</v>
      </c>
      <c r="AA3055" s="13">
        <v>1.1299999999999999</v>
      </c>
      <c r="AB3055" s="21">
        <f t="shared" si="894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895"/>
        <v>33543315.897345133</v>
      </c>
      <c r="AJ3055" s="19">
        <f t="shared" si="896"/>
        <v>4706169.3252984071</v>
      </c>
      <c r="AK3055" s="20">
        <f t="shared" si="902"/>
        <v>0.14030125523967318</v>
      </c>
      <c r="AL3055" s="17"/>
      <c r="AM3055" s="17"/>
      <c r="AN3055" s="17"/>
      <c r="AO3055" s="17"/>
      <c r="AP3055" s="28" t="str">
        <f t="shared" si="903"/>
        <v>20233</v>
      </c>
      <c r="AQ3055" s="28" t="str">
        <f t="shared" si="904"/>
        <v>20233RMB</v>
      </c>
      <c r="AR3055" s="206" t="str">
        <f t="shared" si="905"/>
        <v>YAMAHA_Mounter</v>
      </c>
      <c r="AS3055" s="22">
        <f t="shared" si="906"/>
        <v>1</v>
      </c>
      <c r="AT3055" s="24" t="str">
        <f t="shared" si="907"/>
        <v>0-3 months</v>
      </c>
      <c r="AU3055" s="22" t="s">
        <v>3751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0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08"/>
        <v>720000</v>
      </c>
      <c r="AA3056" s="13">
        <v>1.135</v>
      </c>
      <c r="AB3056" s="21">
        <f t="shared" si="894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895"/>
        <v>21386017.707964607</v>
      </c>
      <c r="AJ3056" s="19">
        <f t="shared" si="896"/>
        <v>2238764.3265707968</v>
      </c>
      <c r="AK3056" s="20">
        <f t="shared" si="902"/>
        <v>0.10468355339185161</v>
      </c>
      <c r="AL3056" s="17"/>
      <c r="AM3056" s="17"/>
      <c r="AN3056" s="17"/>
      <c r="AO3056" s="17"/>
      <c r="AP3056" s="28" t="str">
        <f t="shared" si="903"/>
        <v>20198</v>
      </c>
      <c r="AQ3056" s="28" t="str">
        <f t="shared" si="904"/>
        <v>20198RMB</v>
      </c>
      <c r="AR3056" s="206" t="str">
        <f t="shared" si="905"/>
        <v>YAMAHA_Mounter</v>
      </c>
      <c r="AS3056" s="22">
        <f t="shared" si="906"/>
        <v>0</v>
      </c>
      <c r="AT3056" s="24" t="str">
        <f t="shared" si="907"/>
        <v>0-3 months</v>
      </c>
      <c r="AU3056" s="22" t="s">
        <v>3744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0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08"/>
        <v>720000</v>
      </c>
      <c r="AA3057" s="13">
        <v>1.135</v>
      </c>
      <c r="AB3057" s="21">
        <f t="shared" si="894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895"/>
        <v>21386017.707964607</v>
      </c>
      <c r="AJ3057" s="19">
        <f t="shared" si="896"/>
        <v>2238764.3265707968</v>
      </c>
      <c r="AK3057" s="20">
        <f t="shared" si="902"/>
        <v>0.10468355339185161</v>
      </c>
      <c r="AL3057" s="17"/>
      <c r="AM3057" s="17"/>
      <c r="AN3057" s="17"/>
      <c r="AO3057" s="17"/>
      <c r="AP3057" s="28" t="str">
        <f t="shared" si="903"/>
        <v>20198</v>
      </c>
      <c r="AQ3057" s="28" t="str">
        <f t="shared" si="904"/>
        <v>20198RMB</v>
      </c>
      <c r="AR3057" s="206" t="str">
        <f t="shared" si="905"/>
        <v>YAMAHA_Mounter</v>
      </c>
      <c r="AS3057" s="22">
        <f t="shared" si="906"/>
        <v>0</v>
      </c>
      <c r="AT3057" s="24" t="str">
        <f t="shared" si="907"/>
        <v>0-3 months</v>
      </c>
      <c r="AU3057" s="22" t="s">
        <v>3744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0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08"/>
        <v>720000</v>
      </c>
      <c r="AA3058" s="13">
        <v>1.135</v>
      </c>
      <c r="AB3058" s="21">
        <f t="shared" si="894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895"/>
        <v>21386017.707964607</v>
      </c>
      <c r="AJ3058" s="19">
        <f t="shared" si="896"/>
        <v>2238764.3265707968</v>
      </c>
      <c r="AK3058" s="20">
        <f t="shared" si="902"/>
        <v>0.10468355339185161</v>
      </c>
      <c r="AL3058" s="17"/>
      <c r="AM3058" s="17"/>
      <c r="AN3058" s="17"/>
      <c r="AO3058" s="17"/>
      <c r="AP3058" s="28" t="str">
        <f t="shared" si="903"/>
        <v>20198</v>
      </c>
      <c r="AQ3058" s="28" t="str">
        <f t="shared" si="904"/>
        <v>20198RMB</v>
      </c>
      <c r="AR3058" s="206" t="str">
        <f t="shared" si="905"/>
        <v>YAMAHA_Mounter</v>
      </c>
      <c r="AS3058" s="22">
        <f t="shared" si="906"/>
        <v>0</v>
      </c>
      <c r="AT3058" s="24" t="str">
        <f t="shared" si="907"/>
        <v>0-3 months</v>
      </c>
      <c r="AU3058" s="22" t="s">
        <v>3744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0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08"/>
        <v>10220000</v>
      </c>
      <c r="AA3059" s="13">
        <v>7.2900000000000006E-2</v>
      </c>
      <c r="AB3059" s="21">
        <f t="shared" si="894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895"/>
        <v>27318180.088495575</v>
      </c>
      <c r="AJ3059" s="19">
        <f t="shared" si="896"/>
        <v>3014099.212353982</v>
      </c>
      <c r="AK3059" s="20">
        <f t="shared" si="902"/>
        <v>0.11033308963444827</v>
      </c>
      <c r="AL3059" s="17"/>
      <c r="AM3059" s="17"/>
      <c r="AN3059" s="17"/>
      <c r="AO3059" s="17"/>
      <c r="AP3059" s="28" t="str">
        <f t="shared" si="903"/>
        <v>201912</v>
      </c>
      <c r="AQ3059" s="28" t="str">
        <f t="shared" si="904"/>
        <v>201912JPY</v>
      </c>
      <c r="AR3059" s="206" t="str">
        <f t="shared" si="905"/>
        <v>YAMAHA_Mounter</v>
      </c>
      <c r="AS3059" s="22">
        <f t="shared" si="906"/>
        <v>1</v>
      </c>
      <c r="AT3059" s="24" t="str">
        <f t="shared" si="907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0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08"/>
        <v>12640000</v>
      </c>
      <c r="AA3060" s="13">
        <v>7.2900000000000006E-2</v>
      </c>
      <c r="AB3060" s="21">
        <f t="shared" si="894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895"/>
        <v>27318180.088495575</v>
      </c>
      <c r="AJ3060" s="19">
        <f t="shared" si="896"/>
        <v>3014099.212353982</v>
      </c>
      <c r="AK3060" s="20">
        <f t="shared" si="902"/>
        <v>0.11033308963444827</v>
      </c>
      <c r="AL3060" s="17"/>
      <c r="AM3060" s="17"/>
      <c r="AN3060" s="17"/>
      <c r="AO3060" s="17"/>
      <c r="AP3060" s="28" t="str">
        <f t="shared" si="903"/>
        <v>201912</v>
      </c>
      <c r="AQ3060" s="28" t="str">
        <f t="shared" si="904"/>
        <v>201912JPY</v>
      </c>
      <c r="AR3060" s="206" t="str">
        <f t="shared" si="905"/>
        <v>YAMAHA_Mounter</v>
      </c>
      <c r="AS3060" s="22">
        <f t="shared" si="906"/>
        <v>1</v>
      </c>
      <c r="AT3060" s="24" t="str">
        <f t="shared" si="907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0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08"/>
        <v>12640000</v>
      </c>
      <c r="AA3061" s="13">
        <v>7.2900000000000006E-2</v>
      </c>
      <c r="AB3061" s="21">
        <f t="shared" si="894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895"/>
        <v>27318180.088495575</v>
      </c>
      <c r="AJ3061" s="19">
        <f t="shared" si="896"/>
        <v>3014099.212353982</v>
      </c>
      <c r="AK3061" s="20">
        <f t="shared" si="902"/>
        <v>0.11033308963444827</v>
      </c>
      <c r="AL3061" s="17"/>
      <c r="AM3061" s="17"/>
      <c r="AN3061" s="17"/>
      <c r="AO3061" s="17"/>
      <c r="AP3061" s="28" t="str">
        <f t="shared" si="903"/>
        <v>201912</v>
      </c>
      <c r="AQ3061" s="28" t="str">
        <f t="shared" si="904"/>
        <v>201912JPY</v>
      </c>
      <c r="AR3061" s="206" t="str">
        <f t="shared" si="905"/>
        <v>YAMAHA_Mounter</v>
      </c>
      <c r="AS3061" s="22">
        <f t="shared" si="906"/>
        <v>1</v>
      </c>
      <c r="AT3061" s="24" t="str">
        <f t="shared" si="907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0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08"/>
        <v>9900000</v>
      </c>
      <c r="AA3062" s="13">
        <v>7.2700000000000001E-2</v>
      </c>
      <c r="AB3062" s="21">
        <f t="shared" si="894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895"/>
        <v>14005204.685000001</v>
      </c>
      <c r="AJ3062" s="19">
        <f t="shared" si="896"/>
        <v>1436995.246084</v>
      </c>
      <c r="AK3062" s="20">
        <f t="shared" si="902"/>
        <v>0.10260437304590525</v>
      </c>
      <c r="AL3062" s="17"/>
      <c r="AM3062" s="17"/>
      <c r="AN3062" s="17"/>
      <c r="AO3062" s="17"/>
      <c r="AP3062" s="28" t="str">
        <f t="shared" si="903"/>
        <v>20202</v>
      </c>
      <c r="AQ3062" s="28" t="str">
        <f t="shared" si="904"/>
        <v>20202JPY</v>
      </c>
      <c r="AR3062" s="206" t="str">
        <f t="shared" si="905"/>
        <v>YAMAHA_Mounter</v>
      </c>
      <c r="AS3062" s="22">
        <f t="shared" si="906"/>
        <v>3</v>
      </c>
      <c r="AT3062" s="24" t="str">
        <f t="shared" si="907"/>
        <v>0-3 months</v>
      </c>
      <c r="AU3062" s="22" t="s">
        <v>3745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0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08"/>
        <v>12600000</v>
      </c>
      <c r="AA3063" s="13">
        <v>7.2700000000000001E-2</v>
      </c>
      <c r="AB3063" s="21">
        <f t="shared" si="894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895"/>
        <v>14005204.685000001</v>
      </c>
      <c r="AJ3063" s="19">
        <f t="shared" si="896"/>
        <v>1436995.246084</v>
      </c>
      <c r="AK3063" s="20">
        <f t="shared" si="902"/>
        <v>0.10260437304590525</v>
      </c>
      <c r="AL3063" s="17"/>
      <c r="AM3063" s="17"/>
      <c r="AN3063" s="17"/>
      <c r="AO3063" s="17"/>
      <c r="AP3063" s="28" t="str">
        <f t="shared" si="903"/>
        <v>20202</v>
      </c>
      <c r="AQ3063" s="28" t="str">
        <f t="shared" si="904"/>
        <v>20202JPY</v>
      </c>
      <c r="AR3063" s="206" t="str">
        <f t="shared" si="905"/>
        <v>YAMAHA_Mounter</v>
      </c>
      <c r="AS3063" s="22">
        <f t="shared" si="906"/>
        <v>3</v>
      </c>
      <c r="AT3063" s="24" t="str">
        <f t="shared" si="907"/>
        <v>0-3 months</v>
      </c>
      <c r="AU3063" s="22" t="s">
        <v>3745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0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08"/>
        <v>12600000</v>
      </c>
      <c r="AA3064" s="13">
        <v>7.2700000000000001E-2</v>
      </c>
      <c r="AB3064" s="21">
        <f t="shared" si="894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895"/>
        <v>14005204.685000001</v>
      </c>
      <c r="AJ3064" s="19">
        <f t="shared" si="896"/>
        <v>1436995.246084</v>
      </c>
      <c r="AK3064" s="20">
        <f t="shared" si="902"/>
        <v>0.10260437304590525</v>
      </c>
      <c r="AL3064" s="17"/>
      <c r="AM3064" s="17"/>
      <c r="AN3064" s="17"/>
      <c r="AO3064" s="17"/>
      <c r="AP3064" s="28" t="str">
        <f t="shared" si="903"/>
        <v>20202</v>
      </c>
      <c r="AQ3064" s="28" t="str">
        <f t="shared" si="904"/>
        <v>20202JPY</v>
      </c>
      <c r="AR3064" s="206" t="str">
        <f t="shared" si="905"/>
        <v>YAMAHA_Mounter</v>
      </c>
      <c r="AS3064" s="22">
        <f t="shared" si="906"/>
        <v>3</v>
      </c>
      <c r="AT3064" s="24" t="str">
        <f t="shared" si="907"/>
        <v>0-3 months</v>
      </c>
      <c r="AU3064" s="22" t="s">
        <v>3745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0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08"/>
        <v>12600000</v>
      </c>
      <c r="AA3065" s="13">
        <v>7.2700000000000001E-2</v>
      </c>
      <c r="AB3065" s="21">
        <f t="shared" si="894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895"/>
        <v>14005204.685000001</v>
      </c>
      <c r="AJ3065" s="19">
        <f t="shared" si="896"/>
        <v>1436995.246084</v>
      </c>
      <c r="AK3065" s="20">
        <f t="shared" si="902"/>
        <v>0.10260437304590525</v>
      </c>
      <c r="AL3065" s="17"/>
      <c r="AM3065" s="17"/>
      <c r="AN3065" s="17"/>
      <c r="AO3065" s="17"/>
      <c r="AP3065" s="28" t="str">
        <f t="shared" si="903"/>
        <v>20202</v>
      </c>
      <c r="AQ3065" s="28" t="str">
        <f t="shared" si="904"/>
        <v>20202JPY</v>
      </c>
      <c r="AR3065" s="206" t="str">
        <f t="shared" si="905"/>
        <v>YAMAHA_Mounter</v>
      </c>
      <c r="AS3065" s="22">
        <f t="shared" si="906"/>
        <v>3</v>
      </c>
      <c r="AT3065" s="24" t="str">
        <f t="shared" si="907"/>
        <v>0-3 months</v>
      </c>
      <c r="AU3065" s="22" t="s">
        <v>3745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0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08"/>
        <v>8000000</v>
      </c>
      <c r="AA3066" s="13">
        <v>7.2800000000000004E-2</v>
      </c>
      <c r="AB3066" s="21">
        <f t="shared" si="894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895"/>
        <v>63006605.696460173</v>
      </c>
      <c r="AJ3066" s="19">
        <f t="shared" si="896"/>
        <v>8897485.660753984</v>
      </c>
      <c r="AK3066" s="20">
        <f t="shared" si="902"/>
        <v>0.141215124388995</v>
      </c>
      <c r="AL3066" s="17"/>
      <c r="AM3066" s="17"/>
      <c r="AN3066" s="17"/>
      <c r="AO3066" s="17"/>
      <c r="AP3066" s="28" t="str">
        <f t="shared" si="903"/>
        <v>20215</v>
      </c>
      <c r="AQ3066" s="28" t="str">
        <f t="shared" si="904"/>
        <v>20215JPY</v>
      </c>
      <c r="AR3066" s="206" t="str">
        <f t="shared" si="905"/>
        <v>YAMAHA_Mounter</v>
      </c>
      <c r="AS3066" s="22">
        <f t="shared" si="906"/>
        <v>0</v>
      </c>
      <c r="AT3066" s="24" t="str">
        <f t="shared" si="907"/>
        <v>0-3 months</v>
      </c>
      <c r="AU3066" s="22" t="s">
        <v>3745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0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08"/>
        <v>8000000</v>
      </c>
      <c r="AA3067" s="13">
        <v>7.2800000000000004E-2</v>
      </c>
      <c r="AB3067" s="21">
        <f t="shared" si="894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895"/>
        <v>63006605.696460173</v>
      </c>
      <c r="AJ3067" s="19">
        <f t="shared" si="896"/>
        <v>8897485.660753984</v>
      </c>
      <c r="AK3067" s="20">
        <f t="shared" si="902"/>
        <v>0.141215124388995</v>
      </c>
      <c r="AL3067" s="17"/>
      <c r="AM3067" s="17"/>
      <c r="AN3067" s="17"/>
      <c r="AO3067" s="17"/>
      <c r="AP3067" s="28" t="str">
        <f t="shared" si="903"/>
        <v>20215</v>
      </c>
      <c r="AQ3067" s="28" t="str">
        <f t="shared" si="904"/>
        <v>20215JPY</v>
      </c>
      <c r="AR3067" s="206" t="str">
        <f t="shared" si="905"/>
        <v>YAMAHA_Mounter</v>
      </c>
      <c r="AS3067" s="22">
        <f t="shared" si="906"/>
        <v>0</v>
      </c>
      <c r="AT3067" s="24" t="str">
        <f t="shared" si="907"/>
        <v>0-3 months</v>
      </c>
      <c r="AU3067" s="22" t="s">
        <v>3745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0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08"/>
        <v>10000000</v>
      </c>
      <c r="AA3068" s="13">
        <v>7.2999999999999995E-2</v>
      </c>
      <c r="AB3068" s="21">
        <f t="shared" ref="AB3068:AB3131" si="912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895"/>
        <v>499582152.5142017</v>
      </c>
      <c r="AJ3068" s="19">
        <f t="shared" si="896"/>
        <v>59520528.679470733</v>
      </c>
      <c r="AK3068" s="20">
        <f t="shared" si="902"/>
        <v>0.11914062257814291</v>
      </c>
      <c r="AL3068" s="17"/>
      <c r="AM3068" s="17"/>
      <c r="AN3068" s="17"/>
      <c r="AO3068" s="17"/>
      <c r="AP3068" s="28" t="str">
        <f t="shared" si="903"/>
        <v>CancelCancel</v>
      </c>
      <c r="AQ3068" s="28" t="str">
        <f t="shared" si="904"/>
        <v>CancelCancelJPY</v>
      </c>
      <c r="AR3068" s="206" t="str">
        <f t="shared" si="905"/>
        <v>YAMAHA_Mounter</v>
      </c>
      <c r="AS3068" s="22" t="str">
        <f t="shared" si="906"/>
        <v/>
      </c>
      <c r="AT3068" s="24" t="str">
        <f t="shared" si="907"/>
        <v/>
      </c>
      <c r="AU3068" s="22" t="s">
        <v>3745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0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08"/>
        <v>10000000</v>
      </c>
      <c r="AA3069" s="13">
        <v>7.2999999999999995E-2</v>
      </c>
      <c r="AB3069" s="21">
        <f t="shared" si="912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895"/>
        <v>499582152.5142017</v>
      </c>
      <c r="AJ3069" s="19">
        <f t="shared" si="896"/>
        <v>59520528.679470733</v>
      </c>
      <c r="AK3069" s="20">
        <f t="shared" si="902"/>
        <v>0.11914062257814291</v>
      </c>
      <c r="AL3069" s="17"/>
      <c r="AM3069" s="17"/>
      <c r="AN3069" s="17"/>
      <c r="AO3069" s="17"/>
      <c r="AP3069" s="28" t="str">
        <f t="shared" si="903"/>
        <v>CancelCancel</v>
      </c>
      <c r="AQ3069" s="28" t="str">
        <f t="shared" si="904"/>
        <v>CancelCancelJPY</v>
      </c>
      <c r="AR3069" s="206" t="str">
        <f t="shared" si="905"/>
        <v>YAMAHA_Mounter</v>
      </c>
      <c r="AS3069" s="22" t="str">
        <f t="shared" si="906"/>
        <v/>
      </c>
      <c r="AT3069" s="24" t="str">
        <f t="shared" si="907"/>
        <v/>
      </c>
      <c r="AU3069" s="22" t="s">
        <v>3745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0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08"/>
        <v>10000000</v>
      </c>
      <c r="AA3070" s="13">
        <v>7.2999999999999995E-2</v>
      </c>
      <c r="AB3070" s="21">
        <f t="shared" si="912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895"/>
        <v>499582152.5142017</v>
      </c>
      <c r="AJ3070" s="19">
        <f t="shared" si="896"/>
        <v>59520528.679470733</v>
      </c>
      <c r="AK3070" s="20">
        <f t="shared" si="902"/>
        <v>0.11914062257814291</v>
      </c>
      <c r="AL3070" s="17"/>
      <c r="AM3070" s="17"/>
      <c r="AN3070" s="17"/>
      <c r="AO3070" s="17"/>
      <c r="AP3070" s="28" t="str">
        <f t="shared" si="903"/>
        <v>CancelCancel</v>
      </c>
      <c r="AQ3070" s="28" t="str">
        <f t="shared" si="904"/>
        <v>CancelCancelJPY</v>
      </c>
      <c r="AR3070" s="206" t="str">
        <f t="shared" si="905"/>
        <v>YAMAHA_Mounter</v>
      </c>
      <c r="AS3070" s="22" t="str">
        <f t="shared" si="906"/>
        <v/>
      </c>
      <c r="AT3070" s="24" t="str">
        <f t="shared" si="907"/>
        <v/>
      </c>
      <c r="AU3070" s="22" t="s">
        <v>3745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0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08"/>
        <v>12650000</v>
      </c>
      <c r="AA3071" s="13">
        <v>7.3499999999999996E-2</v>
      </c>
      <c r="AB3071" s="21">
        <f t="shared" si="912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895"/>
        <v>499582152.5142017</v>
      </c>
      <c r="AJ3071" s="19">
        <f t="shared" si="896"/>
        <v>59520528.679470733</v>
      </c>
      <c r="AK3071" s="20">
        <f t="shared" si="902"/>
        <v>0.11914062257814291</v>
      </c>
      <c r="AL3071" s="17"/>
      <c r="AM3071" s="17"/>
      <c r="AN3071" s="17"/>
      <c r="AO3071" s="17"/>
      <c r="AP3071" s="28" t="str">
        <f t="shared" si="903"/>
        <v>CancelCancel</v>
      </c>
      <c r="AQ3071" s="28" t="str">
        <f t="shared" si="904"/>
        <v>CancelCancelJPY</v>
      </c>
      <c r="AR3071" s="206" t="str">
        <f t="shared" si="905"/>
        <v>YAMAHA_Mounter</v>
      </c>
      <c r="AS3071" s="22" t="str">
        <f t="shared" si="906"/>
        <v/>
      </c>
      <c r="AT3071" s="24" t="str">
        <f t="shared" si="907"/>
        <v/>
      </c>
      <c r="AU3071" s="22" t="s">
        <v>3745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0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08"/>
        <v>12650000</v>
      </c>
      <c r="AA3072" s="13">
        <v>7.3499999999999996E-2</v>
      </c>
      <c r="AB3072" s="21">
        <f t="shared" si="912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895"/>
        <v>499582152.5142017</v>
      </c>
      <c r="AJ3072" s="19">
        <f t="shared" si="896"/>
        <v>59520528.679470733</v>
      </c>
      <c r="AK3072" s="20">
        <f t="shared" si="902"/>
        <v>0.11914062257814291</v>
      </c>
      <c r="AL3072" s="17"/>
      <c r="AM3072" s="17"/>
      <c r="AN3072" s="17"/>
      <c r="AO3072" s="17"/>
      <c r="AP3072" s="28" t="str">
        <f t="shared" si="903"/>
        <v>CancelCancel</v>
      </c>
      <c r="AQ3072" s="28" t="str">
        <f t="shared" si="904"/>
        <v>CancelCancelJPY</v>
      </c>
      <c r="AR3072" s="206" t="str">
        <f t="shared" si="905"/>
        <v>YAMAHA_Mounter</v>
      </c>
      <c r="AS3072" s="22" t="str">
        <f t="shared" si="906"/>
        <v/>
      </c>
      <c r="AT3072" s="24" t="str">
        <f t="shared" si="907"/>
        <v/>
      </c>
      <c r="AU3072" s="22" t="s">
        <v>3745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0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08"/>
        <v>12650000</v>
      </c>
      <c r="AA3073" s="13">
        <v>7.3499999999999996E-2</v>
      </c>
      <c r="AB3073" s="21">
        <f t="shared" si="912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895"/>
        <v>499582152.5142017</v>
      </c>
      <c r="AJ3073" s="19">
        <f t="shared" si="896"/>
        <v>59520528.679470733</v>
      </c>
      <c r="AK3073" s="20">
        <f t="shared" si="902"/>
        <v>0.11914062257814291</v>
      </c>
      <c r="AL3073" s="17"/>
      <c r="AM3073" s="17"/>
      <c r="AN3073" s="17"/>
      <c r="AO3073" s="17"/>
      <c r="AP3073" s="28" t="str">
        <f t="shared" si="903"/>
        <v>CancelCancel</v>
      </c>
      <c r="AQ3073" s="28" t="str">
        <f t="shared" si="904"/>
        <v>CancelCancelJPY</v>
      </c>
      <c r="AR3073" s="206" t="str">
        <f t="shared" si="905"/>
        <v>YAMAHA_Mounter</v>
      </c>
      <c r="AS3073" s="22" t="str">
        <f t="shared" si="906"/>
        <v/>
      </c>
      <c r="AT3073" s="24" t="str">
        <f t="shared" si="907"/>
        <v/>
      </c>
      <c r="AU3073" s="22" t="s">
        <v>3745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0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08"/>
        <v>12650000</v>
      </c>
      <c r="AA3074" s="13">
        <v>7.3499999999999996E-2</v>
      </c>
      <c r="AB3074" s="21">
        <f t="shared" si="912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13">IF(P3074="C66 SERVICE","",SUMIFS(AB:AB,F:F,F3074,G:G,G3074,E:E,E3074))</f>
        <v>499582152.5142017</v>
      </c>
      <c r="AJ3074" s="19">
        <f t="shared" ref="AJ3074:AJ3137" si="914">IF(P3074="C66 SERVICE","",SUMIFS(AC:AC,F:F,F3074,G:G,G3074,E:E,E3074))</f>
        <v>59520528.679470733</v>
      </c>
      <c r="AK3074" s="20">
        <f t="shared" si="902"/>
        <v>0.11914062257814291</v>
      </c>
      <c r="AL3074" s="17"/>
      <c r="AM3074" s="17"/>
      <c r="AN3074" s="17"/>
      <c r="AO3074" s="17"/>
      <c r="AP3074" s="28" t="str">
        <f t="shared" si="903"/>
        <v>CancelCancel</v>
      </c>
      <c r="AQ3074" s="28" t="str">
        <f t="shared" si="904"/>
        <v>CancelCancelJPY</v>
      </c>
      <c r="AR3074" s="206" t="str">
        <f t="shared" si="905"/>
        <v>YAMAHA_Mounter</v>
      </c>
      <c r="AS3074" s="22" t="str">
        <f t="shared" si="906"/>
        <v/>
      </c>
      <c r="AT3074" s="24" t="str">
        <f t="shared" si="907"/>
        <v/>
      </c>
      <c r="AU3074" s="22" t="s">
        <v>3745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0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08"/>
        <v>12650000</v>
      </c>
      <c r="AA3075" s="13">
        <v>7.3499999999999996E-2</v>
      </c>
      <c r="AB3075" s="21">
        <f t="shared" si="912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13"/>
        <v>499582152.5142017</v>
      </c>
      <c r="AJ3075" s="19">
        <f t="shared" si="914"/>
        <v>59520528.679470733</v>
      </c>
      <c r="AK3075" s="20">
        <f t="shared" si="902"/>
        <v>0.11914062257814291</v>
      </c>
      <c r="AL3075" s="17"/>
      <c r="AM3075" s="17"/>
      <c r="AN3075" s="17"/>
      <c r="AO3075" s="17"/>
      <c r="AP3075" s="28" t="str">
        <f t="shared" si="903"/>
        <v>CancelCancel</v>
      </c>
      <c r="AQ3075" s="28" t="str">
        <f t="shared" si="904"/>
        <v>CancelCancelJPY</v>
      </c>
      <c r="AR3075" s="206" t="str">
        <f t="shared" si="905"/>
        <v>YAMAHA_Mounter</v>
      </c>
      <c r="AS3075" s="22" t="str">
        <f t="shared" si="906"/>
        <v/>
      </c>
      <c r="AT3075" s="24" t="str">
        <f t="shared" si="907"/>
        <v/>
      </c>
      <c r="AU3075" s="22" t="s">
        <v>3745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0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08"/>
        <v>12650000</v>
      </c>
      <c r="AA3076" s="13">
        <v>7.3499999999999996E-2</v>
      </c>
      <c r="AB3076" s="21">
        <f t="shared" si="912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13"/>
        <v>499582152.5142017</v>
      </c>
      <c r="AJ3076" s="19">
        <f t="shared" si="914"/>
        <v>59520528.679470733</v>
      </c>
      <c r="AK3076" s="20">
        <f t="shared" si="902"/>
        <v>0.11914062257814291</v>
      </c>
      <c r="AL3076" s="17"/>
      <c r="AM3076" s="17"/>
      <c r="AN3076" s="17"/>
      <c r="AO3076" s="17"/>
      <c r="AP3076" s="28" t="str">
        <f t="shared" si="903"/>
        <v>CancelCancel</v>
      </c>
      <c r="AQ3076" s="28" t="str">
        <f t="shared" si="904"/>
        <v>CancelCancelJPY</v>
      </c>
      <c r="AR3076" s="206" t="str">
        <f t="shared" si="905"/>
        <v>YAMAHA_Mounter</v>
      </c>
      <c r="AS3076" s="22" t="str">
        <f t="shared" si="906"/>
        <v/>
      </c>
      <c r="AT3076" s="24" t="str">
        <f t="shared" si="907"/>
        <v/>
      </c>
      <c r="AU3076" s="22" t="s">
        <v>3745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0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08"/>
        <v>12650000</v>
      </c>
      <c r="AA3077" s="13">
        <v>7.3499999999999996E-2</v>
      </c>
      <c r="AB3077" s="21">
        <f t="shared" si="912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13"/>
        <v>499582152.5142017</v>
      </c>
      <c r="AJ3077" s="19">
        <f t="shared" si="914"/>
        <v>59520528.679470733</v>
      </c>
      <c r="AK3077" s="20">
        <f t="shared" si="902"/>
        <v>0.11914062257814291</v>
      </c>
      <c r="AL3077" s="17"/>
      <c r="AM3077" s="17"/>
      <c r="AN3077" s="17"/>
      <c r="AO3077" s="17"/>
      <c r="AP3077" s="28" t="str">
        <f t="shared" si="903"/>
        <v>CancelCancel</v>
      </c>
      <c r="AQ3077" s="28" t="str">
        <f t="shared" si="904"/>
        <v>CancelCancelJPY</v>
      </c>
      <c r="AR3077" s="206" t="str">
        <f t="shared" si="905"/>
        <v>YAMAHA_Mounter</v>
      </c>
      <c r="AS3077" s="22" t="str">
        <f t="shared" si="906"/>
        <v/>
      </c>
      <c r="AT3077" s="24" t="str">
        <f t="shared" si="907"/>
        <v/>
      </c>
      <c r="AU3077" s="22" t="s">
        <v>3745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0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08"/>
        <v>12650000</v>
      </c>
      <c r="AA3078" s="13">
        <v>7.3499999999999996E-2</v>
      </c>
      <c r="AB3078" s="21">
        <f t="shared" si="912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13"/>
        <v>499582152.5142017</v>
      </c>
      <c r="AJ3078" s="19">
        <f t="shared" si="914"/>
        <v>59520528.679470733</v>
      </c>
      <c r="AK3078" s="20">
        <f t="shared" ref="AK3078:AK3141" si="920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1">IF(F3078="","",F3078&amp;G3078)</f>
        <v>CancelCancel</v>
      </c>
      <c r="AQ3078" s="28" t="str">
        <f t="shared" ref="AQ3078:AQ3141" si="922">IF(W3078="","",F3078&amp;G3078&amp;W3078)</f>
        <v>CancelCancelJPY</v>
      </c>
      <c r="AR3078" s="206" t="str">
        <f t="shared" ref="AR3078:AR3141" si="923">IFERROR(IF(AND(M3078="YAMAHA", R3078="C28"), "YAMAHA_Non_Mounter", IF(AND(M3078="YAMAHA", R3078="C49"), "YAMAHA_Mounter", M3078)),"")</f>
        <v>YAMAHA_Mounter</v>
      </c>
      <c r="AS3078" s="22" t="str">
        <f t="shared" ref="AS3078:AS3141" si="924">IFERROR(IF(OR(G3078="TBA", G3078=""), "", DATEDIF(DATE(B3078, C3078, 1), DATE(F3078, G3078, 1), "M")),"")</f>
        <v/>
      </c>
      <c r="AT3078" s="24" t="str">
        <f t="shared" ref="AT3078:AT3141" si="925">IF(ISNUMBER(AS3078), IF(AS3078&gt;=0, IF(AS3078&lt;=3, "0-3 months", IF(AS3078&lt;=6, "4-6 months", "&gt; 6 months"))), "")</f>
        <v/>
      </c>
      <c r="AU3078" s="22" t="s">
        <v>3745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0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08"/>
        <v>12650000</v>
      </c>
      <c r="AA3079" s="13">
        <v>7.3499999999999996E-2</v>
      </c>
      <c r="AB3079" s="21">
        <f t="shared" si="912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13"/>
        <v>499582152.5142017</v>
      </c>
      <c r="AJ3079" s="19">
        <f t="shared" si="914"/>
        <v>59520528.679470733</v>
      </c>
      <c r="AK3079" s="20">
        <f t="shared" si="920"/>
        <v>0.11914062257814291</v>
      </c>
      <c r="AL3079" s="17"/>
      <c r="AM3079" s="17"/>
      <c r="AN3079" s="17"/>
      <c r="AO3079" s="17"/>
      <c r="AP3079" s="28" t="str">
        <f t="shared" si="921"/>
        <v>CancelCancel</v>
      </c>
      <c r="AQ3079" s="28" t="str">
        <f t="shared" si="922"/>
        <v>CancelCancelJPY</v>
      </c>
      <c r="AR3079" s="206" t="str">
        <f t="shared" si="923"/>
        <v>YAMAHA_Mounter</v>
      </c>
      <c r="AS3079" s="22" t="str">
        <f t="shared" si="924"/>
        <v/>
      </c>
      <c r="AT3079" s="24" t="str">
        <f t="shared" si="925"/>
        <v/>
      </c>
      <c r="AU3079" s="22" t="s">
        <v>3745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0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08"/>
        <v>12650000</v>
      </c>
      <c r="AA3080" s="13">
        <v>7.3499999999999996E-2</v>
      </c>
      <c r="AB3080" s="21">
        <f t="shared" si="912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13"/>
        <v>499582152.5142017</v>
      </c>
      <c r="AJ3080" s="19">
        <f t="shared" si="914"/>
        <v>59520528.679470733</v>
      </c>
      <c r="AK3080" s="20">
        <f t="shared" si="920"/>
        <v>0.11914062257814291</v>
      </c>
      <c r="AL3080" s="17"/>
      <c r="AM3080" s="17"/>
      <c r="AN3080" s="17"/>
      <c r="AO3080" s="17"/>
      <c r="AP3080" s="28" t="str">
        <f t="shared" si="921"/>
        <v>CancelCancel</v>
      </c>
      <c r="AQ3080" s="28" t="str">
        <f t="shared" si="922"/>
        <v>CancelCancelJPY</v>
      </c>
      <c r="AR3080" s="206" t="str">
        <f t="shared" si="923"/>
        <v>YAMAHA_Mounter</v>
      </c>
      <c r="AS3080" s="22" t="str">
        <f t="shared" si="924"/>
        <v/>
      </c>
      <c r="AT3080" s="24" t="str">
        <f t="shared" si="925"/>
        <v/>
      </c>
      <c r="AU3080" s="22" t="s">
        <v>3745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0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08"/>
        <v>12650000</v>
      </c>
      <c r="AA3081" s="13">
        <v>7.3499999999999996E-2</v>
      </c>
      <c r="AB3081" s="21">
        <f t="shared" si="912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13"/>
        <v>499582152.5142017</v>
      </c>
      <c r="AJ3081" s="19">
        <f t="shared" si="914"/>
        <v>59520528.679470733</v>
      </c>
      <c r="AK3081" s="20">
        <f t="shared" si="920"/>
        <v>0.11914062257814291</v>
      </c>
      <c r="AL3081" s="17"/>
      <c r="AM3081" s="17"/>
      <c r="AN3081" s="17"/>
      <c r="AO3081" s="17"/>
      <c r="AP3081" s="28" t="str">
        <f t="shared" si="921"/>
        <v>CancelCancel</v>
      </c>
      <c r="AQ3081" s="28" t="str">
        <f t="shared" si="922"/>
        <v>CancelCancelJPY</v>
      </c>
      <c r="AR3081" s="206" t="str">
        <f t="shared" si="923"/>
        <v>YAMAHA_Mounter</v>
      </c>
      <c r="AS3081" s="22" t="str">
        <f t="shared" si="924"/>
        <v/>
      </c>
      <c r="AT3081" s="24" t="str">
        <f t="shared" si="925"/>
        <v/>
      </c>
      <c r="AU3081" s="22" t="s">
        <v>3745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0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6">IF(X3082="","",X3082*MAX(O3082,N3082))</f>
        <v>12650000</v>
      </c>
      <c r="AA3082" s="13">
        <v>7.3499999999999996E-2</v>
      </c>
      <c r="AB3082" s="21">
        <f t="shared" si="912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13"/>
        <v>499582152.5142017</v>
      </c>
      <c r="AJ3082" s="19">
        <f t="shared" si="914"/>
        <v>59520528.679470733</v>
      </c>
      <c r="AK3082" s="20">
        <f t="shared" si="920"/>
        <v>0.11914062257814291</v>
      </c>
      <c r="AL3082" s="17"/>
      <c r="AM3082" s="17"/>
      <c r="AN3082" s="17"/>
      <c r="AO3082" s="17"/>
      <c r="AP3082" s="28" t="str">
        <f t="shared" si="921"/>
        <v>CancelCancel</v>
      </c>
      <c r="AQ3082" s="28" t="str">
        <f t="shared" si="922"/>
        <v>CancelCancelJPY</v>
      </c>
      <c r="AR3082" s="206" t="str">
        <f t="shared" si="923"/>
        <v>YAMAHA_Mounter</v>
      </c>
      <c r="AS3082" s="22" t="str">
        <f t="shared" si="924"/>
        <v/>
      </c>
      <c r="AT3082" s="24" t="str">
        <f t="shared" si="925"/>
        <v/>
      </c>
      <c r="AU3082" s="22" t="s">
        <v>3745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0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6"/>
        <v>1225000</v>
      </c>
      <c r="AA3083" s="13">
        <v>1.1299999999999999</v>
      </c>
      <c r="AB3083" s="21">
        <f t="shared" si="912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13"/>
        <v>33543315.897345133</v>
      </c>
      <c r="AJ3083" s="19">
        <f t="shared" si="914"/>
        <v>4706169.3252984071</v>
      </c>
      <c r="AK3083" s="20">
        <f t="shared" si="920"/>
        <v>0.14030125523967318</v>
      </c>
      <c r="AL3083" s="17"/>
      <c r="AM3083" s="17"/>
      <c r="AN3083" s="17"/>
      <c r="AO3083" s="17"/>
      <c r="AP3083" s="28" t="str">
        <f t="shared" si="921"/>
        <v>20233</v>
      </c>
      <c r="AQ3083" s="28" t="str">
        <f t="shared" si="922"/>
        <v>20233RMB</v>
      </c>
      <c r="AR3083" s="206" t="str">
        <f t="shared" si="923"/>
        <v>YAMAHA_Mounter</v>
      </c>
      <c r="AS3083" s="22">
        <f t="shared" si="924"/>
        <v>2</v>
      </c>
      <c r="AT3083" s="24" t="str">
        <f t="shared" si="925"/>
        <v>0-3 months</v>
      </c>
      <c r="AU3083" s="22" t="s">
        <v>3751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0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6"/>
        <v>1225000</v>
      </c>
      <c r="AA3084" s="13">
        <v>1.1299999999999999</v>
      </c>
      <c r="AB3084" s="21">
        <f t="shared" si="912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13"/>
        <v>33543315.897345133</v>
      </c>
      <c r="AJ3084" s="19">
        <f t="shared" si="914"/>
        <v>4706169.3252984071</v>
      </c>
      <c r="AK3084" s="20">
        <f t="shared" si="920"/>
        <v>0.14030125523967318</v>
      </c>
      <c r="AL3084" s="17"/>
      <c r="AM3084" s="17"/>
      <c r="AN3084" s="17"/>
      <c r="AO3084" s="17"/>
      <c r="AP3084" s="28" t="str">
        <f t="shared" si="921"/>
        <v>20233</v>
      </c>
      <c r="AQ3084" s="28" t="str">
        <f t="shared" si="922"/>
        <v>20233RMB</v>
      </c>
      <c r="AR3084" s="206" t="str">
        <f t="shared" si="923"/>
        <v>YAMAHA_Mounter</v>
      </c>
      <c r="AS3084" s="22">
        <f t="shared" si="924"/>
        <v>2</v>
      </c>
      <c r="AT3084" s="24" t="str">
        <f t="shared" si="925"/>
        <v>0-3 months</v>
      </c>
      <c r="AU3084" s="22" t="s">
        <v>3751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0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6"/>
        <v>1225000</v>
      </c>
      <c r="AA3085" s="13">
        <v>1.1299999999999999</v>
      </c>
      <c r="AB3085" s="21">
        <f t="shared" si="912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13"/>
        <v>33543315.897345133</v>
      </c>
      <c r="AJ3085" s="19">
        <f t="shared" si="914"/>
        <v>4706169.3252984071</v>
      </c>
      <c r="AK3085" s="20">
        <f t="shared" si="920"/>
        <v>0.14030125523967318</v>
      </c>
      <c r="AL3085" s="17"/>
      <c r="AM3085" s="17"/>
      <c r="AN3085" s="17"/>
      <c r="AO3085" s="17"/>
      <c r="AP3085" s="28" t="str">
        <f t="shared" si="921"/>
        <v>20233</v>
      </c>
      <c r="AQ3085" s="28" t="str">
        <f t="shared" si="922"/>
        <v>20233RMB</v>
      </c>
      <c r="AR3085" s="206" t="str">
        <f t="shared" si="923"/>
        <v>YAMAHA_Mounter</v>
      </c>
      <c r="AS3085" s="22">
        <f t="shared" si="924"/>
        <v>2</v>
      </c>
      <c r="AT3085" s="24" t="str">
        <f t="shared" si="925"/>
        <v>0-3 months</v>
      </c>
      <c r="AU3085" s="22" t="s">
        <v>3751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0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6"/>
        <v>1225000</v>
      </c>
      <c r="AA3086" s="13">
        <v>1.1399999999999999</v>
      </c>
      <c r="AB3086" s="21">
        <f t="shared" si="912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13"/>
        <v>30573205.452778768</v>
      </c>
      <c r="AJ3086" s="19">
        <f t="shared" si="914"/>
        <v>3790930.1683151261</v>
      </c>
      <c r="AK3086" s="20">
        <f t="shared" si="920"/>
        <v>0.12399518179964254</v>
      </c>
      <c r="AL3086" s="17"/>
      <c r="AM3086" s="17"/>
      <c r="AN3086" s="17"/>
      <c r="AO3086" s="17"/>
      <c r="AP3086" s="28" t="str">
        <f t="shared" si="921"/>
        <v>20234</v>
      </c>
      <c r="AQ3086" s="28" t="str">
        <f t="shared" si="922"/>
        <v>20234RMB</v>
      </c>
      <c r="AR3086" s="206" t="str">
        <f t="shared" si="923"/>
        <v>YAMAHA_Mounter</v>
      </c>
      <c r="AS3086" s="22">
        <f t="shared" si="924"/>
        <v>3</v>
      </c>
      <c r="AT3086" s="24" t="str">
        <f t="shared" si="925"/>
        <v>0-3 months</v>
      </c>
      <c r="AU3086" s="22" t="s">
        <v>3751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0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7">IF(W3087="","",IF(W3087="RMB","1.13", "1"))</f>
        <v>1.13</v>
      </c>
      <c r="Z3087" s="196">
        <f t="shared" si="926"/>
        <v>390000</v>
      </c>
      <c r="AA3087" s="22">
        <v>1.08</v>
      </c>
      <c r="AB3087" s="197">
        <f t="shared" si="912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13"/>
        <v>25354039.366920356</v>
      </c>
      <c r="AJ3087" s="200">
        <f t="shared" si="914"/>
        <v>3028631.2816309328</v>
      </c>
      <c r="AK3087" s="201">
        <f t="shared" si="920"/>
        <v>0.11945360018579192</v>
      </c>
      <c r="AL3087" s="24"/>
      <c r="AM3087" s="24"/>
      <c r="AN3087" s="24"/>
      <c r="AO3087" s="24"/>
      <c r="AP3087" s="105" t="str">
        <f t="shared" si="921"/>
        <v>20248</v>
      </c>
      <c r="AQ3087" s="28" t="str">
        <f t="shared" si="922"/>
        <v>20248RMB</v>
      </c>
      <c r="AR3087" s="206" t="str">
        <f t="shared" si="923"/>
        <v>YAMAHA_Mounter</v>
      </c>
      <c r="AS3087" s="22">
        <f t="shared" si="924"/>
        <v>3</v>
      </c>
      <c r="AT3087" s="24" t="str">
        <f t="shared" si="925"/>
        <v>0-3 months</v>
      </c>
      <c r="AU3087" s="22" t="s">
        <v>3751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0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7"/>
        <v>1</v>
      </c>
      <c r="Z3088" s="196">
        <f t="shared" si="926"/>
        <v>11500000</v>
      </c>
      <c r="AA3088" s="22">
        <v>5.2299999999999999E-2</v>
      </c>
      <c r="AB3088" s="197">
        <f t="shared" si="912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13"/>
        <v>25354039.366920356</v>
      </c>
      <c r="AJ3088" s="200">
        <f t="shared" si="914"/>
        <v>3028631.2816309328</v>
      </c>
      <c r="AK3088" s="201">
        <f t="shared" si="920"/>
        <v>0.11945360018579192</v>
      </c>
      <c r="AL3088" s="24"/>
      <c r="AM3088" s="24"/>
      <c r="AN3088" s="24"/>
      <c r="AO3088" s="24"/>
      <c r="AP3088" s="105" t="str">
        <f t="shared" si="921"/>
        <v>20248</v>
      </c>
      <c r="AQ3088" s="28" t="str">
        <f t="shared" si="922"/>
        <v>20248JPY</v>
      </c>
      <c r="AR3088" s="206" t="str">
        <f t="shared" si="923"/>
        <v>YAMAHA_Mounter</v>
      </c>
      <c r="AS3088" s="22">
        <f t="shared" si="924"/>
        <v>3</v>
      </c>
      <c r="AT3088" s="24" t="str">
        <f t="shared" si="925"/>
        <v>0-3 months</v>
      </c>
      <c r="AU3088" s="22" t="s">
        <v>3745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0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7"/>
        <v>1</v>
      </c>
      <c r="Z3089" s="196">
        <f t="shared" si="926"/>
        <v>11800000</v>
      </c>
      <c r="AA3089" s="22">
        <v>5.2299999999999999E-2</v>
      </c>
      <c r="AB3089" s="197">
        <f t="shared" si="912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13"/>
        <v>25354039.366920356</v>
      </c>
      <c r="AJ3089" s="200">
        <f t="shared" si="914"/>
        <v>3028631.2816309328</v>
      </c>
      <c r="AK3089" s="201">
        <f t="shared" si="920"/>
        <v>0.11945360018579192</v>
      </c>
      <c r="AL3089" s="24"/>
      <c r="AM3089" s="24"/>
      <c r="AN3089" s="24"/>
      <c r="AO3089" s="24"/>
      <c r="AP3089" s="105" t="str">
        <f t="shared" si="921"/>
        <v>20248</v>
      </c>
      <c r="AQ3089" s="28" t="str">
        <f t="shared" si="922"/>
        <v>20248JPY</v>
      </c>
      <c r="AR3089" s="206" t="str">
        <f t="shared" si="923"/>
        <v>YAMAHA_Mounter</v>
      </c>
      <c r="AS3089" s="22">
        <f t="shared" si="924"/>
        <v>3</v>
      </c>
      <c r="AT3089" s="24" t="str">
        <f t="shared" si="925"/>
        <v>0-3 months</v>
      </c>
      <c r="AU3089" s="22" t="s">
        <v>3745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0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7"/>
        <v>1</v>
      </c>
      <c r="Z3090" s="196">
        <f t="shared" si="926"/>
        <v>12100000</v>
      </c>
      <c r="AA3090" s="22">
        <v>5.2299999999999999E-2</v>
      </c>
      <c r="AB3090" s="197">
        <f t="shared" si="912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13"/>
        <v>25354039.366920356</v>
      </c>
      <c r="AJ3090" s="200">
        <f t="shared" si="914"/>
        <v>3028631.2816309328</v>
      </c>
      <c r="AK3090" s="201">
        <f t="shared" si="920"/>
        <v>0.11945360018579192</v>
      </c>
      <c r="AL3090" s="24"/>
      <c r="AM3090" s="24"/>
      <c r="AN3090" s="24"/>
      <c r="AO3090" s="24"/>
      <c r="AP3090" s="105" t="str">
        <f t="shared" si="921"/>
        <v>20248</v>
      </c>
      <c r="AQ3090" s="28" t="str">
        <f t="shared" si="922"/>
        <v>20248JPY</v>
      </c>
      <c r="AR3090" s="206" t="str">
        <f t="shared" si="923"/>
        <v>YAMAHA_Mounter</v>
      </c>
      <c r="AS3090" s="22">
        <f t="shared" si="924"/>
        <v>2</v>
      </c>
      <c r="AT3090" s="24" t="str">
        <f t="shared" si="925"/>
        <v>0-3 months</v>
      </c>
      <c r="AU3090" s="22" t="s">
        <v>3746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0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7"/>
        <v>1</v>
      </c>
      <c r="Z3091" s="196">
        <f t="shared" si="926"/>
        <v>12100000</v>
      </c>
      <c r="AA3091" s="22">
        <v>5.2299999999999999E-2</v>
      </c>
      <c r="AB3091" s="197">
        <f t="shared" si="912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13"/>
        <v>25354039.366920356</v>
      </c>
      <c r="AJ3091" s="200">
        <f t="shared" si="914"/>
        <v>3028631.2816309328</v>
      </c>
      <c r="AK3091" s="201">
        <f t="shared" si="920"/>
        <v>0.11945360018579192</v>
      </c>
      <c r="AL3091" s="24"/>
      <c r="AM3091" s="24"/>
      <c r="AN3091" s="24"/>
      <c r="AO3091" s="24"/>
      <c r="AP3091" s="105" t="str">
        <f t="shared" si="921"/>
        <v>20248</v>
      </c>
      <c r="AQ3091" s="28" t="str">
        <f t="shared" si="922"/>
        <v>20248JPY</v>
      </c>
      <c r="AR3091" s="206" t="str">
        <f t="shared" si="923"/>
        <v>YAMAHA_Mounter</v>
      </c>
      <c r="AS3091" s="22">
        <f t="shared" si="924"/>
        <v>2</v>
      </c>
      <c r="AT3091" s="24" t="str">
        <f t="shared" si="925"/>
        <v>0-3 months</v>
      </c>
      <c r="AU3091" s="22" t="s">
        <v>3746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0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7"/>
        <v>1</v>
      </c>
      <c r="Z3092" s="196">
        <f t="shared" si="926"/>
        <v>12100000</v>
      </c>
      <c r="AA3092" s="22">
        <v>5.2299999999999999E-2</v>
      </c>
      <c r="AB3092" s="197">
        <f t="shared" si="912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13"/>
        <v>25354039.366920356</v>
      </c>
      <c r="AJ3092" s="200">
        <f t="shared" si="914"/>
        <v>3028631.2816309328</v>
      </c>
      <c r="AK3092" s="201">
        <f t="shared" si="920"/>
        <v>0.11945360018579192</v>
      </c>
      <c r="AL3092" s="24"/>
      <c r="AM3092" s="24"/>
      <c r="AN3092" s="24"/>
      <c r="AO3092" s="24"/>
      <c r="AP3092" s="105" t="str">
        <f t="shared" si="921"/>
        <v>20248</v>
      </c>
      <c r="AQ3092" s="28" t="str">
        <f t="shared" si="922"/>
        <v>20248JPY</v>
      </c>
      <c r="AR3092" s="206" t="str">
        <f t="shared" si="923"/>
        <v>YAMAHA_Mounter</v>
      </c>
      <c r="AS3092" s="22">
        <f t="shared" si="924"/>
        <v>2</v>
      </c>
      <c r="AT3092" s="24" t="str">
        <f t="shared" si="925"/>
        <v>0-3 months</v>
      </c>
      <c r="AU3092" s="22" t="s">
        <v>3746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0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6"/>
        <v>553500</v>
      </c>
      <c r="AA3093" s="13">
        <v>1.175</v>
      </c>
      <c r="AB3093" s="21">
        <f t="shared" si="912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13"/>
        <v>48763143.537654862</v>
      </c>
      <c r="AJ3093" s="19">
        <f t="shared" si="914"/>
        <v>5924029.9702154724</v>
      </c>
      <c r="AK3093" s="20">
        <f t="shared" si="920"/>
        <v>0.1214858095774925</v>
      </c>
      <c r="AL3093" s="17"/>
      <c r="AM3093" s="17"/>
      <c r="AN3093" s="17"/>
      <c r="AO3093" s="17"/>
      <c r="AP3093" s="28" t="str">
        <f t="shared" si="921"/>
        <v>202012</v>
      </c>
      <c r="AQ3093" s="28" t="str">
        <f t="shared" si="922"/>
        <v>202012RMB</v>
      </c>
      <c r="AR3093" s="206" t="str">
        <f t="shared" si="923"/>
        <v>YAMAHA_Mounter</v>
      </c>
      <c r="AS3093" s="22">
        <f t="shared" si="924"/>
        <v>1</v>
      </c>
      <c r="AT3093" s="24" t="str">
        <f t="shared" si="925"/>
        <v>0-3 months</v>
      </c>
      <c r="AU3093" s="22" t="s">
        <v>3744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28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6"/>
        <v>10337775</v>
      </c>
      <c r="AA3094" s="13">
        <v>7.22E-2</v>
      </c>
      <c r="AB3094" s="21">
        <f t="shared" si="912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13"/>
        <v>29946107.503386207</v>
      </c>
      <c r="AJ3094" s="19">
        <f t="shared" si="914"/>
        <v>3987206.4954923098</v>
      </c>
      <c r="AK3094" s="20">
        <f t="shared" si="920"/>
        <v>0.13314606898547499</v>
      </c>
      <c r="AL3094" s="17"/>
      <c r="AM3094" s="17"/>
      <c r="AN3094" s="17"/>
      <c r="AO3094" s="17"/>
      <c r="AP3094" s="28" t="str">
        <f t="shared" si="921"/>
        <v>20187</v>
      </c>
      <c r="AQ3094" s="28" t="str">
        <f t="shared" si="922"/>
        <v>20187JPY</v>
      </c>
      <c r="AR3094" s="206" t="str">
        <f t="shared" si="923"/>
        <v>YAMAHA_Mounter</v>
      </c>
      <c r="AS3094" s="22">
        <f t="shared" si="924"/>
        <v>12</v>
      </c>
      <c r="AT3094" s="24" t="str">
        <f t="shared" si="925"/>
        <v>&gt; 6 months</v>
      </c>
      <c r="AU3094" s="22" t="s">
        <v>3745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28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6"/>
        <v>570000</v>
      </c>
      <c r="AA3095" s="13">
        <v>1.1599999999999999</v>
      </c>
      <c r="AB3095" s="21">
        <f t="shared" si="912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13"/>
        <v>14593788.187146019</v>
      </c>
      <c r="AJ3095" s="19">
        <f t="shared" si="914"/>
        <v>1868647.7321969916</v>
      </c>
      <c r="AK3095" s="20">
        <f t="shared" si="920"/>
        <v>0.12804404916900652</v>
      </c>
      <c r="AL3095" s="17"/>
      <c r="AM3095" s="17"/>
      <c r="AN3095" s="17"/>
      <c r="AO3095" s="17"/>
      <c r="AP3095" s="28" t="str">
        <f t="shared" si="921"/>
        <v>20195</v>
      </c>
      <c r="AQ3095" s="28" t="str">
        <f t="shared" si="922"/>
        <v>20195RMB</v>
      </c>
      <c r="AR3095" s="206" t="str">
        <f t="shared" si="923"/>
        <v>YAMAHA_Mounter</v>
      </c>
      <c r="AS3095" s="22">
        <f t="shared" si="924"/>
        <v>0</v>
      </c>
      <c r="AT3095" s="24" t="str">
        <f t="shared" si="925"/>
        <v>0-3 months</v>
      </c>
      <c r="AU3095" s="22" t="s">
        <v>3745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28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6"/>
        <v>10400000</v>
      </c>
      <c r="AA3096" s="13">
        <v>7.2999999999999995E-2</v>
      </c>
      <c r="AB3096" s="21">
        <f t="shared" si="912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13"/>
        <v>23168285.927433632</v>
      </c>
      <c r="AJ3096" s="19">
        <f t="shared" si="914"/>
        <v>2764878.916878053</v>
      </c>
      <c r="AK3096" s="20">
        <f t="shared" si="920"/>
        <v>0.11933895004309111</v>
      </c>
      <c r="AL3096" s="17"/>
      <c r="AM3096" s="17"/>
      <c r="AN3096" s="17"/>
      <c r="AO3096" s="17"/>
      <c r="AP3096" s="28" t="str">
        <f t="shared" si="921"/>
        <v>20203</v>
      </c>
      <c r="AQ3096" s="28" t="str">
        <f t="shared" si="922"/>
        <v>20203JPY</v>
      </c>
      <c r="AR3096" s="206" t="str">
        <f t="shared" si="923"/>
        <v>YAMAHA_Mounter</v>
      </c>
      <c r="AS3096" s="22">
        <f t="shared" si="924"/>
        <v>2</v>
      </c>
      <c r="AT3096" s="24" t="str">
        <f t="shared" si="925"/>
        <v>0-3 months</v>
      </c>
      <c r="AU3096" s="22" t="s">
        <v>3746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28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6"/>
        <v>7200000</v>
      </c>
      <c r="AA3097" s="13">
        <v>7.2999999999999995E-2</v>
      </c>
      <c r="AB3097" s="21">
        <f t="shared" si="912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13"/>
        <v>23168285.927433632</v>
      </c>
      <c r="AJ3097" s="19">
        <f t="shared" si="914"/>
        <v>2764878.916878053</v>
      </c>
      <c r="AK3097" s="20">
        <f t="shared" si="920"/>
        <v>0.11933895004309111</v>
      </c>
      <c r="AL3097" s="17"/>
      <c r="AM3097" s="17"/>
      <c r="AN3097" s="17"/>
      <c r="AO3097" s="17"/>
      <c r="AP3097" s="28" t="str">
        <f t="shared" si="921"/>
        <v>20203</v>
      </c>
      <c r="AQ3097" s="28" t="str">
        <f t="shared" si="922"/>
        <v>20203JPY</v>
      </c>
      <c r="AR3097" s="206" t="str">
        <f t="shared" si="923"/>
        <v>YAMAHA_Mounter</v>
      </c>
      <c r="AS3097" s="22">
        <f t="shared" si="924"/>
        <v>2</v>
      </c>
      <c r="AT3097" s="24" t="str">
        <f t="shared" si="925"/>
        <v>0-3 months</v>
      </c>
      <c r="AU3097" s="22" t="s">
        <v>3746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28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6"/>
        <v>8150000</v>
      </c>
      <c r="AA3098" s="13">
        <v>7.17E-2</v>
      </c>
      <c r="AB3098" s="21">
        <f t="shared" si="912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13"/>
        <v>499582152.5142017</v>
      </c>
      <c r="AJ3098" s="19">
        <f t="shared" si="914"/>
        <v>59520528.679470733</v>
      </c>
      <c r="AK3098" s="20">
        <f t="shared" si="920"/>
        <v>0.11914062257814291</v>
      </c>
      <c r="AL3098" s="17"/>
      <c r="AM3098" s="17"/>
      <c r="AN3098" s="17"/>
      <c r="AO3098" s="17"/>
      <c r="AP3098" s="28" t="str">
        <f t="shared" si="921"/>
        <v>CancelCancel</v>
      </c>
      <c r="AQ3098" s="28" t="str">
        <f t="shared" si="922"/>
        <v>CancelCancelJPY</v>
      </c>
      <c r="AR3098" s="206" t="str">
        <f t="shared" si="923"/>
        <v>YAMAHA_Mounter</v>
      </c>
      <c r="AS3098" s="22" t="str">
        <f t="shared" si="924"/>
        <v/>
      </c>
      <c r="AT3098" s="24" t="str">
        <f t="shared" si="925"/>
        <v/>
      </c>
      <c r="AU3098" s="22" t="s">
        <v>3745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28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6"/>
        <v>8150000</v>
      </c>
      <c r="AA3099" s="13">
        <v>7.17E-2</v>
      </c>
      <c r="AB3099" s="21">
        <f t="shared" si="912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13"/>
        <v>499582152.5142017</v>
      </c>
      <c r="AJ3099" s="19">
        <f t="shared" si="914"/>
        <v>59520528.679470733</v>
      </c>
      <c r="AK3099" s="20">
        <f t="shared" si="920"/>
        <v>0.11914062257814291</v>
      </c>
      <c r="AL3099" s="17"/>
      <c r="AM3099" s="17"/>
      <c r="AN3099" s="17"/>
      <c r="AO3099" s="17"/>
      <c r="AP3099" s="28" t="str">
        <f t="shared" si="921"/>
        <v>CancelCancel</v>
      </c>
      <c r="AQ3099" s="28" t="str">
        <f t="shared" si="922"/>
        <v>CancelCancelJPY</v>
      </c>
      <c r="AR3099" s="206" t="str">
        <f t="shared" si="923"/>
        <v>YAMAHA_Mounter</v>
      </c>
      <c r="AS3099" s="22" t="str">
        <f t="shared" si="924"/>
        <v/>
      </c>
      <c r="AT3099" s="24" t="str">
        <f t="shared" si="925"/>
        <v/>
      </c>
      <c r="AU3099" s="22" t="s">
        <v>3745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28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6"/>
        <v>8150000</v>
      </c>
      <c r="AA3100" s="13">
        <v>7.3999999999999996E-2</v>
      </c>
      <c r="AB3100" s="21">
        <f t="shared" si="912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13"/>
        <v>499582152.5142017</v>
      </c>
      <c r="AJ3100" s="19">
        <f t="shared" si="914"/>
        <v>59520528.679470733</v>
      </c>
      <c r="AK3100" s="20">
        <f t="shared" si="920"/>
        <v>0.11914062257814291</v>
      </c>
      <c r="AL3100" s="17"/>
      <c r="AM3100" s="17"/>
      <c r="AN3100" s="17"/>
      <c r="AO3100" s="17"/>
      <c r="AP3100" s="28" t="str">
        <f t="shared" si="921"/>
        <v>CancelCancel</v>
      </c>
      <c r="AQ3100" s="28" t="str">
        <f t="shared" si="922"/>
        <v>CancelCancelJPY</v>
      </c>
      <c r="AR3100" s="206" t="str">
        <f t="shared" si="923"/>
        <v>YAMAHA_Mounter</v>
      </c>
      <c r="AS3100" s="22" t="str">
        <f t="shared" si="924"/>
        <v/>
      </c>
      <c r="AT3100" s="24" t="str">
        <f t="shared" si="925"/>
        <v/>
      </c>
      <c r="AU3100" s="22" t="s">
        <v>3745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28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6"/>
        <v>1010000</v>
      </c>
      <c r="AA3101" s="13">
        <v>1.135</v>
      </c>
      <c r="AB3101" s="21">
        <f t="shared" si="912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13"/>
        <v>28011162.254106201</v>
      </c>
      <c r="AJ3101" s="19">
        <f t="shared" si="914"/>
        <v>3401347.1124888416</v>
      </c>
      <c r="AK3101" s="20">
        <f t="shared" si="920"/>
        <v>0.12142827497242578</v>
      </c>
      <c r="AL3101" s="17"/>
      <c r="AM3101" s="17"/>
      <c r="AN3101" s="17"/>
      <c r="AO3101" s="17"/>
      <c r="AP3101" s="28" t="str">
        <f t="shared" si="921"/>
        <v>202010</v>
      </c>
      <c r="AQ3101" s="28" t="str">
        <f t="shared" si="922"/>
        <v>202010RMB</v>
      </c>
      <c r="AR3101" s="206" t="str">
        <f t="shared" si="923"/>
        <v>YAMAHA_Mounter</v>
      </c>
      <c r="AS3101" s="22">
        <f t="shared" si="924"/>
        <v>2</v>
      </c>
      <c r="AT3101" s="24" t="str">
        <f t="shared" si="925"/>
        <v>0-3 months</v>
      </c>
      <c r="AU3101" s="22" t="s">
        <v>3744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28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29">IF(W3102="RMB","1.13", "1")</f>
        <v>1</v>
      </c>
      <c r="Z3102" s="18">
        <f t="shared" si="926"/>
        <v>7100000</v>
      </c>
      <c r="AA3102" s="13">
        <v>7.2099999999999997E-2</v>
      </c>
      <c r="AB3102" s="21">
        <f t="shared" si="912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13"/>
        <v>54700260.692079648</v>
      </c>
      <c r="AJ3102" s="19">
        <f t="shared" si="914"/>
        <v>7482899.5749188727</v>
      </c>
      <c r="AK3102" s="20">
        <f t="shared" si="920"/>
        <v>0.13679824337660537</v>
      </c>
      <c r="AL3102" s="17"/>
      <c r="AM3102" s="17"/>
      <c r="AN3102" s="17"/>
      <c r="AO3102" s="17"/>
      <c r="AP3102" s="28" t="str">
        <f t="shared" si="921"/>
        <v>20216</v>
      </c>
      <c r="AQ3102" s="28" t="str">
        <f t="shared" si="922"/>
        <v>20216JPY</v>
      </c>
      <c r="AR3102" s="206" t="str">
        <f t="shared" si="923"/>
        <v>YAMAHA_Mounter</v>
      </c>
      <c r="AS3102" s="22">
        <f t="shared" si="924"/>
        <v>3</v>
      </c>
      <c r="AT3102" s="24" t="str">
        <f t="shared" si="925"/>
        <v>0-3 months</v>
      </c>
      <c r="AU3102" s="22" t="s">
        <v>3745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28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29"/>
        <v>1</v>
      </c>
      <c r="Z3103" s="18">
        <f t="shared" si="926"/>
        <v>7100000</v>
      </c>
      <c r="AA3103" s="13">
        <v>7.2099999999999997E-2</v>
      </c>
      <c r="AB3103" s="21">
        <f t="shared" si="912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13"/>
        <v>54700260.692079648</v>
      </c>
      <c r="AJ3103" s="19">
        <f t="shared" si="914"/>
        <v>7482899.5749188727</v>
      </c>
      <c r="AK3103" s="20">
        <f t="shared" si="920"/>
        <v>0.13679824337660537</v>
      </c>
      <c r="AL3103" s="17"/>
      <c r="AM3103" s="17"/>
      <c r="AN3103" s="17"/>
      <c r="AO3103" s="17"/>
      <c r="AP3103" s="28" t="str">
        <f t="shared" si="921"/>
        <v>20216</v>
      </c>
      <c r="AQ3103" s="28" t="str">
        <f t="shared" si="922"/>
        <v>20216JPY</v>
      </c>
      <c r="AR3103" s="206" t="str">
        <f t="shared" si="923"/>
        <v>YAMAHA_Mounter</v>
      </c>
      <c r="AS3103" s="22">
        <f t="shared" si="924"/>
        <v>3</v>
      </c>
      <c r="AT3103" s="24" t="str">
        <f t="shared" si="925"/>
        <v>0-3 months</v>
      </c>
      <c r="AU3103" s="22" t="s">
        <v>3745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28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29"/>
        <v>1</v>
      </c>
      <c r="Z3104" s="18">
        <f t="shared" si="926"/>
        <v>7100000</v>
      </c>
      <c r="AA3104" s="13">
        <v>6.9199999999999998E-2</v>
      </c>
      <c r="AB3104" s="21">
        <f t="shared" si="912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13"/>
        <v>31750699.113741599</v>
      </c>
      <c r="AJ3104" s="19">
        <f t="shared" si="914"/>
        <v>4396077.3195289988</v>
      </c>
      <c r="AK3104" s="20">
        <f t="shared" si="920"/>
        <v>0.13845607946397598</v>
      </c>
      <c r="AL3104" s="17"/>
      <c r="AM3104" s="17"/>
      <c r="AN3104" s="17"/>
      <c r="AO3104" s="17"/>
      <c r="AP3104" s="28" t="str">
        <f t="shared" si="921"/>
        <v>20222</v>
      </c>
      <c r="AQ3104" s="28" t="str">
        <f t="shared" si="922"/>
        <v>20222JPY</v>
      </c>
      <c r="AR3104" s="206" t="str">
        <f t="shared" si="923"/>
        <v>YAMAHA_Mounter</v>
      </c>
      <c r="AS3104" s="22">
        <f t="shared" si="924"/>
        <v>11</v>
      </c>
      <c r="AT3104" s="24" t="str">
        <f t="shared" si="925"/>
        <v>&gt; 6 months</v>
      </c>
      <c r="AU3104" s="22" t="s">
        <v>3745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28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29"/>
        <v>1</v>
      </c>
      <c r="Z3105" s="18">
        <f t="shared" si="926"/>
        <v>7100000</v>
      </c>
      <c r="AA3105" s="13">
        <v>6.9199999999999998E-2</v>
      </c>
      <c r="AB3105" s="21">
        <f t="shared" si="912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13"/>
        <v>31750699.113741599</v>
      </c>
      <c r="AJ3105" s="19">
        <f t="shared" si="914"/>
        <v>4396077.3195289988</v>
      </c>
      <c r="AK3105" s="20">
        <f t="shared" si="920"/>
        <v>0.13845607946397598</v>
      </c>
      <c r="AL3105" s="17"/>
      <c r="AM3105" s="17"/>
      <c r="AN3105" s="17"/>
      <c r="AO3105" s="17"/>
      <c r="AP3105" s="28" t="str">
        <f t="shared" si="921"/>
        <v>20222</v>
      </c>
      <c r="AQ3105" s="28" t="str">
        <f t="shared" si="922"/>
        <v>20222JPY</v>
      </c>
      <c r="AR3105" s="206" t="str">
        <f t="shared" si="923"/>
        <v>YAMAHA_Mounter</v>
      </c>
      <c r="AS3105" s="22">
        <f t="shared" si="924"/>
        <v>11</v>
      </c>
      <c r="AT3105" s="24" t="str">
        <f t="shared" si="925"/>
        <v>&gt; 6 months</v>
      </c>
      <c r="AU3105" s="22" t="s">
        <v>3745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28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29"/>
        <v>1</v>
      </c>
      <c r="Z3106" s="18">
        <f t="shared" si="926"/>
        <v>7100000</v>
      </c>
      <c r="AA3106" s="13">
        <v>6.54E-2</v>
      </c>
      <c r="AB3106" s="21">
        <f t="shared" si="912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13"/>
        <v>46600814.041769907</v>
      </c>
      <c r="AJ3106" s="19">
        <f t="shared" si="914"/>
        <v>5956366.3435927071</v>
      </c>
      <c r="AK3106" s="20">
        <f t="shared" si="920"/>
        <v>0.1278167874546958</v>
      </c>
      <c r="AL3106" s="17"/>
      <c r="AM3106" s="17"/>
      <c r="AN3106" s="17"/>
      <c r="AO3106" s="17"/>
      <c r="AP3106" s="28" t="str">
        <f t="shared" si="921"/>
        <v>20224</v>
      </c>
      <c r="AQ3106" s="28" t="str">
        <f t="shared" si="922"/>
        <v>20224JPY</v>
      </c>
      <c r="AR3106" s="206" t="str">
        <f t="shared" si="923"/>
        <v>YAMAHA_Mounter</v>
      </c>
      <c r="AS3106" s="22">
        <f t="shared" si="924"/>
        <v>13</v>
      </c>
      <c r="AT3106" s="24" t="str">
        <f t="shared" si="925"/>
        <v>&gt; 6 months</v>
      </c>
      <c r="AU3106" s="22" t="s">
        <v>3745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28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29"/>
        <v>1</v>
      </c>
      <c r="Z3107" s="18">
        <f t="shared" si="926"/>
        <v>7100000</v>
      </c>
      <c r="AA3107" s="13">
        <v>6.54E-2</v>
      </c>
      <c r="AB3107" s="21">
        <f t="shared" si="912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13"/>
        <v>46600814.041769907</v>
      </c>
      <c r="AJ3107" s="19">
        <f t="shared" si="914"/>
        <v>5956366.3435927071</v>
      </c>
      <c r="AK3107" s="20">
        <f t="shared" si="920"/>
        <v>0.1278167874546958</v>
      </c>
      <c r="AL3107" s="17"/>
      <c r="AM3107" s="17"/>
      <c r="AN3107" s="17"/>
      <c r="AO3107" s="17"/>
      <c r="AP3107" s="28" t="str">
        <f t="shared" si="921"/>
        <v>20224</v>
      </c>
      <c r="AQ3107" s="28" t="str">
        <f t="shared" si="922"/>
        <v>20224JPY</v>
      </c>
      <c r="AR3107" s="206" t="str">
        <f t="shared" si="923"/>
        <v>YAMAHA_Mounter</v>
      </c>
      <c r="AS3107" s="22">
        <f t="shared" si="924"/>
        <v>13</v>
      </c>
      <c r="AT3107" s="24" t="str">
        <f t="shared" si="925"/>
        <v>&gt; 6 months</v>
      </c>
      <c r="AU3107" s="22" t="s">
        <v>3745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28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6"/>
        <v>10000000</v>
      </c>
      <c r="AA3108" s="13">
        <v>7.2099999999999997E-2</v>
      </c>
      <c r="AB3108" s="21">
        <f t="shared" si="912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13"/>
        <v>26754147.763010349</v>
      </c>
      <c r="AJ3108" s="19">
        <f t="shared" si="914"/>
        <v>3429137.9965357962</v>
      </c>
      <c r="AK3108" s="20">
        <f t="shared" si="920"/>
        <v>0.12817220069617921</v>
      </c>
      <c r="AL3108" s="17"/>
      <c r="AM3108" s="17"/>
      <c r="AN3108" s="17"/>
      <c r="AO3108" s="17"/>
      <c r="AP3108" s="28" t="str">
        <f t="shared" si="921"/>
        <v>20188</v>
      </c>
      <c r="AQ3108" s="28" t="str">
        <f t="shared" si="922"/>
        <v>20188JPY</v>
      </c>
      <c r="AR3108" s="206" t="str">
        <f t="shared" si="923"/>
        <v>YAMAHA_Mounter</v>
      </c>
      <c r="AS3108" s="22" t="str">
        <f t="shared" si="924"/>
        <v/>
      </c>
      <c r="AT3108" s="24" t="str">
        <f t="shared" si="925"/>
        <v/>
      </c>
      <c r="AU3108" s="22" t="s">
        <v>3746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28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6"/>
        <v>20000000</v>
      </c>
      <c r="AA3109" s="13">
        <v>7.2099999999999997E-2</v>
      </c>
      <c r="AB3109" s="21">
        <f t="shared" si="912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13"/>
        <v>26492741.106427077</v>
      </c>
      <c r="AJ3109" s="19">
        <f t="shared" si="914"/>
        <v>3348032.1325698122</v>
      </c>
      <c r="AK3109" s="20">
        <f t="shared" si="920"/>
        <v>0.12637545201985867</v>
      </c>
      <c r="AL3109" s="17"/>
      <c r="AM3109" s="17"/>
      <c r="AN3109" s="17"/>
      <c r="AO3109" s="17"/>
      <c r="AP3109" s="28" t="str">
        <f t="shared" si="921"/>
        <v>20189</v>
      </c>
      <c r="AQ3109" s="28" t="str">
        <f t="shared" si="922"/>
        <v>20189JPY</v>
      </c>
      <c r="AR3109" s="206" t="str">
        <f t="shared" si="923"/>
        <v>YAMAHA_Mounter</v>
      </c>
      <c r="AS3109" s="22">
        <f t="shared" si="924"/>
        <v>7</v>
      </c>
      <c r="AT3109" s="24" t="str">
        <f t="shared" si="925"/>
        <v>&gt; 6 months</v>
      </c>
      <c r="AU3109" s="22" t="s">
        <v>3746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28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6"/>
        <v>10000000</v>
      </c>
      <c r="AA3110" s="13">
        <v>7.22E-2</v>
      </c>
      <c r="AB3110" s="21">
        <f t="shared" si="912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13"/>
        <v>47416008.333399981</v>
      </c>
      <c r="AJ3110" s="19">
        <f t="shared" si="914"/>
        <v>6981738.4465290187</v>
      </c>
      <c r="AK3110" s="20">
        <f t="shared" si="920"/>
        <v>0.14724433143839863</v>
      </c>
      <c r="AL3110" s="17"/>
      <c r="AM3110" s="17"/>
      <c r="AN3110" s="17"/>
      <c r="AO3110" s="17"/>
      <c r="AP3110" s="28" t="str">
        <f t="shared" si="921"/>
        <v>20193</v>
      </c>
      <c r="AQ3110" s="28" t="str">
        <f t="shared" si="922"/>
        <v>20193JPY</v>
      </c>
      <c r="AR3110" s="206" t="str">
        <f t="shared" si="923"/>
        <v>YAMAHA_Mounter</v>
      </c>
      <c r="AS3110" s="22">
        <f t="shared" si="924"/>
        <v>13</v>
      </c>
      <c r="AT3110" s="24" t="str">
        <f t="shared" si="925"/>
        <v>&gt; 6 months</v>
      </c>
      <c r="AU3110" s="22" t="s">
        <v>3746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28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6"/>
        <v>760000</v>
      </c>
      <c r="AA3111" s="13">
        <v>1.135</v>
      </c>
      <c r="AB3111" s="21">
        <f t="shared" si="912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13"/>
        <v>21386017.707964607</v>
      </c>
      <c r="AJ3111" s="19">
        <f t="shared" si="914"/>
        <v>2238764.3265707968</v>
      </c>
      <c r="AK3111" s="20">
        <f t="shared" si="920"/>
        <v>0.10468355339185161</v>
      </c>
      <c r="AL3111" s="17"/>
      <c r="AM3111" s="17"/>
      <c r="AN3111" s="17"/>
      <c r="AO3111" s="17"/>
      <c r="AP3111" s="28" t="str">
        <f t="shared" si="921"/>
        <v>20198</v>
      </c>
      <c r="AQ3111" s="28" t="str">
        <f t="shared" si="922"/>
        <v>20198RMB</v>
      </c>
      <c r="AR3111" s="206" t="str">
        <f t="shared" si="923"/>
        <v>YAMAHA_Mounter</v>
      </c>
      <c r="AS3111" s="22">
        <f t="shared" si="924"/>
        <v>0</v>
      </c>
      <c r="AT3111" s="24" t="str">
        <f t="shared" si="925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28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6"/>
        <v>760000</v>
      </c>
      <c r="AA3112" s="13">
        <v>1.1100000000000001</v>
      </c>
      <c r="AB3112" s="21">
        <f t="shared" si="912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13"/>
        <v>26147030.909862842</v>
      </c>
      <c r="AJ3112" s="19">
        <f t="shared" si="914"/>
        <v>2743862.8630715334</v>
      </c>
      <c r="AK3112" s="20">
        <f t="shared" si="920"/>
        <v>0.10493974908778378</v>
      </c>
      <c r="AL3112" s="17"/>
      <c r="AM3112" s="17"/>
      <c r="AN3112" s="17"/>
      <c r="AO3112" s="17"/>
      <c r="AP3112" s="28" t="str">
        <f t="shared" si="921"/>
        <v>201911</v>
      </c>
      <c r="AQ3112" s="28" t="str">
        <f t="shared" si="922"/>
        <v>201911RMB</v>
      </c>
      <c r="AR3112" s="206" t="str">
        <f t="shared" si="923"/>
        <v>YAMAHA_Mounter</v>
      </c>
      <c r="AS3112" s="22">
        <f t="shared" si="924"/>
        <v>3</v>
      </c>
      <c r="AT3112" s="24" t="str">
        <f t="shared" si="925"/>
        <v>0-3 months</v>
      </c>
      <c r="AU3112" s="22" t="s">
        <v>3744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28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6"/>
        <v>550000</v>
      </c>
      <c r="AA3113" s="13">
        <v>1.095</v>
      </c>
      <c r="AB3113" s="21">
        <f t="shared" si="912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13"/>
        <v>37599388.802345134</v>
      </c>
      <c r="AJ3113" s="19">
        <f t="shared" si="914"/>
        <v>4866784.3630338367</v>
      </c>
      <c r="AK3113" s="20">
        <f t="shared" si="920"/>
        <v>0.12943785838163113</v>
      </c>
      <c r="AL3113" s="17"/>
      <c r="AM3113" s="17"/>
      <c r="AN3113" s="17"/>
      <c r="AO3113" s="17"/>
      <c r="AP3113" s="28" t="str">
        <f t="shared" si="921"/>
        <v>20199</v>
      </c>
      <c r="AQ3113" s="28" t="str">
        <f t="shared" si="922"/>
        <v>20199RMB</v>
      </c>
      <c r="AR3113" s="206" t="str">
        <f t="shared" si="923"/>
        <v>YAMAHA_Mounter</v>
      </c>
      <c r="AS3113" s="22">
        <f t="shared" si="924"/>
        <v>1</v>
      </c>
      <c r="AT3113" s="24" t="str">
        <f t="shared" si="925"/>
        <v>0-3 months</v>
      </c>
      <c r="AU3113" s="22" t="s">
        <v>3744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28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6"/>
        <v>760000</v>
      </c>
      <c r="AA3114" s="13">
        <v>1.095</v>
      </c>
      <c r="AB3114" s="21">
        <f t="shared" si="912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13"/>
        <v>499582152.5142017</v>
      </c>
      <c r="AJ3114" s="19">
        <f t="shared" si="914"/>
        <v>59520528.679470733</v>
      </c>
      <c r="AK3114" s="20">
        <f t="shared" si="920"/>
        <v>0.11914062257814291</v>
      </c>
      <c r="AL3114" s="17"/>
      <c r="AM3114" s="17"/>
      <c r="AN3114" s="17"/>
      <c r="AO3114" s="17"/>
      <c r="AP3114" s="28" t="str">
        <f t="shared" si="921"/>
        <v>CancelCancel</v>
      </c>
      <c r="AQ3114" s="28" t="str">
        <f t="shared" si="922"/>
        <v>CancelCancelRMB</v>
      </c>
      <c r="AR3114" s="206" t="str">
        <f t="shared" si="923"/>
        <v>YAMAHA_Mounter</v>
      </c>
      <c r="AS3114" s="22" t="str">
        <f t="shared" si="924"/>
        <v/>
      </c>
      <c r="AT3114" s="24" t="str">
        <f t="shared" si="925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28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6"/>
        <v>550000</v>
      </c>
      <c r="AA3115" s="13">
        <v>1.095</v>
      </c>
      <c r="AB3115" s="21">
        <f t="shared" si="912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13"/>
        <v>499582152.5142017</v>
      </c>
      <c r="AJ3115" s="19">
        <f t="shared" si="914"/>
        <v>59520528.679470733</v>
      </c>
      <c r="AK3115" s="20">
        <f t="shared" si="920"/>
        <v>0.11914062257814291</v>
      </c>
      <c r="AL3115" s="17"/>
      <c r="AM3115" s="17"/>
      <c r="AN3115" s="17"/>
      <c r="AO3115" s="17"/>
      <c r="AP3115" s="28" t="str">
        <f t="shared" si="921"/>
        <v>CancelCancel</v>
      </c>
      <c r="AQ3115" s="28" t="str">
        <f t="shared" si="922"/>
        <v>CancelCancelRMB</v>
      </c>
      <c r="AR3115" s="206" t="str">
        <f t="shared" si="923"/>
        <v>YAMAHA_Mounter</v>
      </c>
      <c r="AS3115" s="22" t="str">
        <f t="shared" si="924"/>
        <v/>
      </c>
      <c r="AT3115" s="24" t="str">
        <f t="shared" si="925"/>
        <v/>
      </c>
      <c r="AU3115" s="22" t="s">
        <v>3744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28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6"/>
        <v>550000</v>
      </c>
      <c r="AA3116" s="13">
        <v>1.095</v>
      </c>
      <c r="AB3116" s="21">
        <f t="shared" si="912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13"/>
        <v>499582152.5142017</v>
      </c>
      <c r="AJ3116" s="19">
        <f t="shared" si="914"/>
        <v>59520528.679470733</v>
      </c>
      <c r="AK3116" s="20">
        <f t="shared" si="920"/>
        <v>0.11914062257814291</v>
      </c>
      <c r="AL3116" s="17"/>
      <c r="AM3116" s="17"/>
      <c r="AN3116" s="17"/>
      <c r="AO3116" s="17"/>
      <c r="AP3116" s="28" t="str">
        <f t="shared" si="921"/>
        <v>CancelCancel</v>
      </c>
      <c r="AQ3116" s="28" t="str">
        <f t="shared" si="922"/>
        <v>CancelCancelRMB</v>
      </c>
      <c r="AR3116" s="206" t="str">
        <f t="shared" si="923"/>
        <v>YAMAHA_Mounter</v>
      </c>
      <c r="AS3116" s="22" t="str">
        <f t="shared" si="924"/>
        <v/>
      </c>
      <c r="AT3116" s="24" t="str">
        <f t="shared" si="925"/>
        <v/>
      </c>
      <c r="AU3116" s="22" t="s">
        <v>3744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28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6"/>
        <v>874688</v>
      </c>
      <c r="AA3117" s="13">
        <v>1.2150000000000001</v>
      </c>
      <c r="AB3117" s="21">
        <f t="shared" si="912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13"/>
        <v>25380121.402654871</v>
      </c>
      <c r="AJ3117" s="19">
        <f t="shared" si="914"/>
        <v>3850343.1237796471</v>
      </c>
      <c r="AK3117" s="20">
        <f t="shared" si="920"/>
        <v>0.1517070412191521</v>
      </c>
      <c r="AL3117" s="17"/>
      <c r="AM3117" s="17"/>
      <c r="AN3117" s="17"/>
      <c r="AO3117" s="17"/>
      <c r="AP3117" s="28" t="str">
        <f t="shared" si="921"/>
        <v>202112</v>
      </c>
      <c r="AQ3117" s="28" t="str">
        <f t="shared" si="922"/>
        <v>202112RMB</v>
      </c>
      <c r="AR3117" s="206" t="str">
        <f t="shared" si="923"/>
        <v>YAMAHA_Mounter</v>
      </c>
      <c r="AS3117" s="22">
        <f t="shared" si="924"/>
        <v>1</v>
      </c>
      <c r="AT3117" s="24" t="str">
        <f t="shared" si="925"/>
        <v>0-3 months</v>
      </c>
      <c r="AU3117" s="22" t="s">
        <v>3751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28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6"/>
        <v>7020000</v>
      </c>
      <c r="AA3118" s="13">
        <v>6.9199999999999998E-2</v>
      </c>
      <c r="AB3118" s="21">
        <f t="shared" si="912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13"/>
        <v>28726768.133805312</v>
      </c>
      <c r="AJ3118" s="19">
        <f t="shared" si="914"/>
        <v>3853638.1988864429</v>
      </c>
      <c r="AK3118" s="20">
        <f t="shared" si="920"/>
        <v>0.1341479898099476</v>
      </c>
      <c r="AL3118" s="17"/>
      <c r="AM3118" s="17"/>
      <c r="AN3118" s="17"/>
      <c r="AO3118" s="17"/>
      <c r="AP3118" s="28" t="str">
        <f t="shared" si="921"/>
        <v>20223</v>
      </c>
      <c r="AQ3118" s="28" t="str">
        <f t="shared" si="922"/>
        <v>20223JPY</v>
      </c>
      <c r="AR3118" s="206" t="str">
        <f t="shared" si="923"/>
        <v>YAMAHA_Mounter</v>
      </c>
      <c r="AS3118" s="22">
        <f t="shared" si="924"/>
        <v>4</v>
      </c>
      <c r="AT3118" s="24" t="str">
        <f t="shared" si="925"/>
        <v>4-6 months</v>
      </c>
      <c r="AU3118" s="22" t="s">
        <v>3745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28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6"/>
        <v>550000</v>
      </c>
      <c r="AA3119" s="13">
        <v>1.095</v>
      </c>
      <c r="AB3119" s="21">
        <f t="shared" si="912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13"/>
        <v>28647263.974455759</v>
      </c>
      <c r="AJ3119" s="19">
        <f t="shared" si="914"/>
        <v>3219855.6912513468</v>
      </c>
      <c r="AK3119" s="20">
        <f t="shared" si="920"/>
        <v>0.11239662168514358</v>
      </c>
      <c r="AL3119" s="17"/>
      <c r="AM3119" s="17"/>
      <c r="AN3119" s="17"/>
      <c r="AO3119" s="17"/>
      <c r="AP3119" s="28" t="str">
        <f t="shared" si="921"/>
        <v>201910</v>
      </c>
      <c r="AQ3119" s="28" t="str">
        <f t="shared" si="922"/>
        <v>201910RMB</v>
      </c>
      <c r="AR3119" s="206" t="str">
        <f t="shared" si="923"/>
        <v>YAMAHA_Mounter</v>
      </c>
      <c r="AS3119" s="22">
        <f t="shared" si="924"/>
        <v>1</v>
      </c>
      <c r="AT3119" s="24" t="str">
        <f t="shared" si="925"/>
        <v>0-3 months</v>
      </c>
      <c r="AU3119" s="22" t="s">
        <v>3744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28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6"/>
        <v>944400</v>
      </c>
      <c r="AA3120" s="13">
        <v>1.095</v>
      </c>
      <c r="AB3120" s="21">
        <f t="shared" si="912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13"/>
        <v>28647263.974455759</v>
      </c>
      <c r="AJ3120" s="19">
        <f t="shared" si="914"/>
        <v>3219855.6912513468</v>
      </c>
      <c r="AK3120" s="20">
        <f t="shared" si="920"/>
        <v>0.11239662168514358</v>
      </c>
      <c r="AL3120" s="17"/>
      <c r="AM3120" s="17"/>
      <c r="AN3120" s="17"/>
      <c r="AO3120" s="17"/>
      <c r="AP3120" s="28" t="str">
        <f t="shared" si="921"/>
        <v>201910</v>
      </c>
      <c r="AQ3120" s="28" t="str">
        <f t="shared" si="922"/>
        <v>201910RMB</v>
      </c>
      <c r="AR3120" s="206" t="str">
        <f t="shared" si="923"/>
        <v>YAMAHA_Mounter</v>
      </c>
      <c r="AS3120" s="22">
        <f t="shared" si="924"/>
        <v>1</v>
      </c>
      <c r="AT3120" s="24" t="str">
        <f t="shared" si="925"/>
        <v>0-3 months</v>
      </c>
      <c r="AU3120" s="22" t="s">
        <v>3744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28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6"/>
        <v>8600000</v>
      </c>
      <c r="AA3121" s="13">
        <v>7.0000000000000007E-2</v>
      </c>
      <c r="AB3121" s="21">
        <f t="shared" si="912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13"/>
        <v>499582152.5142017</v>
      </c>
      <c r="AJ3121" s="19">
        <f t="shared" si="914"/>
        <v>59520528.679470733</v>
      </c>
      <c r="AK3121" s="20">
        <f t="shared" si="920"/>
        <v>0.11914062257814291</v>
      </c>
      <c r="AL3121" s="17"/>
      <c r="AM3121" s="17"/>
      <c r="AN3121" s="17"/>
      <c r="AO3121" s="17"/>
      <c r="AP3121" s="28" t="str">
        <f t="shared" si="921"/>
        <v>CancelCANCEL</v>
      </c>
      <c r="AQ3121" s="28" t="str">
        <f t="shared" si="922"/>
        <v>CancelCANCELJPY</v>
      </c>
      <c r="AR3121" s="206" t="str">
        <f t="shared" si="923"/>
        <v>YAMAHA_Mounter</v>
      </c>
      <c r="AS3121" s="22" t="str">
        <f t="shared" si="924"/>
        <v/>
      </c>
      <c r="AT3121" s="24" t="str">
        <f t="shared" si="925"/>
        <v/>
      </c>
      <c r="AU3121" s="22" t="s">
        <v>3745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28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6"/>
        <v>12000000</v>
      </c>
      <c r="AA3122" s="13">
        <v>7.0000000000000007E-2</v>
      </c>
      <c r="AB3122" s="21">
        <f t="shared" si="912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13"/>
        <v>499582152.5142017</v>
      </c>
      <c r="AJ3122" s="19">
        <f t="shared" si="914"/>
        <v>59520528.679470733</v>
      </c>
      <c r="AK3122" s="20">
        <f t="shared" si="920"/>
        <v>0.11914062257814291</v>
      </c>
      <c r="AL3122" s="17"/>
      <c r="AM3122" s="17"/>
      <c r="AN3122" s="17"/>
      <c r="AO3122" s="17"/>
      <c r="AP3122" s="28" t="str">
        <f t="shared" si="921"/>
        <v>CancelCANCEL</v>
      </c>
      <c r="AQ3122" s="28" t="str">
        <f t="shared" si="922"/>
        <v>CancelCANCELJPY</v>
      </c>
      <c r="AR3122" s="206" t="str">
        <f t="shared" si="923"/>
        <v>YAMAHA_Mounter</v>
      </c>
      <c r="AS3122" s="22" t="str">
        <f t="shared" si="924"/>
        <v/>
      </c>
      <c r="AT3122" s="24" t="str">
        <f t="shared" si="925"/>
        <v/>
      </c>
      <c r="AU3122" s="22" t="s">
        <v>3745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28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6"/>
        <v>770000</v>
      </c>
      <c r="AA3123" s="13">
        <v>1.1850000000000001</v>
      </c>
      <c r="AB3123" s="21">
        <f t="shared" si="912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13"/>
        <v>45803245.025628321</v>
      </c>
      <c r="AJ3123" s="19">
        <f t="shared" si="914"/>
        <v>5664636.2584379362</v>
      </c>
      <c r="AK3123" s="20">
        <f t="shared" si="920"/>
        <v>0.12367325186825515</v>
      </c>
      <c r="AL3123" s="17"/>
      <c r="AM3123" s="17"/>
      <c r="AN3123" s="17"/>
      <c r="AO3123" s="17"/>
      <c r="AP3123" s="28" t="str">
        <f t="shared" si="921"/>
        <v>20211</v>
      </c>
      <c r="AQ3123" s="28" t="str">
        <f t="shared" si="922"/>
        <v>20211RMB</v>
      </c>
      <c r="AR3123" s="206" t="str">
        <f t="shared" si="923"/>
        <v>YAMAHA_Mounter</v>
      </c>
      <c r="AS3123" s="22">
        <f t="shared" si="924"/>
        <v>5</v>
      </c>
      <c r="AT3123" s="24" t="str">
        <f t="shared" si="925"/>
        <v>4-6 months</v>
      </c>
      <c r="AU3123" s="22" t="s">
        <v>3744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28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6"/>
        <v>1000000</v>
      </c>
      <c r="AA3124" s="13">
        <v>1.1850000000000001</v>
      </c>
      <c r="AB3124" s="21">
        <f t="shared" si="912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13"/>
        <v>45803245.025628321</v>
      </c>
      <c r="AJ3124" s="19">
        <f t="shared" si="914"/>
        <v>5664636.2584379362</v>
      </c>
      <c r="AK3124" s="20">
        <f t="shared" si="920"/>
        <v>0.12367325186825515</v>
      </c>
      <c r="AL3124" s="17"/>
      <c r="AM3124" s="17"/>
      <c r="AN3124" s="17"/>
      <c r="AO3124" s="17"/>
      <c r="AP3124" s="28" t="str">
        <f t="shared" si="921"/>
        <v>20211</v>
      </c>
      <c r="AQ3124" s="28" t="str">
        <f t="shared" si="922"/>
        <v>20211RMB</v>
      </c>
      <c r="AR3124" s="206" t="str">
        <f t="shared" si="923"/>
        <v>YAMAHA_Mounter</v>
      </c>
      <c r="AS3124" s="22">
        <f t="shared" si="924"/>
        <v>5</v>
      </c>
      <c r="AT3124" s="24" t="str">
        <f t="shared" si="925"/>
        <v>4-6 months</v>
      </c>
      <c r="AU3124" s="22" t="s">
        <v>3744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28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6"/>
        <v>13887500</v>
      </c>
      <c r="AA3125" s="13">
        <v>7.17E-2</v>
      </c>
      <c r="AB3125" s="21">
        <f t="shared" si="912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13"/>
        <v>41443303.53761062</v>
      </c>
      <c r="AJ3125" s="19">
        <f t="shared" si="914"/>
        <v>6194988.76643031</v>
      </c>
      <c r="AK3125" s="20">
        <f t="shared" si="920"/>
        <v>0.1494810557466355</v>
      </c>
      <c r="AL3125" s="17"/>
      <c r="AM3125" s="17"/>
      <c r="AN3125" s="17"/>
      <c r="AO3125" s="17"/>
      <c r="AP3125" s="28" t="str">
        <f t="shared" si="921"/>
        <v>20217</v>
      </c>
      <c r="AQ3125" s="28" t="str">
        <f t="shared" si="922"/>
        <v>20217JPY</v>
      </c>
      <c r="AR3125" s="206" t="str">
        <f t="shared" si="923"/>
        <v>YAMAHA_Mounter</v>
      </c>
      <c r="AS3125" s="22">
        <f t="shared" si="924"/>
        <v>4</v>
      </c>
      <c r="AT3125" s="24" t="str">
        <f t="shared" si="925"/>
        <v>4-6 months</v>
      </c>
      <c r="AU3125" s="22" t="s">
        <v>3745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28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6"/>
        <v>600000</v>
      </c>
      <c r="AA3126" s="13">
        <v>1.1200000000000001</v>
      </c>
      <c r="AB3126" s="21">
        <f t="shared" si="912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13"/>
        <v>7502645.9971681423</v>
      </c>
      <c r="AJ3126" s="19">
        <f t="shared" si="914"/>
        <v>664841.72044240718</v>
      </c>
      <c r="AK3126" s="20">
        <f t="shared" si="920"/>
        <v>8.861429963420242E-2</v>
      </c>
      <c r="AL3126" s="17"/>
      <c r="AM3126" s="17"/>
      <c r="AN3126" s="17"/>
      <c r="AO3126" s="17"/>
      <c r="AP3126" s="28" t="str">
        <f t="shared" si="921"/>
        <v>20231</v>
      </c>
      <c r="AQ3126" s="28" t="str">
        <f t="shared" si="922"/>
        <v>20231RMB</v>
      </c>
      <c r="AR3126" s="206" t="str">
        <f t="shared" si="923"/>
        <v>YAMAHA_Mounter</v>
      </c>
      <c r="AS3126" s="22">
        <f t="shared" si="924"/>
        <v>0</v>
      </c>
      <c r="AT3126" s="24" t="str">
        <f t="shared" si="925"/>
        <v>0-3 months</v>
      </c>
      <c r="AU3126" s="22" t="s">
        <v>3751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28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6"/>
        <v>800000</v>
      </c>
      <c r="AA3127" s="13">
        <v>1.1200000000000001</v>
      </c>
      <c r="AB3127" s="21">
        <f t="shared" si="912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13"/>
        <v>7502645.9971681423</v>
      </c>
      <c r="AJ3127" s="19">
        <f t="shared" si="914"/>
        <v>664841.72044240718</v>
      </c>
      <c r="AK3127" s="20">
        <f t="shared" si="920"/>
        <v>8.861429963420242E-2</v>
      </c>
      <c r="AL3127" s="17"/>
      <c r="AM3127" s="17"/>
      <c r="AN3127" s="17"/>
      <c r="AO3127" s="17"/>
      <c r="AP3127" s="28" t="str">
        <f t="shared" si="921"/>
        <v>20231</v>
      </c>
      <c r="AQ3127" s="28" t="str">
        <f t="shared" si="922"/>
        <v>20231RMB</v>
      </c>
      <c r="AR3127" s="206" t="str">
        <f t="shared" si="923"/>
        <v>YAMAHA_Mounter</v>
      </c>
      <c r="AS3127" s="22">
        <f t="shared" si="924"/>
        <v>0</v>
      </c>
      <c r="AT3127" s="24" t="str">
        <f t="shared" si="925"/>
        <v>0-3 months</v>
      </c>
      <c r="AU3127" s="22" t="s">
        <v>3751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28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6"/>
        <v>15830000</v>
      </c>
      <c r="AA3128" s="13">
        <v>7.3599999999999999E-2</v>
      </c>
      <c r="AB3128" s="21">
        <f t="shared" si="912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13"/>
        <v>33477255.428389374</v>
      </c>
      <c r="AJ3128" s="19">
        <f t="shared" si="914"/>
        <v>4578663.362915583</v>
      </c>
      <c r="AK3128" s="20">
        <f t="shared" si="920"/>
        <v>0.13676937682988152</v>
      </c>
      <c r="AL3128" s="17"/>
      <c r="AM3128" s="17"/>
      <c r="AN3128" s="17"/>
      <c r="AO3128" s="17"/>
      <c r="AP3128" s="28" t="str">
        <f t="shared" si="921"/>
        <v>20204</v>
      </c>
      <c r="AQ3128" s="28" t="str">
        <f t="shared" si="922"/>
        <v>20204JPY</v>
      </c>
      <c r="AR3128" s="206" t="str">
        <f t="shared" si="923"/>
        <v>YAMAHA_Mounter</v>
      </c>
      <c r="AS3128" s="22">
        <f t="shared" si="924"/>
        <v>4</v>
      </c>
      <c r="AT3128" s="24" t="str">
        <f t="shared" si="925"/>
        <v>4-6 months</v>
      </c>
      <c r="AU3128" s="22" t="s">
        <v>3746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28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6"/>
        <v>15830000</v>
      </c>
      <c r="AA3129" s="13">
        <v>7.3599999999999999E-2</v>
      </c>
      <c r="AB3129" s="21">
        <f t="shared" si="912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13"/>
        <v>33477255.428389374</v>
      </c>
      <c r="AJ3129" s="19">
        <f t="shared" si="914"/>
        <v>4578663.362915583</v>
      </c>
      <c r="AK3129" s="20">
        <f t="shared" si="920"/>
        <v>0.13676937682988152</v>
      </c>
      <c r="AL3129" s="17"/>
      <c r="AM3129" s="17"/>
      <c r="AN3129" s="17"/>
      <c r="AO3129" s="17"/>
      <c r="AP3129" s="28" t="str">
        <f t="shared" si="921"/>
        <v>20204</v>
      </c>
      <c r="AQ3129" s="28" t="str">
        <f t="shared" si="922"/>
        <v>20204JPY</v>
      </c>
      <c r="AR3129" s="206" t="str">
        <f t="shared" si="923"/>
        <v>YAMAHA_Mounter</v>
      </c>
      <c r="AS3129" s="22">
        <f t="shared" si="924"/>
        <v>4</v>
      </c>
      <c r="AT3129" s="24" t="str">
        <f t="shared" si="925"/>
        <v>4-6 months</v>
      </c>
      <c r="AU3129" s="22" t="s">
        <v>3746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28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6"/>
        <v>15830000</v>
      </c>
      <c r="AA3130" s="13">
        <v>7.3599999999999999E-2</v>
      </c>
      <c r="AB3130" s="21">
        <f t="shared" si="912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13"/>
        <v>33477255.428389374</v>
      </c>
      <c r="AJ3130" s="19">
        <f t="shared" si="914"/>
        <v>4578663.362915583</v>
      </c>
      <c r="AK3130" s="20">
        <f t="shared" si="920"/>
        <v>0.13676937682988152</v>
      </c>
      <c r="AL3130" s="17"/>
      <c r="AM3130" s="17"/>
      <c r="AN3130" s="17"/>
      <c r="AO3130" s="17"/>
      <c r="AP3130" s="28" t="str">
        <f t="shared" si="921"/>
        <v>20204</v>
      </c>
      <c r="AQ3130" s="28" t="str">
        <f t="shared" si="922"/>
        <v>20204JPY</v>
      </c>
      <c r="AR3130" s="206" t="str">
        <f t="shared" si="923"/>
        <v>YAMAHA_Mounter</v>
      </c>
      <c r="AS3130" s="22">
        <f t="shared" si="924"/>
        <v>4</v>
      </c>
      <c r="AT3130" s="24" t="str">
        <f t="shared" si="925"/>
        <v>4-6 months</v>
      </c>
      <c r="AU3130" s="22" t="s">
        <v>3746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28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0">IF(W3131="RMB","1.13", "1")</f>
        <v>1</v>
      </c>
      <c r="Z3131" s="18">
        <f t="shared" si="926"/>
        <v>17531000</v>
      </c>
      <c r="AA3131" s="13">
        <v>7.6100000000000001E-2</v>
      </c>
      <c r="AB3131" s="21">
        <f t="shared" si="912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13"/>
        <v>44078731.611185849</v>
      </c>
      <c r="AJ3131" s="19">
        <f t="shared" si="914"/>
        <v>5508173.2163771465</v>
      </c>
      <c r="AK3131" s="20">
        <f t="shared" si="920"/>
        <v>0.12496215328889679</v>
      </c>
      <c r="AL3131" s="17"/>
      <c r="AM3131" s="17"/>
      <c r="AN3131" s="17"/>
      <c r="AO3131" s="17"/>
      <c r="AP3131" s="28" t="str">
        <f t="shared" si="921"/>
        <v>202011</v>
      </c>
      <c r="AQ3131" s="28" t="str">
        <f t="shared" si="922"/>
        <v>202011JPY</v>
      </c>
      <c r="AR3131" s="206" t="str">
        <f t="shared" si="923"/>
        <v>YAMAHA_Mounter</v>
      </c>
      <c r="AS3131" s="22">
        <f t="shared" si="924"/>
        <v>2</v>
      </c>
      <c r="AT3131" s="24" t="str">
        <f t="shared" si="925"/>
        <v>0-3 months</v>
      </c>
      <c r="AU3131" s="22" t="s">
        <v>3746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28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0"/>
        <v>1</v>
      </c>
      <c r="Z3132" s="18">
        <f t="shared" si="926"/>
        <v>17531000</v>
      </c>
      <c r="AA3132" s="13">
        <v>7.6100000000000001E-2</v>
      </c>
      <c r="AB3132" s="21">
        <f t="shared" ref="AB3132:AB3195" si="931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13"/>
        <v>48763143.537654862</v>
      </c>
      <c r="AJ3132" s="19">
        <f t="shared" si="914"/>
        <v>5924029.9702154724</v>
      </c>
      <c r="AK3132" s="20">
        <f t="shared" si="920"/>
        <v>0.1214858095774925</v>
      </c>
      <c r="AL3132" s="17"/>
      <c r="AM3132" s="17"/>
      <c r="AN3132" s="17"/>
      <c r="AO3132" s="17"/>
      <c r="AP3132" s="28" t="str">
        <f t="shared" si="921"/>
        <v>202012</v>
      </c>
      <c r="AQ3132" s="28" t="str">
        <f t="shared" si="922"/>
        <v>202012JPY</v>
      </c>
      <c r="AR3132" s="206" t="str">
        <f t="shared" si="923"/>
        <v>YAMAHA_Mounter</v>
      </c>
      <c r="AS3132" s="22">
        <f t="shared" si="924"/>
        <v>3</v>
      </c>
      <c r="AT3132" s="24" t="str">
        <f t="shared" si="925"/>
        <v>0-3 months</v>
      </c>
      <c r="AU3132" s="22" t="s">
        <v>3746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28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0"/>
        <v>1</v>
      </c>
      <c r="Z3133" s="18">
        <f t="shared" si="926"/>
        <v>24630000</v>
      </c>
      <c r="AA3133" s="13">
        <v>7.17E-2</v>
      </c>
      <c r="AB3133" s="21">
        <f t="shared" si="931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13"/>
        <v>43684091.636631854</v>
      </c>
      <c r="AJ3133" s="19">
        <f t="shared" si="914"/>
        <v>6483951.8242071122</v>
      </c>
      <c r="AK3133" s="20">
        <f t="shared" si="920"/>
        <v>0.14842821680123736</v>
      </c>
      <c r="AL3133" s="17"/>
      <c r="AM3133" s="17"/>
      <c r="AN3133" s="17"/>
      <c r="AO3133" s="17"/>
      <c r="AP3133" s="28" t="str">
        <f t="shared" si="921"/>
        <v>20214</v>
      </c>
      <c r="AQ3133" s="28" t="str">
        <f t="shared" si="922"/>
        <v>20214JPY</v>
      </c>
      <c r="AR3133" s="206" t="str">
        <f t="shared" si="923"/>
        <v>YAMAHA_Mounter</v>
      </c>
      <c r="AS3133" s="22">
        <f t="shared" si="924"/>
        <v>3</v>
      </c>
      <c r="AT3133" s="24" t="str">
        <f t="shared" si="925"/>
        <v>0-3 months</v>
      </c>
      <c r="AU3133" s="22" t="s">
        <v>3746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28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0"/>
        <v>1</v>
      </c>
      <c r="Z3134" s="18">
        <f t="shared" si="926"/>
        <v>18810000</v>
      </c>
      <c r="AA3134" s="13">
        <v>7.2099999999999997E-2</v>
      </c>
      <c r="AB3134" s="21">
        <f t="shared" si="931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13"/>
        <v>54700260.692079648</v>
      </c>
      <c r="AJ3134" s="19">
        <f t="shared" si="914"/>
        <v>7482899.5749188727</v>
      </c>
      <c r="AK3134" s="20">
        <f t="shared" si="920"/>
        <v>0.13679824337660537</v>
      </c>
      <c r="AL3134" s="17"/>
      <c r="AM3134" s="17"/>
      <c r="AN3134" s="17"/>
      <c r="AO3134" s="17"/>
      <c r="AP3134" s="28" t="str">
        <f t="shared" si="921"/>
        <v>20216</v>
      </c>
      <c r="AQ3134" s="28" t="str">
        <f t="shared" si="922"/>
        <v>20216JPY</v>
      </c>
      <c r="AR3134" s="206" t="str">
        <f t="shared" si="923"/>
        <v>YAMAHA_Mounter</v>
      </c>
      <c r="AS3134" s="22">
        <f t="shared" si="924"/>
        <v>3</v>
      </c>
      <c r="AT3134" s="24" t="str">
        <f t="shared" si="925"/>
        <v>0-3 months</v>
      </c>
      <c r="AU3134" s="22" t="s">
        <v>3746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28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0"/>
        <v>1</v>
      </c>
      <c r="Z3135" s="18">
        <f t="shared" si="926"/>
        <v>18810000</v>
      </c>
      <c r="AA3135" s="13">
        <v>7.2099999999999997E-2</v>
      </c>
      <c r="AB3135" s="21">
        <f t="shared" si="931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13"/>
        <v>54700260.692079648</v>
      </c>
      <c r="AJ3135" s="19">
        <f t="shared" si="914"/>
        <v>7482899.5749188727</v>
      </c>
      <c r="AK3135" s="20">
        <f t="shared" si="920"/>
        <v>0.13679824337660537</v>
      </c>
      <c r="AL3135" s="17"/>
      <c r="AM3135" s="17"/>
      <c r="AN3135" s="17"/>
      <c r="AO3135" s="17"/>
      <c r="AP3135" s="28" t="str">
        <f t="shared" si="921"/>
        <v>20216</v>
      </c>
      <c r="AQ3135" s="28" t="str">
        <f t="shared" si="922"/>
        <v>20216JPY</v>
      </c>
      <c r="AR3135" s="206" t="str">
        <f t="shared" si="923"/>
        <v>YAMAHA_Mounter</v>
      </c>
      <c r="AS3135" s="22">
        <f t="shared" si="924"/>
        <v>3</v>
      </c>
      <c r="AT3135" s="24" t="str">
        <f t="shared" si="925"/>
        <v>0-3 months</v>
      </c>
      <c r="AU3135" s="22" t="s">
        <v>3746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28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0"/>
        <v>1</v>
      </c>
      <c r="Z3136" s="18">
        <f t="shared" si="926"/>
        <v>16165000</v>
      </c>
      <c r="AA3136" s="13">
        <v>7.2099999999999997E-2</v>
      </c>
      <c r="AB3136" s="21">
        <f t="shared" si="931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13"/>
        <v>499582152.5142017</v>
      </c>
      <c r="AJ3136" s="19">
        <f t="shared" si="914"/>
        <v>59520528.679470733</v>
      </c>
      <c r="AK3136" s="20">
        <f t="shared" si="920"/>
        <v>0.11914062257814291</v>
      </c>
      <c r="AL3136" s="17"/>
      <c r="AM3136" s="17"/>
      <c r="AN3136" s="17"/>
      <c r="AO3136" s="17"/>
      <c r="AP3136" s="28" t="str">
        <f t="shared" si="921"/>
        <v>CancelCANCEL</v>
      </c>
      <c r="AQ3136" s="28" t="str">
        <f t="shared" si="922"/>
        <v>CancelCANCELJPY</v>
      </c>
      <c r="AR3136" s="206" t="str">
        <f t="shared" si="923"/>
        <v>YAMAHA_Mounter</v>
      </c>
      <c r="AS3136" s="22" t="str">
        <f t="shared" si="924"/>
        <v/>
      </c>
      <c r="AT3136" s="24" t="str">
        <f t="shared" si="925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28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0"/>
        <v>1</v>
      </c>
      <c r="Z3137" s="18">
        <f t="shared" si="926"/>
        <v>16165000</v>
      </c>
      <c r="AA3137" s="13">
        <v>7.2099999999999997E-2</v>
      </c>
      <c r="AB3137" s="21">
        <f t="shared" si="931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13"/>
        <v>499582152.5142017</v>
      </c>
      <c r="AJ3137" s="19">
        <f t="shared" si="914"/>
        <v>59520528.679470733</v>
      </c>
      <c r="AK3137" s="20">
        <f t="shared" si="920"/>
        <v>0.11914062257814291</v>
      </c>
      <c r="AL3137" s="17"/>
      <c r="AM3137" s="17"/>
      <c r="AN3137" s="17"/>
      <c r="AO3137" s="17"/>
      <c r="AP3137" s="28" t="str">
        <f t="shared" si="921"/>
        <v>CancelCANCEL</v>
      </c>
      <c r="AQ3137" s="28" t="str">
        <f t="shared" si="922"/>
        <v>CancelCANCELJPY</v>
      </c>
      <c r="AR3137" s="206" t="str">
        <f t="shared" si="923"/>
        <v>YAMAHA_Mounter</v>
      </c>
      <c r="AS3137" s="22" t="str">
        <f t="shared" si="924"/>
        <v/>
      </c>
      <c r="AT3137" s="24" t="str">
        <f t="shared" si="925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28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0"/>
        <v>1</v>
      </c>
      <c r="Z3138" s="18">
        <f t="shared" si="926"/>
        <v>16165000</v>
      </c>
      <c r="AA3138" s="13">
        <v>7.2099999999999997E-2</v>
      </c>
      <c r="AB3138" s="21">
        <f t="shared" si="931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32">IF(P3138="C66 SERVICE","",SUMIFS(AB:AB,F:F,F3138,G:G,G3138,E:E,E3138))</f>
        <v>499582152.5142017</v>
      </c>
      <c r="AJ3138" s="19">
        <f t="shared" ref="AJ3138:AJ3201" si="933">IF(P3138="C66 SERVICE","",SUMIFS(AC:AC,F:F,F3138,G:G,G3138,E:E,E3138))</f>
        <v>59520528.679470733</v>
      </c>
      <c r="AK3138" s="20">
        <f t="shared" si="920"/>
        <v>0.11914062257814291</v>
      </c>
      <c r="AL3138" s="17"/>
      <c r="AM3138" s="17"/>
      <c r="AN3138" s="17"/>
      <c r="AO3138" s="17"/>
      <c r="AP3138" s="28" t="str">
        <f t="shared" si="921"/>
        <v>CancelCANCEL</v>
      </c>
      <c r="AQ3138" s="28" t="str">
        <f t="shared" si="922"/>
        <v>CancelCANCELJPY</v>
      </c>
      <c r="AR3138" s="206" t="str">
        <f t="shared" si="923"/>
        <v>YAMAHA_Mounter</v>
      </c>
      <c r="AS3138" s="22" t="str">
        <f t="shared" si="924"/>
        <v/>
      </c>
      <c r="AT3138" s="24" t="str">
        <f t="shared" si="925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28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0"/>
        <v>1</v>
      </c>
      <c r="Z3139" s="18">
        <f t="shared" si="926"/>
        <v>16165000</v>
      </c>
      <c r="AA3139" s="13">
        <v>7.2099999999999997E-2</v>
      </c>
      <c r="AB3139" s="21">
        <f t="shared" si="931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32"/>
        <v>499582152.5142017</v>
      </c>
      <c r="AJ3139" s="19">
        <f t="shared" si="933"/>
        <v>59520528.679470733</v>
      </c>
      <c r="AK3139" s="20">
        <f t="shared" si="920"/>
        <v>0.11914062257814291</v>
      </c>
      <c r="AL3139" s="17"/>
      <c r="AM3139" s="17"/>
      <c r="AN3139" s="17"/>
      <c r="AO3139" s="17"/>
      <c r="AP3139" s="28" t="str">
        <f t="shared" si="921"/>
        <v>CancelCANCEL</v>
      </c>
      <c r="AQ3139" s="28" t="str">
        <f t="shared" si="922"/>
        <v>CancelCANCELJPY</v>
      </c>
      <c r="AR3139" s="206" t="str">
        <f t="shared" si="923"/>
        <v>YAMAHA_Mounter</v>
      </c>
      <c r="AS3139" s="22" t="str">
        <f t="shared" si="924"/>
        <v/>
      </c>
      <c r="AT3139" s="24" t="str">
        <f t="shared" si="925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28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0"/>
        <v>1</v>
      </c>
      <c r="Z3140" s="18">
        <f t="shared" si="926"/>
        <v>51000</v>
      </c>
      <c r="AA3140" s="13">
        <v>7.8</v>
      </c>
      <c r="AB3140" s="21">
        <f t="shared" si="931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32"/>
        <v>33477255.428389374</v>
      </c>
      <c r="AJ3140" s="19">
        <f t="shared" si="933"/>
        <v>4578663.362915583</v>
      </c>
      <c r="AK3140" s="20">
        <f t="shared" si="920"/>
        <v>0.13676937682988152</v>
      </c>
      <c r="AL3140" s="17"/>
      <c r="AM3140" s="17"/>
      <c r="AN3140" s="17"/>
      <c r="AO3140" s="17"/>
      <c r="AP3140" s="28" t="str">
        <f t="shared" si="921"/>
        <v>20204</v>
      </c>
      <c r="AQ3140" s="28" t="str">
        <f t="shared" si="922"/>
        <v>20204USD</v>
      </c>
      <c r="AR3140" s="206" t="str">
        <f t="shared" si="923"/>
        <v>PEMTRON</v>
      </c>
      <c r="AS3140" s="22">
        <f t="shared" si="924"/>
        <v>4</v>
      </c>
      <c r="AT3140" s="24" t="str">
        <f t="shared" si="925"/>
        <v>4-6 months</v>
      </c>
      <c r="AU3140" s="22" t="s">
        <v>3746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28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0"/>
        <v>1</v>
      </c>
      <c r="Z3141" s="18">
        <f t="shared" si="926"/>
        <v>5820000</v>
      </c>
      <c r="AA3141" s="13">
        <v>7.3599999999999999E-2</v>
      </c>
      <c r="AB3141" s="21">
        <f t="shared" si="931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32"/>
        <v>33477255.428389374</v>
      </c>
      <c r="AJ3141" s="19">
        <f t="shared" si="933"/>
        <v>4578663.362915583</v>
      </c>
      <c r="AK3141" s="20">
        <f t="shared" si="920"/>
        <v>0.13676937682988152</v>
      </c>
      <c r="AL3141" s="17"/>
      <c r="AM3141" s="17"/>
      <c r="AN3141" s="17"/>
      <c r="AO3141" s="17"/>
      <c r="AP3141" s="28" t="str">
        <f t="shared" si="921"/>
        <v>20204</v>
      </c>
      <c r="AQ3141" s="28" t="str">
        <f t="shared" si="922"/>
        <v>20204JPY</v>
      </c>
      <c r="AR3141" s="206" t="str">
        <f t="shared" si="923"/>
        <v>YAMAHA_Non_Mounter</v>
      </c>
      <c r="AS3141" s="22">
        <f t="shared" si="924"/>
        <v>4</v>
      </c>
      <c r="AT3141" s="24" t="str">
        <f t="shared" si="925"/>
        <v>4-6 months</v>
      </c>
      <c r="AU3141" s="22" t="s">
        <v>3746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28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0"/>
        <v>1</v>
      </c>
      <c r="Z3142" s="18">
        <f t="shared" si="926"/>
        <v>79000</v>
      </c>
      <c r="AA3142" s="13">
        <v>7.8</v>
      </c>
      <c r="AB3142" s="21">
        <f t="shared" si="931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32"/>
        <v>33477255.428389374</v>
      </c>
      <c r="AJ3142" s="19">
        <f t="shared" si="933"/>
        <v>4578663.362915583</v>
      </c>
      <c r="AK3142" s="20">
        <f t="shared" ref="AK3142:AK3205" si="9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0">IF(F3142="","",F3142&amp;G3142)</f>
        <v>20204</v>
      </c>
      <c r="AQ3142" s="28" t="str">
        <f t="shared" ref="AQ3142:AQ3205" si="941">IF(W3142="","",F3142&amp;G3142&amp;W3142)</f>
        <v>20204USD</v>
      </c>
      <c r="AR3142" s="206" t="str">
        <f t="shared" ref="AR3142:AR3205" si="942">IFERROR(IF(AND(M3142="YAMAHA", R3142="C28"), "YAMAHA_Non_Mounter", IF(AND(M3142="YAMAHA", R3142="C49"), "YAMAHA_Mounter", M3142)),"")</f>
        <v>HELLER</v>
      </c>
      <c r="AS3142" s="22">
        <f t="shared" ref="AS3142:AS3205" si="943">IFERROR(IF(OR(G3142="TBA", G3142=""), "", DATEDIF(DATE(B3142, C3142, 1), DATE(F3142, G3142, 1), "M")),"")</f>
        <v>5</v>
      </c>
      <c r="AT3142" s="24" t="str">
        <f t="shared" ref="AT3142:AT3205" si="944">IF(ISNUMBER(AS3142), IF(AS3142&gt;=0, IF(AS3142&lt;=3, "0-3 months", IF(AS3142&lt;=6, "4-6 months", "&gt; 6 months"))), "")</f>
        <v>4-6 months</v>
      </c>
      <c r="AU3142" s="22" t="s">
        <v>3746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28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0"/>
        <v>1</v>
      </c>
      <c r="Z3143" s="18">
        <f t="shared" si="926"/>
        <v>51000</v>
      </c>
      <c r="AA3143" s="13">
        <v>7.8</v>
      </c>
      <c r="AB3143" s="21">
        <f t="shared" si="931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2"/>
        <v>48763143.537654862</v>
      </c>
      <c r="AJ3143" s="19">
        <f t="shared" si="933"/>
        <v>5924029.9702154724</v>
      </c>
      <c r="AK3143" s="20">
        <f t="shared" si="939"/>
        <v>0.1214858095774925</v>
      </c>
      <c r="AL3143" s="17"/>
      <c r="AM3143" s="17"/>
      <c r="AN3143" s="17"/>
      <c r="AO3143" s="17"/>
      <c r="AP3143" s="28" t="str">
        <f t="shared" si="940"/>
        <v>202012</v>
      </c>
      <c r="AQ3143" s="28" t="str">
        <f t="shared" si="941"/>
        <v>202012USD</v>
      </c>
      <c r="AR3143" s="206" t="str">
        <f t="shared" si="942"/>
        <v>PEMTRON</v>
      </c>
      <c r="AS3143" s="22">
        <f t="shared" si="943"/>
        <v>3</v>
      </c>
      <c r="AT3143" s="24" t="str">
        <f t="shared" si="944"/>
        <v>0-3 months</v>
      </c>
      <c r="AU3143" s="22" t="s">
        <v>3746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28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0"/>
        <v>1</v>
      </c>
      <c r="Z3144" s="18">
        <f t="shared" si="926"/>
        <v>5820000</v>
      </c>
      <c r="AA3144" s="13">
        <v>7.6100000000000001E-2</v>
      </c>
      <c r="AB3144" s="21">
        <f t="shared" si="931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2"/>
        <v>44078731.611185849</v>
      </c>
      <c r="AJ3144" s="19">
        <f t="shared" si="933"/>
        <v>5508173.2163771465</v>
      </c>
      <c r="AK3144" s="20">
        <f t="shared" si="939"/>
        <v>0.12496215328889679</v>
      </c>
      <c r="AL3144" s="17"/>
      <c r="AM3144" s="17"/>
      <c r="AN3144" s="17"/>
      <c r="AO3144" s="17"/>
      <c r="AP3144" s="28" t="str">
        <f t="shared" si="940"/>
        <v>202011</v>
      </c>
      <c r="AQ3144" s="28" t="str">
        <f t="shared" si="941"/>
        <v>202011JPY</v>
      </c>
      <c r="AR3144" s="206" t="str">
        <f t="shared" si="942"/>
        <v>YAMAHA_Non_Mounter</v>
      </c>
      <c r="AS3144" s="22">
        <f t="shared" si="943"/>
        <v>2</v>
      </c>
      <c r="AT3144" s="24" t="str">
        <f t="shared" si="944"/>
        <v>0-3 months</v>
      </c>
      <c r="AU3144" s="22" t="s">
        <v>3746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28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0"/>
        <v>1</v>
      </c>
      <c r="Z3145" s="18">
        <f t="shared" si="926"/>
        <v>79000</v>
      </c>
      <c r="AA3145" s="13">
        <v>7.8</v>
      </c>
      <c r="AB3145" s="21">
        <f t="shared" si="931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2"/>
        <v>48763143.537654862</v>
      </c>
      <c r="AJ3145" s="19">
        <f t="shared" si="933"/>
        <v>5924029.9702154724</v>
      </c>
      <c r="AK3145" s="20">
        <f t="shared" si="939"/>
        <v>0.1214858095774925</v>
      </c>
      <c r="AL3145" s="17"/>
      <c r="AM3145" s="17"/>
      <c r="AN3145" s="17"/>
      <c r="AO3145" s="17"/>
      <c r="AP3145" s="28" t="str">
        <f t="shared" si="940"/>
        <v>202012</v>
      </c>
      <c r="AQ3145" s="28" t="str">
        <f t="shared" si="941"/>
        <v>202012USD</v>
      </c>
      <c r="AR3145" s="206" t="str">
        <f t="shared" si="942"/>
        <v>HELLER</v>
      </c>
      <c r="AS3145" s="22">
        <f t="shared" si="943"/>
        <v>3</v>
      </c>
      <c r="AT3145" s="24" t="str">
        <f t="shared" si="944"/>
        <v>0-3 months</v>
      </c>
      <c r="AU3145" s="22" t="s">
        <v>3746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28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0"/>
        <v>1</v>
      </c>
      <c r="Z3146" s="18">
        <f t="shared" ref="Z3146:Z3209" si="945">IF(X3146="","",X3146*MAX(O3146,N3146))</f>
        <v>12780000</v>
      </c>
      <c r="AA3146" s="13">
        <v>7.17E-2</v>
      </c>
      <c r="AB3146" s="21">
        <f t="shared" si="931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2"/>
        <v>43684091.636631854</v>
      </c>
      <c r="AJ3146" s="19">
        <f t="shared" si="933"/>
        <v>6483951.8242071122</v>
      </c>
      <c r="AK3146" s="20">
        <f t="shared" si="939"/>
        <v>0.14842821680123736</v>
      </c>
      <c r="AL3146" s="17"/>
      <c r="AM3146" s="17"/>
      <c r="AN3146" s="17"/>
      <c r="AO3146" s="17"/>
      <c r="AP3146" s="28" t="str">
        <f t="shared" si="940"/>
        <v>20214</v>
      </c>
      <c r="AQ3146" s="28" t="str">
        <f t="shared" si="941"/>
        <v>20214JPY</v>
      </c>
      <c r="AR3146" s="206" t="str">
        <f t="shared" si="942"/>
        <v>YAMAHA_Non_Mounter</v>
      </c>
      <c r="AS3146" s="22">
        <f t="shared" si="943"/>
        <v>3</v>
      </c>
      <c r="AT3146" s="24" t="str">
        <f t="shared" si="944"/>
        <v>0-3 months</v>
      </c>
      <c r="AU3146" s="22" t="s">
        <v>3746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28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0"/>
        <v>1</v>
      </c>
      <c r="Z3147" s="18">
        <f t="shared" si="945"/>
        <v>298000</v>
      </c>
      <c r="AA3147" s="13">
        <v>1</v>
      </c>
      <c r="AB3147" s="21">
        <f t="shared" si="931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2"/>
        <v>47458373.787610628</v>
      </c>
      <c r="AJ3147" s="19">
        <f t="shared" si="933"/>
        <v>7436880.1411522133</v>
      </c>
      <c r="AK3147" s="20">
        <f t="shared" si="939"/>
        <v>0.15670322321692506</v>
      </c>
      <c r="AL3147" s="17"/>
      <c r="AM3147" s="17"/>
      <c r="AN3147" s="17"/>
      <c r="AO3147" s="17"/>
      <c r="AP3147" s="28" t="str">
        <f t="shared" si="940"/>
        <v>20218</v>
      </c>
      <c r="AQ3147" s="28" t="str">
        <f t="shared" si="941"/>
        <v>20218HKD</v>
      </c>
      <c r="AR3147" s="206" t="str">
        <f t="shared" si="942"/>
        <v>LOCAL SUPPLIER</v>
      </c>
      <c r="AS3147" s="22">
        <f t="shared" si="943"/>
        <v>3</v>
      </c>
      <c r="AT3147" s="24" t="str">
        <f t="shared" si="944"/>
        <v>0-3 months</v>
      </c>
      <c r="AU3147" s="22" t="s">
        <v>3746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28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0"/>
        <v>1</v>
      </c>
      <c r="Z3148" s="18">
        <f t="shared" si="945"/>
        <v>6000</v>
      </c>
      <c r="AA3148" s="13">
        <v>7.8</v>
      </c>
      <c r="AB3148" s="21">
        <f t="shared" si="931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2"/>
        <v>15533177.71460177</v>
      </c>
      <c r="AJ3148" s="19">
        <f t="shared" si="933"/>
        <v>1819298.5437526547</v>
      </c>
      <c r="AK3148" s="20">
        <f t="shared" si="939"/>
        <v>0.11712339723265033</v>
      </c>
      <c r="AL3148" s="17"/>
      <c r="AM3148" s="17"/>
      <c r="AN3148" s="17"/>
      <c r="AO3148" s="17"/>
      <c r="AP3148" s="28" t="str">
        <f t="shared" si="940"/>
        <v>202110</v>
      </c>
      <c r="AQ3148" s="28" t="str">
        <f t="shared" si="941"/>
        <v>202110USD</v>
      </c>
      <c r="AR3148" s="206" t="str">
        <f t="shared" si="942"/>
        <v>SOLDERSTAR</v>
      </c>
      <c r="AS3148" s="22">
        <f t="shared" si="943"/>
        <v>1</v>
      </c>
      <c r="AT3148" s="24" t="str">
        <f t="shared" si="944"/>
        <v>0-3 months</v>
      </c>
      <c r="AU3148" s="22" t="s">
        <v>3746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28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6">IF(W3149="","",IF(W3149="RMB","1.13", "1"))</f>
        <v>1</v>
      </c>
      <c r="Z3149" s="196">
        <f t="shared" si="945"/>
        <v>7250000</v>
      </c>
      <c r="AA3149" s="22">
        <v>5.2299999999999999E-2</v>
      </c>
      <c r="AB3149" s="197">
        <f t="shared" si="931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2"/>
        <v>25354039.366920356</v>
      </c>
      <c r="AJ3149" s="200">
        <f t="shared" si="933"/>
        <v>3028631.2816309328</v>
      </c>
      <c r="AK3149" s="201">
        <f t="shared" si="939"/>
        <v>0.11945360018579192</v>
      </c>
      <c r="AL3149" s="24"/>
      <c r="AM3149" s="24"/>
      <c r="AN3149" s="24"/>
      <c r="AO3149" s="24"/>
      <c r="AP3149" s="105" t="str">
        <f t="shared" si="940"/>
        <v>20248</v>
      </c>
      <c r="AQ3149" s="28" t="str">
        <f t="shared" si="941"/>
        <v>20248JPY</v>
      </c>
      <c r="AR3149" s="206" t="str">
        <f t="shared" si="942"/>
        <v>YAMAHA_Mounter</v>
      </c>
      <c r="AS3149" s="22">
        <f t="shared" si="943"/>
        <v>1</v>
      </c>
      <c r="AT3149" s="24" t="str">
        <f t="shared" si="944"/>
        <v>0-3 months</v>
      </c>
      <c r="AU3149" s="22" t="s">
        <v>3745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28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6"/>
        <v>1.13</v>
      </c>
      <c r="Z3150" s="196">
        <f t="shared" si="945"/>
        <v>410000</v>
      </c>
      <c r="AA3150" s="22">
        <v>1.08</v>
      </c>
      <c r="AB3150" s="197">
        <f t="shared" si="931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2"/>
        <v>25354039.366920356</v>
      </c>
      <c r="AJ3150" s="200">
        <f t="shared" si="933"/>
        <v>3028631.2816309328</v>
      </c>
      <c r="AK3150" s="201">
        <f t="shared" si="939"/>
        <v>0.11945360018579192</v>
      </c>
      <c r="AL3150" s="24"/>
      <c r="AM3150" s="24"/>
      <c r="AN3150" s="24"/>
      <c r="AO3150" s="24"/>
      <c r="AP3150" s="105" t="str">
        <f t="shared" si="940"/>
        <v>20248</v>
      </c>
      <c r="AQ3150" s="28" t="str">
        <f t="shared" si="941"/>
        <v>20248RMB</v>
      </c>
      <c r="AR3150" s="206" t="str">
        <f t="shared" si="942"/>
        <v>YAMAHA_Mounter</v>
      </c>
      <c r="AS3150" s="22">
        <f t="shared" si="943"/>
        <v>1</v>
      </c>
      <c r="AT3150" s="24" t="str">
        <f t="shared" si="944"/>
        <v>0-3 months</v>
      </c>
      <c r="AU3150" s="22" t="s">
        <v>3751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28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6"/>
        <v>1.13</v>
      </c>
      <c r="Z3151" s="196">
        <f t="shared" si="945"/>
        <v>410000</v>
      </c>
      <c r="AA3151" s="22">
        <v>1.08</v>
      </c>
      <c r="AB3151" s="197">
        <f t="shared" si="931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2"/>
        <v>25354039.366920356</v>
      </c>
      <c r="AJ3151" s="200">
        <f t="shared" si="933"/>
        <v>3028631.2816309328</v>
      </c>
      <c r="AK3151" s="201">
        <f t="shared" si="939"/>
        <v>0.11945360018579192</v>
      </c>
      <c r="AL3151" s="24"/>
      <c r="AM3151" s="24"/>
      <c r="AN3151" s="24"/>
      <c r="AO3151" s="24"/>
      <c r="AP3151" s="105" t="str">
        <f t="shared" si="940"/>
        <v>20248</v>
      </c>
      <c r="AQ3151" s="28" t="str">
        <f t="shared" si="941"/>
        <v>20248RMB</v>
      </c>
      <c r="AR3151" s="206" t="str">
        <f t="shared" si="942"/>
        <v>YAMAHA_Mounter</v>
      </c>
      <c r="AS3151" s="22">
        <f t="shared" si="943"/>
        <v>1</v>
      </c>
      <c r="AT3151" s="24" t="str">
        <f t="shared" si="944"/>
        <v>0-3 months</v>
      </c>
      <c r="AU3151" s="22" t="s">
        <v>3751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28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6"/>
        <v>1</v>
      </c>
      <c r="Z3152" s="196">
        <f t="shared" si="945"/>
        <v>7950000</v>
      </c>
      <c r="AA3152" s="22">
        <v>5.2299999999999999E-2</v>
      </c>
      <c r="AB3152" s="197">
        <f t="shared" si="931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2"/>
        <v>25354039.366920356</v>
      </c>
      <c r="AJ3152" s="200">
        <f t="shared" si="933"/>
        <v>3028631.2816309328</v>
      </c>
      <c r="AK3152" s="201">
        <f t="shared" si="939"/>
        <v>0.11945360018579192</v>
      </c>
      <c r="AL3152" s="24"/>
      <c r="AM3152" s="24"/>
      <c r="AN3152" s="24"/>
      <c r="AO3152" s="24"/>
      <c r="AP3152" s="105" t="str">
        <f t="shared" si="940"/>
        <v>20248</v>
      </c>
      <c r="AQ3152" s="28" t="str">
        <f t="shared" si="941"/>
        <v>20248JPY</v>
      </c>
      <c r="AR3152" s="206" t="str">
        <f t="shared" si="942"/>
        <v>YAMAHA_Mounter</v>
      </c>
      <c r="AS3152" s="22">
        <f t="shared" si="943"/>
        <v>1</v>
      </c>
      <c r="AT3152" s="24" t="str">
        <f t="shared" si="944"/>
        <v>0-3 months</v>
      </c>
      <c r="AU3152" s="22" t="s">
        <v>3745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28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6"/>
        <v>1</v>
      </c>
      <c r="Z3153" s="196">
        <f t="shared" si="945"/>
        <v>12650000</v>
      </c>
      <c r="AA3153" s="22">
        <v>5.5599999999999997E-2</v>
      </c>
      <c r="AB3153" s="197">
        <f t="shared" si="931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2"/>
        <v>22758096.38940867</v>
      </c>
      <c r="AJ3153" s="200">
        <f t="shared" si="933"/>
        <v>2469357.2298956565</v>
      </c>
      <c r="AK3153" s="201">
        <f t="shared" si="939"/>
        <v>0.10850455976822666</v>
      </c>
      <c r="AL3153" s="24"/>
      <c r="AM3153" s="24"/>
      <c r="AN3153" s="24"/>
      <c r="AO3153" s="24"/>
      <c r="AP3153" s="105" t="str">
        <f t="shared" si="940"/>
        <v>202410</v>
      </c>
      <c r="AQ3153" s="28" t="str">
        <f t="shared" si="941"/>
        <v>202410JPY</v>
      </c>
      <c r="AR3153" s="206" t="str">
        <f t="shared" si="942"/>
        <v>YAMAHA_Mounter</v>
      </c>
      <c r="AS3153" s="22">
        <f t="shared" si="943"/>
        <v>3</v>
      </c>
      <c r="AT3153" s="24" t="str">
        <f t="shared" si="944"/>
        <v>0-3 months</v>
      </c>
      <c r="AU3153" s="22" t="s">
        <v>3745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28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6"/>
        <v>1</v>
      </c>
      <c r="Z3154" s="196">
        <f t="shared" si="945"/>
        <v>12650000</v>
      </c>
      <c r="AA3154" s="22">
        <v>5.5599999999999997E-2</v>
      </c>
      <c r="AB3154" s="197">
        <f t="shared" si="931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2"/>
        <v>22758096.38940867</v>
      </c>
      <c r="AJ3154" s="200">
        <f t="shared" si="933"/>
        <v>2469357.2298956565</v>
      </c>
      <c r="AK3154" s="201">
        <f t="shared" si="939"/>
        <v>0.10850455976822666</v>
      </c>
      <c r="AL3154" s="24"/>
      <c r="AM3154" s="24"/>
      <c r="AN3154" s="24"/>
      <c r="AO3154" s="24"/>
      <c r="AP3154" s="105" t="str">
        <f t="shared" si="940"/>
        <v>202410</v>
      </c>
      <c r="AQ3154" s="28" t="str">
        <f t="shared" si="941"/>
        <v>202410JPY</v>
      </c>
      <c r="AR3154" s="206" t="str">
        <f t="shared" si="942"/>
        <v>YAMAHA_Mounter</v>
      </c>
      <c r="AS3154" s="22">
        <f t="shared" si="943"/>
        <v>3</v>
      </c>
      <c r="AT3154" s="24" t="str">
        <f t="shared" si="944"/>
        <v>0-3 months</v>
      </c>
      <c r="AU3154" s="22" t="s">
        <v>3745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28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6"/>
        <v>1.13</v>
      </c>
      <c r="Z3155" s="196">
        <f t="shared" si="945"/>
        <v>630000</v>
      </c>
      <c r="AA3155" s="22">
        <v>1.08</v>
      </c>
      <c r="AB3155" s="197">
        <f t="shared" si="931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2"/>
        <v>25354039.366920356</v>
      </c>
      <c r="AJ3155" s="200">
        <f t="shared" si="933"/>
        <v>3028631.2816309328</v>
      </c>
      <c r="AK3155" s="201">
        <f t="shared" si="939"/>
        <v>0.11945360018579192</v>
      </c>
      <c r="AL3155" s="24"/>
      <c r="AM3155" s="24"/>
      <c r="AN3155" s="24"/>
      <c r="AO3155" s="24"/>
      <c r="AP3155" s="105" t="str">
        <f t="shared" si="940"/>
        <v>20248</v>
      </c>
      <c r="AQ3155" s="28" t="str">
        <f t="shared" si="941"/>
        <v>20248RMB</v>
      </c>
      <c r="AR3155" s="206" t="str">
        <f t="shared" si="942"/>
        <v>YAMAHA_Mounter</v>
      </c>
      <c r="AS3155" s="22">
        <f t="shared" si="943"/>
        <v>1</v>
      </c>
      <c r="AT3155" s="24" t="str">
        <f t="shared" si="944"/>
        <v>0-3 months</v>
      </c>
      <c r="AU3155" s="22" t="s">
        <v>3751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28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6"/>
        <v>1.13</v>
      </c>
      <c r="Z3156" s="196">
        <f t="shared" si="945"/>
        <v>630000</v>
      </c>
      <c r="AA3156" s="22">
        <v>1.08</v>
      </c>
      <c r="AB3156" s="197">
        <f t="shared" si="931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2"/>
        <v>25354039.366920356</v>
      </c>
      <c r="AJ3156" s="200">
        <f t="shared" si="933"/>
        <v>3028631.2816309328</v>
      </c>
      <c r="AK3156" s="201">
        <f t="shared" si="939"/>
        <v>0.11945360018579192</v>
      </c>
      <c r="AL3156" s="24"/>
      <c r="AM3156" s="24"/>
      <c r="AN3156" s="24"/>
      <c r="AO3156" s="24"/>
      <c r="AP3156" s="105" t="str">
        <f t="shared" si="940"/>
        <v>20248</v>
      </c>
      <c r="AQ3156" s="28" t="str">
        <f t="shared" si="941"/>
        <v>20248RMB</v>
      </c>
      <c r="AR3156" s="206" t="str">
        <f t="shared" si="942"/>
        <v>YAMAHA_Mounter</v>
      </c>
      <c r="AS3156" s="22">
        <f t="shared" si="943"/>
        <v>1</v>
      </c>
      <c r="AT3156" s="24" t="str">
        <f t="shared" si="944"/>
        <v>0-3 months</v>
      </c>
      <c r="AU3156" s="22" t="s">
        <v>3751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28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5"/>
        <v>179000</v>
      </c>
      <c r="AA3157" s="13">
        <v>7.8</v>
      </c>
      <c r="AB3157" s="21">
        <f t="shared" si="931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2"/>
        <v>13250187.062905986</v>
      </c>
      <c r="AJ3157" s="19">
        <f t="shared" si="933"/>
        <v>1545643.7555487182</v>
      </c>
      <c r="AK3157" s="20">
        <f t="shared" si="9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0"/>
        <v>20183</v>
      </c>
      <c r="AQ3157" s="28" t="str">
        <f t="shared" si="941"/>
        <v>20183USD</v>
      </c>
      <c r="AR3157" s="206" t="str">
        <f t="shared" si="942"/>
        <v>HELLER</v>
      </c>
      <c r="AS3157" s="22">
        <f t="shared" si="943"/>
        <v>2</v>
      </c>
      <c r="AT3157" s="24" t="str">
        <f t="shared" si="944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5"/>
        <v>358000</v>
      </c>
      <c r="AA3158" s="13">
        <v>7.8</v>
      </c>
      <c r="AB3158" s="21">
        <f t="shared" si="931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2"/>
        <v>24398045.86045352</v>
      </c>
      <c r="AJ3158" s="19">
        <f t="shared" si="933"/>
        <v>3478417.4064663448</v>
      </c>
      <c r="AK3158" s="20">
        <f t="shared" si="939"/>
        <v>0.14256950849102498</v>
      </c>
      <c r="AL3158" s="17"/>
      <c r="AM3158" s="17"/>
      <c r="AN3158" s="17"/>
      <c r="AO3158" s="17"/>
      <c r="AP3158" s="28" t="str">
        <f t="shared" si="940"/>
        <v>20186</v>
      </c>
      <c r="AQ3158" s="28" t="str">
        <f t="shared" si="941"/>
        <v>20186USD</v>
      </c>
      <c r="AR3158" s="206" t="str">
        <f t="shared" si="942"/>
        <v>HELLER</v>
      </c>
      <c r="AS3158" s="22">
        <f t="shared" si="943"/>
        <v>1</v>
      </c>
      <c r="AT3158" s="24" t="str">
        <f t="shared" si="944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5"/>
        <v>61800</v>
      </c>
      <c r="AA3159" s="13">
        <v>7.8</v>
      </c>
      <c r="AB3159" s="21">
        <f t="shared" si="931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2"/>
        <v>24398045.86045352</v>
      </c>
      <c r="AJ3159" s="19">
        <f t="shared" si="933"/>
        <v>3478417.4064663448</v>
      </c>
      <c r="AK3159" s="20">
        <f t="shared" si="939"/>
        <v>0.14256950849102498</v>
      </c>
      <c r="AL3159" s="17"/>
      <c r="AM3159" s="17"/>
      <c r="AN3159" s="17"/>
      <c r="AO3159" s="17"/>
      <c r="AP3159" s="28" t="str">
        <f t="shared" si="940"/>
        <v>20186</v>
      </c>
      <c r="AQ3159" s="28" t="str">
        <f t="shared" si="941"/>
        <v>20186USD</v>
      </c>
      <c r="AR3159" s="206" t="str">
        <f t="shared" si="942"/>
        <v>HELLER</v>
      </c>
      <c r="AS3159" s="22">
        <f t="shared" si="943"/>
        <v>1</v>
      </c>
      <c r="AT3159" s="24" t="str">
        <f t="shared" si="944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5"/>
        <v>61500</v>
      </c>
      <c r="AA3160" s="13">
        <v>7.8</v>
      </c>
      <c r="AB3160" s="21">
        <f t="shared" si="931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2"/>
        <v>29183109.05575221</v>
      </c>
      <c r="AJ3160" s="19">
        <f t="shared" si="933"/>
        <v>3741266.5648721238</v>
      </c>
      <c r="AK3160" s="20">
        <f t="shared" si="939"/>
        <v>0.12819972531798121</v>
      </c>
      <c r="AL3160" s="17"/>
      <c r="AM3160" s="17"/>
      <c r="AN3160" s="17"/>
      <c r="AO3160" s="17"/>
      <c r="AP3160" s="28" t="str">
        <f t="shared" si="940"/>
        <v>20206</v>
      </c>
      <c r="AQ3160" s="28" t="str">
        <f t="shared" si="941"/>
        <v>20206USD</v>
      </c>
      <c r="AR3160" s="206" t="str">
        <f t="shared" si="942"/>
        <v>HELLER</v>
      </c>
      <c r="AS3160" s="22">
        <f t="shared" si="943"/>
        <v>3</v>
      </c>
      <c r="AT3160" s="24" t="str">
        <f t="shared" si="944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5"/>
        <v>1800000</v>
      </c>
      <c r="AA3161" s="13">
        <v>1.095</v>
      </c>
      <c r="AB3161" s="21">
        <f t="shared" si="931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2"/>
        <v>30033846.584070798</v>
      </c>
      <c r="AJ3161" s="19">
        <f t="shared" si="933"/>
        <v>3534936.4750884958</v>
      </c>
      <c r="AK3161" s="20">
        <f t="shared" si="939"/>
        <v>0.11769842618039268</v>
      </c>
      <c r="AL3161" s="17"/>
      <c r="AM3161" s="17"/>
      <c r="AN3161" s="17"/>
      <c r="AO3161" s="17"/>
      <c r="AP3161" s="28" t="str">
        <f t="shared" si="940"/>
        <v>TBATBA</v>
      </c>
      <c r="AQ3161" s="28" t="str">
        <f t="shared" si="941"/>
        <v>TBATBARMB</v>
      </c>
      <c r="AR3161" s="206" t="str">
        <f t="shared" si="942"/>
        <v>HELLER</v>
      </c>
      <c r="AS3161" s="22" t="str">
        <f t="shared" si="943"/>
        <v/>
      </c>
      <c r="AT3161" s="24" t="str">
        <f t="shared" si="944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5"/>
        <v>116200</v>
      </c>
      <c r="AA3162" s="13">
        <v>7.8</v>
      </c>
      <c r="AB3162" s="21">
        <f t="shared" si="931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2"/>
        <v>33543315.897345133</v>
      </c>
      <c r="AJ3162" s="19">
        <f t="shared" si="933"/>
        <v>4706169.3252984071</v>
      </c>
      <c r="AK3162" s="20">
        <f t="shared" si="939"/>
        <v>0.14030125523967318</v>
      </c>
      <c r="AL3162" s="17"/>
      <c r="AM3162" s="17"/>
      <c r="AN3162" s="17"/>
      <c r="AO3162" s="17"/>
      <c r="AP3162" s="28" t="str">
        <f t="shared" si="940"/>
        <v>20233</v>
      </c>
      <c r="AQ3162" s="28" t="str">
        <f t="shared" si="941"/>
        <v>20233USD</v>
      </c>
      <c r="AR3162" s="206" t="str">
        <f t="shared" si="942"/>
        <v>HELLER</v>
      </c>
      <c r="AS3162" s="22">
        <f t="shared" si="943"/>
        <v>4</v>
      </c>
      <c r="AT3162" s="24" t="str">
        <f t="shared" si="944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5"/>
        <v>89360</v>
      </c>
      <c r="AA3163" s="13">
        <v>7.8</v>
      </c>
      <c r="AB3163" s="21">
        <f t="shared" si="931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2"/>
        <v>26078226.463097349</v>
      </c>
      <c r="AJ3163" s="19">
        <f t="shared" si="933"/>
        <v>3137870.4427774516</v>
      </c>
      <c r="AK3163" s="20">
        <f t="shared" si="939"/>
        <v>0.12032530077218917</v>
      </c>
      <c r="AL3163" s="17"/>
      <c r="AM3163" s="17"/>
      <c r="AN3163" s="17"/>
      <c r="AO3163" s="17"/>
      <c r="AP3163" s="28" t="str">
        <f t="shared" si="940"/>
        <v>20239</v>
      </c>
      <c r="AQ3163" s="28" t="str">
        <f t="shared" si="941"/>
        <v>20239USD</v>
      </c>
      <c r="AR3163" s="206" t="str">
        <f t="shared" si="942"/>
        <v>HELLER</v>
      </c>
      <c r="AS3163" s="22">
        <f t="shared" si="943"/>
        <v>2</v>
      </c>
      <c r="AT3163" s="24" t="str">
        <f t="shared" si="944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5"/>
        <v>1200000</v>
      </c>
      <c r="AA3164" s="13">
        <v>1.08</v>
      </c>
      <c r="AB3164" s="21">
        <f t="shared" si="931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2"/>
        <v>499582152.5142017</v>
      </c>
      <c r="AJ3164" s="19">
        <f t="shared" si="933"/>
        <v>59520528.679470733</v>
      </c>
      <c r="AK3164" s="20">
        <f t="shared" si="939"/>
        <v>0.11914062257814291</v>
      </c>
      <c r="AL3164" s="17"/>
      <c r="AM3164" s="17"/>
      <c r="AN3164" s="17"/>
      <c r="AO3164" s="17"/>
      <c r="AP3164" s="28" t="str">
        <f t="shared" si="940"/>
        <v>CancelCancel</v>
      </c>
      <c r="AQ3164" s="28" t="str">
        <f t="shared" si="941"/>
        <v>CancelCancelRMB</v>
      </c>
      <c r="AR3164" s="206" t="str">
        <f t="shared" si="942"/>
        <v>HELLER</v>
      </c>
      <c r="AS3164" s="22" t="str">
        <f t="shared" si="943"/>
        <v/>
      </c>
      <c r="AT3164" s="24" t="str">
        <f t="shared" si="944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5"/>
        <v>1090000</v>
      </c>
      <c r="AA3165" s="13">
        <v>1.095</v>
      </c>
      <c r="AB3165" s="21">
        <f t="shared" si="931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2"/>
        <v>33477255.428389374</v>
      </c>
      <c r="AJ3165" s="19">
        <f t="shared" si="933"/>
        <v>4578663.362915583</v>
      </c>
      <c r="AK3165" s="20">
        <f t="shared" si="939"/>
        <v>0.13676937682988152</v>
      </c>
      <c r="AL3165" s="17"/>
      <c r="AM3165" s="17"/>
      <c r="AN3165" s="17"/>
      <c r="AO3165" s="17"/>
      <c r="AP3165" s="28" t="str">
        <f t="shared" si="940"/>
        <v>20204</v>
      </c>
      <c r="AQ3165" s="28" t="str">
        <f t="shared" si="941"/>
        <v>20204RMB</v>
      </c>
      <c r="AR3165" s="206" t="str">
        <f t="shared" si="942"/>
        <v>YAMAHA_Mounter</v>
      </c>
      <c r="AS3165" s="22">
        <f t="shared" si="943"/>
        <v>4</v>
      </c>
      <c r="AT3165" s="24" t="str">
        <f t="shared" si="944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5"/>
        <v>11300000</v>
      </c>
      <c r="AA3166" s="13">
        <v>7.2999999999999995E-2</v>
      </c>
      <c r="AB3166" s="21">
        <f t="shared" si="931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2"/>
        <v>23168285.927433632</v>
      </c>
      <c r="AJ3166" s="19">
        <f t="shared" si="933"/>
        <v>2764878.916878053</v>
      </c>
      <c r="AK3166" s="20">
        <f t="shared" si="939"/>
        <v>0.11933895004309111</v>
      </c>
      <c r="AL3166" s="17"/>
      <c r="AM3166" s="17"/>
      <c r="AN3166" s="17"/>
      <c r="AO3166" s="17"/>
      <c r="AP3166" s="28" t="str">
        <f t="shared" si="940"/>
        <v>20203</v>
      </c>
      <c r="AQ3166" s="28" t="str">
        <f t="shared" si="941"/>
        <v>20203JPY</v>
      </c>
      <c r="AR3166" s="206" t="str">
        <f t="shared" si="942"/>
        <v>YAMAHA_Mounter</v>
      </c>
      <c r="AS3166" s="22">
        <f t="shared" si="943"/>
        <v>2</v>
      </c>
      <c r="AT3166" s="24" t="str">
        <f t="shared" si="944"/>
        <v>0-3 months</v>
      </c>
      <c r="AU3166" s="22" t="s">
        <v>3745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5"/>
        <v>8300000</v>
      </c>
      <c r="AA3167" s="13">
        <v>6.9199999999999998E-2</v>
      </c>
      <c r="AB3167" s="21">
        <f t="shared" si="931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2"/>
        <v>26407088.359292038</v>
      </c>
      <c r="AJ3167" s="19">
        <f t="shared" si="933"/>
        <v>3424510.6998470789</v>
      </c>
      <c r="AK3167" s="20">
        <f t="shared" si="939"/>
        <v>0.12968149510667554</v>
      </c>
      <c r="AL3167" s="17"/>
      <c r="AM3167" s="17"/>
      <c r="AN3167" s="17"/>
      <c r="AO3167" s="17"/>
      <c r="AP3167" s="28" t="str">
        <f t="shared" si="940"/>
        <v>20221</v>
      </c>
      <c r="AQ3167" s="28" t="str">
        <f t="shared" si="941"/>
        <v>20221JPY</v>
      </c>
      <c r="AR3167" s="206" t="str">
        <f t="shared" si="942"/>
        <v>YAMAHA_Mounter</v>
      </c>
      <c r="AS3167" s="22">
        <f t="shared" si="943"/>
        <v>9</v>
      </c>
      <c r="AT3167" s="24" t="str">
        <f t="shared" si="944"/>
        <v>&gt; 6 months</v>
      </c>
      <c r="AU3167" s="22" t="s">
        <v>3745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5"/>
        <v>30624000</v>
      </c>
      <c r="AA3168" s="13">
        <v>7.22E-2</v>
      </c>
      <c r="AB3168" s="21">
        <f t="shared" si="931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2"/>
        <v>47416008.333399981</v>
      </c>
      <c r="AJ3168" s="19">
        <f t="shared" si="933"/>
        <v>6981738.4465290187</v>
      </c>
      <c r="AK3168" s="20">
        <f t="shared" si="939"/>
        <v>0.14724433143839863</v>
      </c>
      <c r="AL3168" s="17"/>
      <c r="AM3168" s="17"/>
      <c r="AN3168" s="17"/>
      <c r="AO3168" s="17"/>
      <c r="AP3168" s="28" t="str">
        <f t="shared" si="940"/>
        <v>20193</v>
      </c>
      <c r="AQ3168" s="28" t="str">
        <f t="shared" si="941"/>
        <v>20193JPY</v>
      </c>
      <c r="AR3168" s="206" t="str">
        <f t="shared" si="942"/>
        <v>YAMAHA_Mounter</v>
      </c>
      <c r="AS3168" s="22">
        <f t="shared" si="943"/>
        <v>1</v>
      </c>
      <c r="AT3168" s="24" t="str">
        <f t="shared" si="944"/>
        <v>0-3 months</v>
      </c>
      <c r="AU3168" s="22" t="s">
        <v>3746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48">IF(W3169="RMB","1.13", "1")</f>
        <v>1.13</v>
      </c>
      <c r="Z3169" s="18">
        <f t="shared" si="945"/>
        <v>733868</v>
      </c>
      <c r="AA3169" s="13">
        <v>1.1599999999999999</v>
      </c>
      <c r="AB3169" s="21">
        <f t="shared" si="931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2"/>
        <v>21045012.884955753</v>
      </c>
      <c r="AJ3169" s="19">
        <f t="shared" si="933"/>
        <v>2650260.9603327443</v>
      </c>
      <c r="AK3169" s="20">
        <f t="shared" si="939"/>
        <v>0.12593296924172048</v>
      </c>
      <c r="AL3169" s="17"/>
      <c r="AM3169" s="17"/>
      <c r="AN3169" s="17"/>
      <c r="AO3169" s="17"/>
      <c r="AP3169" s="28" t="str">
        <f t="shared" si="940"/>
        <v>20232</v>
      </c>
      <c r="AQ3169" s="28" t="str">
        <f t="shared" si="941"/>
        <v>20232RMB</v>
      </c>
      <c r="AR3169" s="206" t="str">
        <f t="shared" si="942"/>
        <v>YAMAHA_Mounter</v>
      </c>
      <c r="AS3169" s="22">
        <f t="shared" si="943"/>
        <v>3</v>
      </c>
      <c r="AT3169" s="24" t="str">
        <f t="shared" si="944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48"/>
        <v>1.13</v>
      </c>
      <c r="Z3170" s="18">
        <f t="shared" si="945"/>
        <v>910000</v>
      </c>
      <c r="AA3170" s="13">
        <v>1.1599999999999999</v>
      </c>
      <c r="AB3170" s="21">
        <f t="shared" si="931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2"/>
        <v>21045012.884955753</v>
      </c>
      <c r="AJ3170" s="19">
        <f t="shared" si="933"/>
        <v>2650260.9603327443</v>
      </c>
      <c r="AK3170" s="20">
        <f t="shared" si="939"/>
        <v>0.12593296924172048</v>
      </c>
      <c r="AL3170" s="17"/>
      <c r="AM3170" s="17"/>
      <c r="AN3170" s="17"/>
      <c r="AO3170" s="17"/>
      <c r="AP3170" s="28" t="str">
        <f t="shared" si="940"/>
        <v>20232</v>
      </c>
      <c r="AQ3170" s="28" t="str">
        <f t="shared" si="941"/>
        <v>20232RMB</v>
      </c>
      <c r="AR3170" s="206" t="str">
        <f t="shared" si="942"/>
        <v>YAMAHA_Mounter</v>
      </c>
      <c r="AS3170" s="22">
        <f t="shared" si="943"/>
        <v>3</v>
      </c>
      <c r="AT3170" s="24" t="str">
        <f t="shared" si="944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48"/>
        <v>1</v>
      </c>
      <c r="Z3171" s="18">
        <f t="shared" si="945"/>
        <v>10200000</v>
      </c>
      <c r="AA3171" s="13">
        <v>7.6100000000000001E-2</v>
      </c>
      <c r="AB3171" s="21">
        <f t="shared" si="931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2"/>
        <v>48763143.537654862</v>
      </c>
      <c r="AJ3171" s="19">
        <f t="shared" si="933"/>
        <v>5924029.9702154724</v>
      </c>
      <c r="AK3171" s="20">
        <f t="shared" si="939"/>
        <v>0.1214858095774925</v>
      </c>
      <c r="AL3171" s="17"/>
      <c r="AM3171" s="17"/>
      <c r="AN3171" s="17"/>
      <c r="AO3171" s="17"/>
      <c r="AP3171" s="28" t="str">
        <f t="shared" si="940"/>
        <v>202012</v>
      </c>
      <c r="AQ3171" s="28" t="str">
        <f t="shared" si="941"/>
        <v>202012JPY</v>
      </c>
      <c r="AR3171" s="206" t="str">
        <f t="shared" si="942"/>
        <v>YAMAHA_Mounter</v>
      </c>
      <c r="AS3171" s="22">
        <f t="shared" si="943"/>
        <v>2</v>
      </c>
      <c r="AT3171" s="24" t="str">
        <f t="shared" si="944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48"/>
        <v>1</v>
      </c>
      <c r="Z3172" s="18">
        <f t="shared" si="945"/>
        <v>10200000</v>
      </c>
      <c r="AA3172" s="13">
        <v>7.6100000000000001E-2</v>
      </c>
      <c r="AB3172" s="21">
        <f t="shared" si="931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2"/>
        <v>48763143.537654862</v>
      </c>
      <c r="AJ3172" s="19">
        <f t="shared" si="933"/>
        <v>5924029.9702154724</v>
      </c>
      <c r="AK3172" s="20">
        <f t="shared" si="939"/>
        <v>0.1214858095774925</v>
      </c>
      <c r="AL3172" s="17"/>
      <c r="AM3172" s="17"/>
      <c r="AN3172" s="17"/>
      <c r="AO3172" s="17"/>
      <c r="AP3172" s="28" t="str">
        <f t="shared" si="940"/>
        <v>202012</v>
      </c>
      <c r="AQ3172" s="28" t="str">
        <f t="shared" si="941"/>
        <v>202012JPY</v>
      </c>
      <c r="AR3172" s="206" t="str">
        <f t="shared" si="942"/>
        <v>YAMAHA_Mounter</v>
      </c>
      <c r="AS3172" s="22">
        <f t="shared" si="943"/>
        <v>2</v>
      </c>
      <c r="AT3172" s="24" t="str">
        <f t="shared" si="944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48"/>
        <v>1</v>
      </c>
      <c r="Z3173" s="18">
        <f t="shared" si="945"/>
        <v>10200000</v>
      </c>
      <c r="AA3173" s="13">
        <v>7.6100000000000001E-2</v>
      </c>
      <c r="AB3173" s="21">
        <f t="shared" si="931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2"/>
        <v>48763143.537654862</v>
      </c>
      <c r="AJ3173" s="19">
        <f t="shared" si="933"/>
        <v>5924029.9702154724</v>
      </c>
      <c r="AK3173" s="20">
        <f t="shared" si="939"/>
        <v>0.1214858095774925</v>
      </c>
      <c r="AL3173" s="17"/>
      <c r="AM3173" s="17"/>
      <c r="AN3173" s="17"/>
      <c r="AO3173" s="17"/>
      <c r="AP3173" s="28" t="str">
        <f t="shared" si="940"/>
        <v>202012</v>
      </c>
      <c r="AQ3173" s="28" t="str">
        <f t="shared" si="941"/>
        <v>202012JPY</v>
      </c>
      <c r="AR3173" s="206" t="str">
        <f t="shared" si="942"/>
        <v>YAMAHA_Mounter</v>
      </c>
      <c r="AS3173" s="22">
        <f t="shared" si="943"/>
        <v>2</v>
      </c>
      <c r="AT3173" s="24" t="str">
        <f t="shared" si="944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48"/>
        <v>1</v>
      </c>
      <c r="Z3174" s="18">
        <f t="shared" si="945"/>
        <v>10200000</v>
      </c>
      <c r="AA3174" s="13">
        <v>7.6100000000000001E-2</v>
      </c>
      <c r="AB3174" s="21">
        <f t="shared" si="931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2"/>
        <v>48763143.537654862</v>
      </c>
      <c r="AJ3174" s="19">
        <f t="shared" si="933"/>
        <v>5924029.9702154724</v>
      </c>
      <c r="AK3174" s="20">
        <f t="shared" si="939"/>
        <v>0.1214858095774925</v>
      </c>
      <c r="AL3174" s="17"/>
      <c r="AM3174" s="17"/>
      <c r="AN3174" s="17"/>
      <c r="AO3174" s="17"/>
      <c r="AP3174" s="28" t="str">
        <f t="shared" si="940"/>
        <v>202012</v>
      </c>
      <c r="AQ3174" s="28" t="str">
        <f t="shared" si="941"/>
        <v>202012JPY</v>
      </c>
      <c r="AR3174" s="206" t="str">
        <f t="shared" si="942"/>
        <v>YAMAHA_Mounter</v>
      </c>
      <c r="AS3174" s="22">
        <f t="shared" si="943"/>
        <v>2</v>
      </c>
      <c r="AT3174" s="24" t="str">
        <f t="shared" si="944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48"/>
        <v>1</v>
      </c>
      <c r="Z3175" s="18">
        <f t="shared" si="945"/>
        <v>7600000</v>
      </c>
      <c r="AA3175" s="13">
        <v>7.6100000000000001E-2</v>
      </c>
      <c r="AB3175" s="21">
        <f t="shared" si="931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2"/>
        <v>48763143.537654862</v>
      </c>
      <c r="AJ3175" s="19">
        <f t="shared" si="933"/>
        <v>5924029.9702154724</v>
      </c>
      <c r="AK3175" s="20">
        <f t="shared" si="939"/>
        <v>0.1214858095774925</v>
      </c>
      <c r="AL3175" s="17"/>
      <c r="AM3175" s="17"/>
      <c r="AN3175" s="17"/>
      <c r="AO3175" s="17"/>
      <c r="AP3175" s="28" t="str">
        <f t="shared" si="940"/>
        <v>202012</v>
      </c>
      <c r="AQ3175" s="28" t="str">
        <f t="shared" si="941"/>
        <v>202012JPY</v>
      </c>
      <c r="AR3175" s="206" t="str">
        <f t="shared" si="942"/>
        <v>YAMAHA_Mounter</v>
      </c>
      <c r="AS3175" s="22">
        <f t="shared" si="943"/>
        <v>2</v>
      </c>
      <c r="AT3175" s="24" t="str">
        <f t="shared" si="944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48"/>
        <v>1</v>
      </c>
      <c r="Z3176" s="18">
        <f t="shared" si="945"/>
        <v>10200000</v>
      </c>
      <c r="AA3176" s="13">
        <v>7.6799999999999993E-2</v>
      </c>
      <c r="AB3176" s="21">
        <f t="shared" si="931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2"/>
        <v>45803245.025628321</v>
      </c>
      <c r="AJ3176" s="19">
        <f t="shared" si="933"/>
        <v>5664636.2584379362</v>
      </c>
      <c r="AK3176" s="20">
        <f t="shared" si="939"/>
        <v>0.12367325186825515</v>
      </c>
      <c r="AL3176" s="17"/>
      <c r="AM3176" s="17"/>
      <c r="AN3176" s="17"/>
      <c r="AO3176" s="17"/>
      <c r="AP3176" s="28" t="str">
        <f t="shared" si="940"/>
        <v>20211</v>
      </c>
      <c r="AQ3176" s="28" t="str">
        <f t="shared" si="941"/>
        <v>20211JPY</v>
      </c>
      <c r="AR3176" s="206" t="str">
        <f t="shared" si="942"/>
        <v>YAMAHA_Mounter</v>
      </c>
      <c r="AS3176" s="22">
        <f t="shared" si="943"/>
        <v>3</v>
      </c>
      <c r="AT3176" s="24" t="str">
        <f t="shared" si="944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48"/>
        <v>1</v>
      </c>
      <c r="Z3177" s="18">
        <f t="shared" si="945"/>
        <v>10200000</v>
      </c>
      <c r="AA3177" s="13">
        <v>7.6799999999999993E-2</v>
      </c>
      <c r="AB3177" s="21">
        <f t="shared" si="931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2"/>
        <v>45803245.025628321</v>
      </c>
      <c r="AJ3177" s="19">
        <f t="shared" si="933"/>
        <v>5664636.2584379362</v>
      </c>
      <c r="AK3177" s="20">
        <f t="shared" si="939"/>
        <v>0.12367325186825515</v>
      </c>
      <c r="AL3177" s="17"/>
      <c r="AM3177" s="17"/>
      <c r="AN3177" s="17"/>
      <c r="AO3177" s="17"/>
      <c r="AP3177" s="28" t="str">
        <f t="shared" si="940"/>
        <v>20211</v>
      </c>
      <c r="AQ3177" s="28" t="str">
        <f t="shared" si="941"/>
        <v>20211JPY</v>
      </c>
      <c r="AR3177" s="206" t="str">
        <f t="shared" si="942"/>
        <v>YAMAHA_Mounter</v>
      </c>
      <c r="AS3177" s="22">
        <f t="shared" si="943"/>
        <v>3</v>
      </c>
      <c r="AT3177" s="24" t="str">
        <f t="shared" si="944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48"/>
        <v>1</v>
      </c>
      <c r="Z3178" s="18">
        <f t="shared" si="945"/>
        <v>10200000</v>
      </c>
      <c r="AA3178" s="13">
        <v>7.6799999999999993E-2</v>
      </c>
      <c r="AB3178" s="21">
        <f t="shared" si="931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2"/>
        <v>45803245.025628321</v>
      </c>
      <c r="AJ3178" s="19">
        <f t="shared" si="933"/>
        <v>5664636.2584379362</v>
      </c>
      <c r="AK3178" s="20">
        <f t="shared" si="939"/>
        <v>0.12367325186825515</v>
      </c>
      <c r="AL3178" s="17"/>
      <c r="AM3178" s="17"/>
      <c r="AN3178" s="17"/>
      <c r="AO3178" s="17"/>
      <c r="AP3178" s="28" t="str">
        <f t="shared" si="940"/>
        <v>20211</v>
      </c>
      <c r="AQ3178" s="28" t="str">
        <f t="shared" si="941"/>
        <v>20211JPY</v>
      </c>
      <c r="AR3178" s="206" t="str">
        <f t="shared" si="942"/>
        <v>YAMAHA_Mounter</v>
      </c>
      <c r="AS3178" s="22">
        <f t="shared" si="943"/>
        <v>3</v>
      </c>
      <c r="AT3178" s="24" t="str">
        <f t="shared" si="944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48"/>
        <v>1</v>
      </c>
      <c r="Z3179" s="18">
        <f t="shared" si="945"/>
        <v>10200000</v>
      </c>
      <c r="AA3179" s="13">
        <v>7.6799999999999993E-2</v>
      </c>
      <c r="AB3179" s="21">
        <f t="shared" si="931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2"/>
        <v>45803245.025628321</v>
      </c>
      <c r="AJ3179" s="19">
        <f t="shared" si="933"/>
        <v>5664636.2584379362</v>
      </c>
      <c r="AK3179" s="20">
        <f t="shared" si="939"/>
        <v>0.12367325186825515</v>
      </c>
      <c r="AL3179" s="17"/>
      <c r="AM3179" s="17"/>
      <c r="AN3179" s="17"/>
      <c r="AO3179" s="17"/>
      <c r="AP3179" s="28" t="str">
        <f t="shared" si="940"/>
        <v>20211</v>
      </c>
      <c r="AQ3179" s="28" t="str">
        <f t="shared" si="941"/>
        <v>20211JPY</v>
      </c>
      <c r="AR3179" s="206" t="str">
        <f t="shared" si="942"/>
        <v>YAMAHA_Mounter</v>
      </c>
      <c r="AS3179" s="22">
        <f t="shared" si="943"/>
        <v>3</v>
      </c>
      <c r="AT3179" s="24" t="str">
        <f t="shared" si="944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48"/>
        <v>1</v>
      </c>
      <c r="Z3180" s="18">
        <f t="shared" si="945"/>
        <v>7600000</v>
      </c>
      <c r="AA3180" s="13">
        <v>7.6799999999999993E-2</v>
      </c>
      <c r="AB3180" s="21">
        <f t="shared" si="931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2"/>
        <v>45803245.025628321</v>
      </c>
      <c r="AJ3180" s="19">
        <f t="shared" si="933"/>
        <v>5664636.2584379362</v>
      </c>
      <c r="AK3180" s="20">
        <f t="shared" si="939"/>
        <v>0.12367325186825515</v>
      </c>
      <c r="AL3180" s="17"/>
      <c r="AM3180" s="17"/>
      <c r="AN3180" s="17"/>
      <c r="AO3180" s="17"/>
      <c r="AP3180" s="28" t="str">
        <f t="shared" si="940"/>
        <v>20211</v>
      </c>
      <c r="AQ3180" s="28" t="str">
        <f t="shared" si="941"/>
        <v>20211JPY</v>
      </c>
      <c r="AR3180" s="206" t="str">
        <f t="shared" si="942"/>
        <v>YAMAHA_Mounter</v>
      </c>
      <c r="AS3180" s="22">
        <f t="shared" si="943"/>
        <v>3</v>
      </c>
      <c r="AT3180" s="24" t="str">
        <f t="shared" si="944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48"/>
        <v>1</v>
      </c>
      <c r="Z3181" s="18">
        <f t="shared" si="945"/>
        <v>10877781</v>
      </c>
      <c r="AA3181" s="13">
        <v>6.2799999999999995E-2</v>
      </c>
      <c r="AB3181" s="21">
        <f t="shared" si="931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2"/>
        <v>44014086.982070789</v>
      </c>
      <c r="AJ3181" s="19">
        <f t="shared" si="933"/>
        <v>6419974.0221889298</v>
      </c>
      <c r="AK3181" s="20">
        <f t="shared" si="939"/>
        <v>0.14586180158193709</v>
      </c>
      <c r="AL3181" s="17"/>
      <c r="AM3181" s="17"/>
      <c r="AN3181" s="17"/>
      <c r="AO3181" s="17"/>
      <c r="AP3181" s="28" t="str">
        <f t="shared" si="940"/>
        <v>20225</v>
      </c>
      <c r="AQ3181" s="28" t="str">
        <f t="shared" si="941"/>
        <v>20225JPY</v>
      </c>
      <c r="AR3181" s="206" t="str">
        <f t="shared" si="942"/>
        <v>YAMAHA_Mounter</v>
      </c>
      <c r="AS3181" s="22">
        <f t="shared" si="943"/>
        <v>11</v>
      </c>
      <c r="AT3181" s="24" t="str">
        <f t="shared" si="944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48"/>
        <v>1</v>
      </c>
      <c r="Z3182" s="18">
        <f t="shared" si="945"/>
        <v>10877781</v>
      </c>
      <c r="AA3182" s="13">
        <v>6.2799999999999995E-2</v>
      </c>
      <c r="AB3182" s="21">
        <f t="shared" si="931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2"/>
        <v>44014086.982070789</v>
      </c>
      <c r="AJ3182" s="19">
        <f t="shared" si="933"/>
        <v>6419974.0221889298</v>
      </c>
      <c r="AK3182" s="20">
        <f t="shared" si="939"/>
        <v>0.14586180158193709</v>
      </c>
      <c r="AL3182" s="17"/>
      <c r="AM3182" s="17"/>
      <c r="AN3182" s="17"/>
      <c r="AO3182" s="17"/>
      <c r="AP3182" s="28" t="str">
        <f t="shared" si="940"/>
        <v>20225</v>
      </c>
      <c r="AQ3182" s="28" t="str">
        <f t="shared" si="941"/>
        <v>20225JPY</v>
      </c>
      <c r="AR3182" s="206" t="str">
        <f t="shared" si="942"/>
        <v>YAMAHA_Mounter</v>
      </c>
      <c r="AS3182" s="22">
        <f t="shared" si="943"/>
        <v>11</v>
      </c>
      <c r="AT3182" s="24" t="str">
        <f t="shared" si="944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48"/>
        <v>1</v>
      </c>
      <c r="Z3183" s="18">
        <f t="shared" si="945"/>
        <v>10877781</v>
      </c>
      <c r="AA3183" s="13">
        <v>6.2799999999999995E-2</v>
      </c>
      <c r="AB3183" s="21">
        <f t="shared" si="931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2"/>
        <v>44014086.982070789</v>
      </c>
      <c r="AJ3183" s="19">
        <f t="shared" si="933"/>
        <v>6419974.0221889298</v>
      </c>
      <c r="AK3183" s="20">
        <f t="shared" si="939"/>
        <v>0.14586180158193709</v>
      </c>
      <c r="AL3183" s="17"/>
      <c r="AM3183" s="17"/>
      <c r="AN3183" s="17"/>
      <c r="AO3183" s="17"/>
      <c r="AP3183" s="28" t="str">
        <f t="shared" si="940"/>
        <v>20225</v>
      </c>
      <c r="AQ3183" s="28" t="str">
        <f t="shared" si="941"/>
        <v>20225JPY</v>
      </c>
      <c r="AR3183" s="206" t="str">
        <f t="shared" si="942"/>
        <v>YAMAHA_Mounter</v>
      </c>
      <c r="AS3183" s="22">
        <f t="shared" si="943"/>
        <v>11</v>
      </c>
      <c r="AT3183" s="24" t="str">
        <f t="shared" si="944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48"/>
        <v>1</v>
      </c>
      <c r="Z3184" s="18">
        <f t="shared" si="945"/>
        <v>10877781</v>
      </c>
      <c r="AA3184" s="13">
        <v>6.2799999999999995E-2</v>
      </c>
      <c r="AB3184" s="21">
        <f t="shared" si="931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2"/>
        <v>44014086.982070789</v>
      </c>
      <c r="AJ3184" s="19">
        <f t="shared" si="933"/>
        <v>6419974.0221889298</v>
      </c>
      <c r="AK3184" s="20">
        <f t="shared" si="939"/>
        <v>0.14586180158193709</v>
      </c>
      <c r="AL3184" s="17"/>
      <c r="AM3184" s="17"/>
      <c r="AN3184" s="17"/>
      <c r="AO3184" s="17"/>
      <c r="AP3184" s="28" t="str">
        <f t="shared" si="940"/>
        <v>20225</v>
      </c>
      <c r="AQ3184" s="28" t="str">
        <f t="shared" si="941"/>
        <v>20225JPY</v>
      </c>
      <c r="AR3184" s="206" t="str">
        <f t="shared" si="942"/>
        <v>YAMAHA_Mounter</v>
      </c>
      <c r="AS3184" s="22">
        <f t="shared" si="943"/>
        <v>11</v>
      </c>
      <c r="AT3184" s="24" t="str">
        <f t="shared" si="944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48"/>
        <v>1</v>
      </c>
      <c r="Z3185" s="18">
        <f t="shared" si="945"/>
        <v>7781117</v>
      </c>
      <c r="AA3185" s="13">
        <v>6.2799999999999995E-2</v>
      </c>
      <c r="AB3185" s="21">
        <f t="shared" si="931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2"/>
        <v>44014086.982070789</v>
      </c>
      <c r="AJ3185" s="19">
        <f t="shared" si="933"/>
        <v>6419974.0221889298</v>
      </c>
      <c r="AK3185" s="20">
        <f t="shared" si="939"/>
        <v>0.14586180158193709</v>
      </c>
      <c r="AL3185" s="17"/>
      <c r="AM3185" s="17"/>
      <c r="AN3185" s="17"/>
      <c r="AO3185" s="17"/>
      <c r="AP3185" s="28" t="str">
        <f t="shared" si="940"/>
        <v>20225</v>
      </c>
      <c r="AQ3185" s="28" t="str">
        <f t="shared" si="941"/>
        <v>20225JPY</v>
      </c>
      <c r="AR3185" s="206" t="str">
        <f t="shared" si="942"/>
        <v>YAMAHA_Mounter</v>
      </c>
      <c r="AS3185" s="22">
        <f t="shared" si="943"/>
        <v>11</v>
      </c>
      <c r="AT3185" s="24" t="str">
        <f t="shared" si="944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48"/>
        <v>1</v>
      </c>
      <c r="Z3186" s="18">
        <f t="shared" si="945"/>
        <v>7781117</v>
      </c>
      <c r="AA3186" s="13">
        <v>6.2799999999999995E-2</v>
      </c>
      <c r="AB3186" s="21">
        <f t="shared" si="931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2"/>
        <v>44014086.982070789</v>
      </c>
      <c r="AJ3186" s="19">
        <f t="shared" si="933"/>
        <v>6419974.0221889298</v>
      </c>
      <c r="AK3186" s="20">
        <f t="shared" si="939"/>
        <v>0.14586180158193709</v>
      </c>
      <c r="AL3186" s="17"/>
      <c r="AM3186" s="17"/>
      <c r="AN3186" s="17"/>
      <c r="AO3186" s="17"/>
      <c r="AP3186" s="28" t="str">
        <f t="shared" si="940"/>
        <v>20225</v>
      </c>
      <c r="AQ3186" s="28" t="str">
        <f t="shared" si="941"/>
        <v>20225JPY</v>
      </c>
      <c r="AR3186" s="206" t="str">
        <f t="shared" si="942"/>
        <v>YAMAHA_Mounter</v>
      </c>
      <c r="AS3186" s="22">
        <f t="shared" si="943"/>
        <v>11</v>
      </c>
      <c r="AT3186" s="24" t="str">
        <f t="shared" si="944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48"/>
        <v>1</v>
      </c>
      <c r="Z3187" s="18">
        <f t="shared" si="945"/>
        <v>7781117</v>
      </c>
      <c r="AA3187" s="13">
        <v>6.2799999999999995E-2</v>
      </c>
      <c r="AB3187" s="21">
        <f t="shared" si="931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2"/>
        <v>44014086.982070789</v>
      </c>
      <c r="AJ3187" s="19">
        <f t="shared" si="933"/>
        <v>6419974.0221889298</v>
      </c>
      <c r="AK3187" s="20">
        <f t="shared" si="939"/>
        <v>0.14586180158193709</v>
      </c>
      <c r="AL3187" s="17"/>
      <c r="AM3187" s="17"/>
      <c r="AN3187" s="17"/>
      <c r="AO3187" s="17"/>
      <c r="AP3187" s="28" t="str">
        <f t="shared" si="940"/>
        <v>20225</v>
      </c>
      <c r="AQ3187" s="28" t="str">
        <f t="shared" si="941"/>
        <v>20225JPY</v>
      </c>
      <c r="AR3187" s="206" t="str">
        <f t="shared" si="942"/>
        <v>YAMAHA_Mounter</v>
      </c>
      <c r="AS3187" s="22">
        <f t="shared" si="943"/>
        <v>11</v>
      </c>
      <c r="AT3187" s="24" t="str">
        <f t="shared" si="944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49">IF(W3188="","",IF(W3188="RMB","1.13", "1"))</f>
        <v>1.13</v>
      </c>
      <c r="Z3188" s="196">
        <f t="shared" si="945"/>
        <v>404600</v>
      </c>
      <c r="AA3188" s="22">
        <v>1.08</v>
      </c>
      <c r="AB3188" s="197">
        <f t="shared" si="931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2"/>
        <v>25354039.366920356</v>
      </c>
      <c r="AJ3188" s="200">
        <f t="shared" si="933"/>
        <v>3028631.2816309328</v>
      </c>
      <c r="AK3188" s="201">
        <f t="shared" si="939"/>
        <v>0.11945360018579192</v>
      </c>
      <c r="AL3188" s="24"/>
      <c r="AM3188" s="24"/>
      <c r="AN3188" s="24"/>
      <c r="AO3188" s="24"/>
      <c r="AP3188" s="105" t="str">
        <f t="shared" si="940"/>
        <v>20248</v>
      </c>
      <c r="AQ3188" s="28" t="str">
        <f t="shared" si="941"/>
        <v>20248RMB</v>
      </c>
      <c r="AR3188" s="206" t="str">
        <f t="shared" si="942"/>
        <v>YAMAHA_Mounter</v>
      </c>
      <c r="AS3188" s="22">
        <f t="shared" si="943"/>
        <v>1</v>
      </c>
      <c r="AT3188" s="24" t="str">
        <f t="shared" si="944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49"/>
        <v>1.13</v>
      </c>
      <c r="Z3189" s="18">
        <f t="shared" si="945"/>
        <v>485000</v>
      </c>
      <c r="AA3189" s="22">
        <v>1.08</v>
      </c>
      <c r="AB3189" s="21">
        <f t="shared" si="931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2"/>
        <v>25354039.366920356</v>
      </c>
      <c r="AJ3189" s="27">
        <f t="shared" si="933"/>
        <v>3028631.2816309328</v>
      </c>
      <c r="AK3189" s="28">
        <f t="shared" si="939"/>
        <v>0.11945360018579192</v>
      </c>
      <c r="AL3189" s="24"/>
      <c r="AM3189" s="24"/>
      <c r="AN3189" s="24"/>
      <c r="AO3189" s="24"/>
      <c r="AP3189" s="28" t="str">
        <f t="shared" si="940"/>
        <v>20248</v>
      </c>
      <c r="AQ3189" s="28" t="str">
        <f t="shared" si="941"/>
        <v>20248RMB</v>
      </c>
      <c r="AR3189" s="206" t="str">
        <f t="shared" si="942"/>
        <v>YAMAHA_Non_Mounter</v>
      </c>
      <c r="AS3189" s="22">
        <f t="shared" si="943"/>
        <v>4</v>
      </c>
      <c r="AT3189" s="24" t="str">
        <f t="shared" si="944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49"/>
        <v>1.13</v>
      </c>
      <c r="Z3190" s="18">
        <f t="shared" si="945"/>
        <v>485000</v>
      </c>
      <c r="AA3190" s="22">
        <v>1.08</v>
      </c>
      <c r="AB3190" s="21">
        <f t="shared" si="931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2"/>
        <v>25354039.366920356</v>
      </c>
      <c r="AJ3190" s="27">
        <f t="shared" si="933"/>
        <v>3028631.2816309328</v>
      </c>
      <c r="AK3190" s="28">
        <f t="shared" si="939"/>
        <v>0.11945360018579192</v>
      </c>
      <c r="AL3190" s="24"/>
      <c r="AM3190" s="24"/>
      <c r="AN3190" s="24"/>
      <c r="AO3190" s="24"/>
      <c r="AP3190" s="28" t="str">
        <f t="shared" si="940"/>
        <v>20248</v>
      </c>
      <c r="AQ3190" s="28" t="str">
        <f t="shared" si="941"/>
        <v>20248RMB</v>
      </c>
      <c r="AR3190" s="206" t="str">
        <f t="shared" si="942"/>
        <v>YAMAHA_Non_Mounter</v>
      </c>
      <c r="AS3190" s="22">
        <f t="shared" si="943"/>
        <v>4</v>
      </c>
      <c r="AT3190" s="24" t="str">
        <f t="shared" si="944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49"/>
        <v>1.13</v>
      </c>
      <c r="Z3191" s="196">
        <f t="shared" si="945"/>
        <v>411888</v>
      </c>
      <c r="AA3191" s="22">
        <v>1.08</v>
      </c>
      <c r="AB3191" s="197">
        <f t="shared" si="931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2"/>
        <v>25354039.366920356</v>
      </c>
      <c r="AJ3191" s="200">
        <f t="shared" si="933"/>
        <v>3028631.2816309328</v>
      </c>
      <c r="AK3191" s="201">
        <f t="shared" si="939"/>
        <v>0.11945360018579192</v>
      </c>
      <c r="AL3191" s="24"/>
      <c r="AM3191" s="24"/>
      <c r="AN3191" s="24"/>
      <c r="AO3191" s="24"/>
      <c r="AP3191" s="105" t="str">
        <f t="shared" si="940"/>
        <v>20248</v>
      </c>
      <c r="AQ3191" s="28" t="str">
        <f t="shared" si="941"/>
        <v>20248RMB</v>
      </c>
      <c r="AR3191" s="206" t="str">
        <f t="shared" si="942"/>
        <v>YAMAHA_Mounter</v>
      </c>
      <c r="AS3191" s="22">
        <f t="shared" si="943"/>
        <v>3</v>
      </c>
      <c r="AT3191" s="24" t="str">
        <f t="shared" si="944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49"/>
        <v>1</v>
      </c>
      <c r="Z3192" s="196">
        <f t="shared" si="945"/>
        <v>11900000</v>
      </c>
      <c r="AA3192" s="22">
        <v>5.2299999999999999E-2</v>
      </c>
      <c r="AB3192" s="197">
        <f t="shared" si="931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2"/>
        <v>25354039.366920356</v>
      </c>
      <c r="AJ3192" s="200">
        <f t="shared" si="933"/>
        <v>3028631.2816309328</v>
      </c>
      <c r="AK3192" s="201">
        <f t="shared" si="939"/>
        <v>0.11945360018579192</v>
      </c>
      <c r="AL3192" s="24"/>
      <c r="AM3192" s="24"/>
      <c r="AN3192" s="24"/>
      <c r="AO3192" s="24"/>
      <c r="AP3192" s="105" t="str">
        <f t="shared" si="940"/>
        <v>20248</v>
      </c>
      <c r="AQ3192" s="28" t="str">
        <f t="shared" si="941"/>
        <v>20248JPY</v>
      </c>
      <c r="AR3192" s="206" t="str">
        <f t="shared" si="942"/>
        <v>YAMAHA_Mounter</v>
      </c>
      <c r="AS3192" s="22">
        <f t="shared" si="943"/>
        <v>2</v>
      </c>
      <c r="AT3192" s="24" t="str">
        <f t="shared" si="944"/>
        <v>0-3 months</v>
      </c>
      <c r="AU3192" s="22" t="s">
        <v>3745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49"/>
        <v>1</v>
      </c>
      <c r="Z3193" s="196">
        <f t="shared" si="945"/>
        <v>11900000</v>
      </c>
      <c r="AA3193" s="22">
        <v>5.2299999999999999E-2</v>
      </c>
      <c r="AB3193" s="197">
        <f t="shared" si="931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2"/>
        <v>25354039.366920356</v>
      </c>
      <c r="AJ3193" s="200">
        <f t="shared" si="933"/>
        <v>3028631.2816309328</v>
      </c>
      <c r="AK3193" s="201">
        <f t="shared" si="939"/>
        <v>0.11945360018579192</v>
      </c>
      <c r="AL3193" s="24"/>
      <c r="AM3193" s="24"/>
      <c r="AN3193" s="24"/>
      <c r="AO3193" s="24"/>
      <c r="AP3193" s="105" t="str">
        <f t="shared" si="940"/>
        <v>20248</v>
      </c>
      <c r="AQ3193" s="28" t="str">
        <f t="shared" si="941"/>
        <v>20248JPY</v>
      </c>
      <c r="AR3193" s="206" t="str">
        <f t="shared" si="942"/>
        <v>YAMAHA_Mounter</v>
      </c>
      <c r="AS3193" s="22">
        <f t="shared" si="943"/>
        <v>2</v>
      </c>
      <c r="AT3193" s="24" t="str">
        <f t="shared" si="944"/>
        <v>0-3 months</v>
      </c>
      <c r="AU3193" s="22" t="s">
        <v>3745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49"/>
        <v>1</v>
      </c>
      <c r="Z3194" s="18">
        <f t="shared" si="945"/>
        <v>7668000</v>
      </c>
      <c r="AA3194" s="22">
        <v>5.1799999999999999E-2</v>
      </c>
      <c r="AB3194" s="21">
        <f t="shared" si="931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2"/>
        <v>499582152.5142017</v>
      </c>
      <c r="AJ3194" s="27">
        <f t="shared" si="933"/>
        <v>59520528.679470733</v>
      </c>
      <c r="AK3194" s="28">
        <f t="shared" si="939"/>
        <v>0.11914062257814291</v>
      </c>
      <c r="AL3194" s="24"/>
      <c r="AM3194" s="24"/>
      <c r="AN3194" s="24"/>
      <c r="AO3194" s="24"/>
      <c r="AP3194" s="28" t="str">
        <f t="shared" si="940"/>
        <v>CancelCancel</v>
      </c>
      <c r="AQ3194" s="28" t="str">
        <f t="shared" si="941"/>
        <v>CancelCancelJPY</v>
      </c>
      <c r="AR3194" s="206" t="str">
        <f t="shared" si="942"/>
        <v>YAMAHA_Mounter</v>
      </c>
      <c r="AS3194" s="22" t="str">
        <f t="shared" si="943"/>
        <v/>
      </c>
      <c r="AT3194" s="24" t="str">
        <f t="shared" si="944"/>
        <v/>
      </c>
      <c r="AU3194" s="22" t="s">
        <v>3745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49"/>
        <v>1</v>
      </c>
      <c r="Z3195" s="18">
        <f t="shared" si="945"/>
        <v>7668000</v>
      </c>
      <c r="AA3195" s="22">
        <v>5.1799999999999999E-2</v>
      </c>
      <c r="AB3195" s="21">
        <f t="shared" si="931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2"/>
        <v>499582152.5142017</v>
      </c>
      <c r="AJ3195" s="27">
        <f t="shared" si="933"/>
        <v>59520528.679470733</v>
      </c>
      <c r="AK3195" s="28">
        <f t="shared" si="939"/>
        <v>0.11914062257814291</v>
      </c>
      <c r="AL3195" s="24"/>
      <c r="AM3195" s="24"/>
      <c r="AN3195" s="24"/>
      <c r="AO3195" s="24"/>
      <c r="AP3195" s="28" t="str">
        <f t="shared" si="940"/>
        <v>CancelCancel</v>
      </c>
      <c r="AQ3195" s="28" t="str">
        <f t="shared" si="941"/>
        <v>CancelCancelJPY</v>
      </c>
      <c r="AR3195" s="206" t="str">
        <f t="shared" si="942"/>
        <v>YAMAHA_Mounter</v>
      </c>
      <c r="AS3195" s="22" t="str">
        <f t="shared" si="943"/>
        <v/>
      </c>
      <c r="AT3195" s="24" t="str">
        <f t="shared" si="944"/>
        <v/>
      </c>
      <c r="AU3195" s="22" t="s">
        <v>3745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5"/>
        <v>111434</v>
      </c>
      <c r="AA3196" s="13">
        <v>1.089</v>
      </c>
      <c r="AB3196" s="21">
        <f t="shared" ref="AB3196:AB3259" si="950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2"/>
        <v>29183109.05575221</v>
      </c>
      <c r="AJ3196" s="19">
        <f t="shared" si="933"/>
        <v>3741266.5648721238</v>
      </c>
      <c r="AK3196" s="20">
        <f t="shared" si="939"/>
        <v>0.12819972531798121</v>
      </c>
      <c r="AL3196" s="17"/>
      <c r="AM3196" s="17"/>
      <c r="AN3196" s="17"/>
      <c r="AO3196" s="17"/>
      <c r="AP3196" s="28" t="str">
        <f t="shared" si="940"/>
        <v>20206</v>
      </c>
      <c r="AQ3196" s="28" t="str">
        <f t="shared" si="941"/>
        <v>20206RMB</v>
      </c>
      <c r="AR3196" s="206" t="str">
        <f t="shared" si="942"/>
        <v>YAMAHA_Mounter</v>
      </c>
      <c r="AS3196" s="22">
        <f t="shared" si="943"/>
        <v>0</v>
      </c>
      <c r="AT3196" s="24" t="str">
        <f t="shared" si="944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5"/>
        <v>10300000</v>
      </c>
      <c r="AA3197" s="13">
        <v>7.4899999999999994E-2</v>
      </c>
      <c r="AB3197" s="21">
        <f t="shared" si="950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2"/>
        <v>47907808.356810622</v>
      </c>
      <c r="AJ3197" s="19">
        <f t="shared" si="933"/>
        <v>6027384.8806384448</v>
      </c>
      <c r="AK3197" s="20">
        <f t="shared" si="939"/>
        <v>0.12581216063459488</v>
      </c>
      <c r="AL3197" s="17"/>
      <c r="AM3197" s="17"/>
      <c r="AN3197" s="17"/>
      <c r="AO3197" s="17"/>
      <c r="AP3197" s="28" t="str">
        <f t="shared" si="940"/>
        <v>20209</v>
      </c>
      <c r="AQ3197" s="28" t="str">
        <f t="shared" si="941"/>
        <v>20209JPY</v>
      </c>
      <c r="AR3197" s="206" t="str">
        <f t="shared" si="942"/>
        <v>YAMAHA_Mounter</v>
      </c>
      <c r="AS3197" s="22">
        <f t="shared" si="943"/>
        <v>3</v>
      </c>
      <c r="AT3197" s="24" t="str">
        <f t="shared" si="944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5"/>
        <v>10300000</v>
      </c>
      <c r="AA3198" s="13">
        <v>7.4899999999999994E-2</v>
      </c>
      <c r="AB3198" s="21">
        <f t="shared" si="950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2"/>
        <v>47907808.356810622</v>
      </c>
      <c r="AJ3198" s="19">
        <f t="shared" si="933"/>
        <v>6027384.8806384448</v>
      </c>
      <c r="AK3198" s="20">
        <f t="shared" si="939"/>
        <v>0.12581216063459488</v>
      </c>
      <c r="AL3198" s="17"/>
      <c r="AM3198" s="17"/>
      <c r="AN3198" s="17"/>
      <c r="AO3198" s="17"/>
      <c r="AP3198" s="28" t="str">
        <f t="shared" si="940"/>
        <v>20209</v>
      </c>
      <c r="AQ3198" s="28" t="str">
        <f t="shared" si="941"/>
        <v>20209JPY</v>
      </c>
      <c r="AR3198" s="206" t="str">
        <f t="shared" si="942"/>
        <v>YAMAHA_Mounter</v>
      </c>
      <c r="AS3198" s="22">
        <f t="shared" si="943"/>
        <v>3</v>
      </c>
      <c r="AT3198" s="24" t="str">
        <f t="shared" si="944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5"/>
        <v>10300000</v>
      </c>
      <c r="AA3199" s="13">
        <v>7.4899999999999994E-2</v>
      </c>
      <c r="AB3199" s="21">
        <f t="shared" si="950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2"/>
        <v>47907808.356810622</v>
      </c>
      <c r="AJ3199" s="19">
        <f t="shared" si="933"/>
        <v>6027384.8806384448</v>
      </c>
      <c r="AK3199" s="20">
        <f t="shared" si="939"/>
        <v>0.12581216063459488</v>
      </c>
      <c r="AL3199" s="17"/>
      <c r="AM3199" s="17"/>
      <c r="AN3199" s="17"/>
      <c r="AO3199" s="17"/>
      <c r="AP3199" s="28" t="str">
        <f t="shared" si="940"/>
        <v>20209</v>
      </c>
      <c r="AQ3199" s="28" t="str">
        <f t="shared" si="941"/>
        <v>20209JPY</v>
      </c>
      <c r="AR3199" s="206" t="str">
        <f t="shared" si="942"/>
        <v>YAMAHA_Mounter</v>
      </c>
      <c r="AS3199" s="22">
        <f t="shared" si="943"/>
        <v>3</v>
      </c>
      <c r="AT3199" s="24" t="str">
        <f t="shared" si="944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5"/>
        <v>10300000</v>
      </c>
      <c r="AA3200" s="13">
        <v>7.4899999999999994E-2</v>
      </c>
      <c r="AB3200" s="21">
        <f t="shared" si="950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2"/>
        <v>47907808.356810622</v>
      </c>
      <c r="AJ3200" s="19">
        <f t="shared" si="933"/>
        <v>6027384.8806384448</v>
      </c>
      <c r="AK3200" s="20">
        <f t="shared" si="939"/>
        <v>0.12581216063459488</v>
      </c>
      <c r="AL3200" s="17"/>
      <c r="AM3200" s="17"/>
      <c r="AN3200" s="17"/>
      <c r="AO3200" s="17"/>
      <c r="AP3200" s="28" t="str">
        <f t="shared" si="940"/>
        <v>20209</v>
      </c>
      <c r="AQ3200" s="28" t="str">
        <f t="shared" si="941"/>
        <v>20209JPY</v>
      </c>
      <c r="AR3200" s="206" t="str">
        <f t="shared" si="942"/>
        <v>YAMAHA_Mounter</v>
      </c>
      <c r="AS3200" s="22">
        <f t="shared" si="943"/>
        <v>3</v>
      </c>
      <c r="AT3200" s="24" t="str">
        <f t="shared" si="944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5"/>
        <v>8303704</v>
      </c>
      <c r="AA3201" s="13">
        <v>7.4899999999999994E-2</v>
      </c>
      <c r="AB3201" s="21">
        <f t="shared" si="950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2"/>
        <v>47907808.356810622</v>
      </c>
      <c r="AJ3201" s="19">
        <f t="shared" si="933"/>
        <v>6027384.8806384448</v>
      </c>
      <c r="AK3201" s="20">
        <f t="shared" si="939"/>
        <v>0.12581216063459488</v>
      </c>
      <c r="AL3201" s="17"/>
      <c r="AM3201" s="17"/>
      <c r="AN3201" s="17"/>
      <c r="AO3201" s="17"/>
      <c r="AP3201" s="28" t="str">
        <f t="shared" si="940"/>
        <v>20209</v>
      </c>
      <c r="AQ3201" s="28" t="str">
        <f t="shared" si="941"/>
        <v>20209JPY</v>
      </c>
      <c r="AR3201" s="206" t="str">
        <f t="shared" si="942"/>
        <v>YAMAHA_Mounter</v>
      </c>
      <c r="AS3201" s="22">
        <f t="shared" si="943"/>
        <v>3</v>
      </c>
      <c r="AT3201" s="24" t="str">
        <f t="shared" si="944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5"/>
        <v>8303704</v>
      </c>
      <c r="AA3202" s="13">
        <v>7.4899999999999994E-2</v>
      </c>
      <c r="AB3202" s="21">
        <f t="shared" si="950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1">IF(P3202="C66 SERVICE","",SUMIFS(AB:AB,F:F,F3202,G:G,G3202,E:E,E3202))</f>
        <v>47907808.356810622</v>
      </c>
      <c r="AJ3202" s="19">
        <f t="shared" ref="AJ3202:AJ3265" si="952">IF(P3202="C66 SERVICE","",SUMIFS(AC:AC,F:F,F3202,G:G,G3202,E:E,E3202))</f>
        <v>6027384.8806384448</v>
      </c>
      <c r="AK3202" s="20">
        <f t="shared" si="939"/>
        <v>0.12581216063459488</v>
      </c>
      <c r="AL3202" s="17"/>
      <c r="AM3202" s="17"/>
      <c r="AN3202" s="17"/>
      <c r="AO3202" s="17"/>
      <c r="AP3202" s="28" t="str">
        <f t="shared" si="940"/>
        <v>20209</v>
      </c>
      <c r="AQ3202" s="28" t="str">
        <f t="shared" si="941"/>
        <v>20209JPY</v>
      </c>
      <c r="AR3202" s="206" t="str">
        <f t="shared" si="942"/>
        <v>YAMAHA_Mounter</v>
      </c>
      <c r="AS3202" s="22">
        <f t="shared" si="943"/>
        <v>3</v>
      </c>
      <c r="AT3202" s="24" t="str">
        <f t="shared" si="944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5"/>
        <v>19359680</v>
      </c>
      <c r="AA3203" s="13">
        <v>7.2099999999999997E-2</v>
      </c>
      <c r="AB3203" s="21">
        <f t="shared" si="950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1"/>
        <v>26492741.106427077</v>
      </c>
      <c r="AJ3203" s="19">
        <f t="shared" si="952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6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  <c r="AU3203" s="22" t="s">
        <v>3745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5"/>
        <v>15884750</v>
      </c>
      <c r="AA3204" s="13">
        <v>7.2700000000000001E-2</v>
      </c>
      <c r="AB3204" s="21">
        <f t="shared" si="950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1"/>
        <v>14005204.685000001</v>
      </c>
      <c r="AJ3204" s="19">
        <f t="shared" si="952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6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  <c r="AU3204" s="22" t="s">
        <v>3745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5"/>
        <v>8410000</v>
      </c>
      <c r="AA3205" s="13">
        <v>7.17E-2</v>
      </c>
      <c r="AB3205" s="21">
        <f t="shared" si="950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1"/>
        <v>43684091.636631854</v>
      </c>
      <c r="AJ3205" s="19">
        <f t="shared" si="952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6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  <c r="AU3205" s="22" t="s">
        <v>3745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5"/>
        <v>840000</v>
      </c>
      <c r="AA3206" s="13">
        <v>1.0900000000000001</v>
      </c>
      <c r="AB3206" s="21">
        <f t="shared" si="950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1"/>
        <v>17329060.066371687</v>
      </c>
      <c r="AJ3206" s="19">
        <f t="shared" si="952"/>
        <v>2472600.2142256643</v>
      </c>
      <c r="AK3206" s="20">
        <f t="shared" ref="AK3206:AK3269" si="958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59">IF(F3206="","",F3206&amp;G3206)</f>
        <v>202212</v>
      </c>
      <c r="AQ3206" s="28" t="str">
        <f t="shared" ref="AQ3206:AQ3269" si="960">IF(W3206="","",F3206&amp;G3206&amp;W3206)</f>
        <v>202212RMB</v>
      </c>
      <c r="AR3206" s="206" t="str">
        <f t="shared" ref="AR3206:AR3269" si="961">IFERROR(IF(AND(M3206="YAMAHA", R3206="C28"), "YAMAHA_Non_Mounter", IF(AND(M3206="YAMAHA", R3206="C49"), "YAMAHA_Mounter", M3206)),"")</f>
        <v>YAMAHA_Mounter</v>
      </c>
      <c r="AS3206" s="22">
        <f t="shared" ref="AS3206:AS3269" si="962">IFERROR(IF(OR(G3206="TBA", G3206=""), "", DATEDIF(DATE(B3206, C3206, 1), DATE(F3206, G3206, 1), "M")),"")</f>
        <v>0</v>
      </c>
      <c r="AT3206" s="24" t="str">
        <f t="shared" ref="AT3206:AT3269" si="963">IF(ISNUMBER(AS3206), IF(AS3206&gt;=0, IF(AS3206&lt;=3, "0-3 months", IF(AS3206&lt;=6, "4-6 months", "&gt; 6 months"))), "")</f>
        <v>0-3 months</v>
      </c>
      <c r="AU3206" s="22" t="s">
        <v>3751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5"/>
        <v>8500000</v>
      </c>
      <c r="AA3207" s="13">
        <v>5.4199999999999998E-2</v>
      </c>
      <c r="AB3207" s="21">
        <f t="shared" si="950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1"/>
        <v>10271727.486725664</v>
      </c>
      <c r="AJ3207" s="19">
        <f t="shared" si="952"/>
        <v>1227228.7260761063</v>
      </c>
      <c r="AK3207" s="20">
        <f t="shared" si="958"/>
        <v>0.11947637120066472</v>
      </c>
      <c r="AL3207" s="17"/>
      <c r="AM3207" s="17"/>
      <c r="AN3207" s="17"/>
      <c r="AO3207" s="17"/>
      <c r="AP3207" s="28" t="str">
        <f t="shared" si="959"/>
        <v>202312</v>
      </c>
      <c r="AQ3207" s="28" t="str">
        <f t="shared" si="960"/>
        <v>202312JPY</v>
      </c>
      <c r="AR3207" s="206" t="str">
        <f t="shared" si="961"/>
        <v>YAMAHA_Mounter</v>
      </c>
      <c r="AS3207" s="22">
        <f t="shared" si="962"/>
        <v>1</v>
      </c>
      <c r="AT3207" s="24" t="str">
        <f t="shared" si="963"/>
        <v>0-3 months</v>
      </c>
      <c r="AU3207" s="22" t="s">
        <v>3745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5"/>
        <v>9666667</v>
      </c>
      <c r="AA3208" s="13">
        <v>7.2099999999999997E-2</v>
      </c>
      <c r="AB3208" s="21">
        <f t="shared" si="950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1"/>
        <v>26754147.763010349</v>
      </c>
      <c r="AJ3208" s="19">
        <f t="shared" si="952"/>
        <v>3429137.9965357962</v>
      </c>
      <c r="AK3208" s="20">
        <f t="shared" si="958"/>
        <v>0.12817220069617921</v>
      </c>
      <c r="AL3208" s="17"/>
      <c r="AM3208" s="17"/>
      <c r="AN3208" s="17"/>
      <c r="AO3208" s="17"/>
      <c r="AP3208" s="28" t="str">
        <f t="shared" si="959"/>
        <v>20188</v>
      </c>
      <c r="AQ3208" s="28" t="str">
        <f t="shared" si="960"/>
        <v>20188JPY</v>
      </c>
      <c r="AR3208" s="206" t="str">
        <f t="shared" si="961"/>
        <v>YAMAHA_Mounter</v>
      </c>
      <c r="AS3208" s="22">
        <f t="shared" si="962"/>
        <v>2</v>
      </c>
      <c r="AT3208" s="24" t="str">
        <f t="shared" si="963"/>
        <v>0-3 months</v>
      </c>
      <c r="AU3208" s="22" t="s">
        <v>3745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5"/>
        <v>9666667</v>
      </c>
      <c r="AA3209" s="13">
        <v>7.22E-2</v>
      </c>
      <c r="AB3209" s="21">
        <f t="shared" si="950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1"/>
        <v>29946107.503386207</v>
      </c>
      <c r="AJ3209" s="19">
        <f t="shared" si="952"/>
        <v>3987206.4954923098</v>
      </c>
      <c r="AK3209" s="20">
        <f t="shared" si="958"/>
        <v>0.13314606898547499</v>
      </c>
      <c r="AL3209" s="17"/>
      <c r="AM3209" s="17"/>
      <c r="AN3209" s="17"/>
      <c r="AO3209" s="17"/>
      <c r="AP3209" s="28" t="str">
        <f t="shared" si="959"/>
        <v>20187</v>
      </c>
      <c r="AQ3209" s="28" t="str">
        <f t="shared" si="960"/>
        <v>20187JPY</v>
      </c>
      <c r="AR3209" s="206" t="str">
        <f t="shared" si="961"/>
        <v>YAMAHA_Mounter</v>
      </c>
      <c r="AS3209" s="22">
        <f t="shared" si="962"/>
        <v>1</v>
      </c>
      <c r="AT3209" s="24" t="str">
        <f t="shared" si="963"/>
        <v>0-3 months</v>
      </c>
      <c r="AU3209" s="22" t="s">
        <v>3745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4">IF(X3210="","",X3210*MAX(O3210,N3210))</f>
        <v>9666666</v>
      </c>
      <c r="AA3210" s="13">
        <v>7.22E-2</v>
      </c>
      <c r="AB3210" s="21">
        <f t="shared" si="950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1"/>
        <v>29946107.503386207</v>
      </c>
      <c r="AJ3210" s="19">
        <f t="shared" si="952"/>
        <v>3987206.4954923098</v>
      </c>
      <c r="AK3210" s="20">
        <f t="shared" si="958"/>
        <v>0.13314606898547499</v>
      </c>
      <c r="AL3210" s="17"/>
      <c r="AM3210" s="17"/>
      <c r="AN3210" s="17"/>
      <c r="AO3210" s="17"/>
      <c r="AP3210" s="28" t="str">
        <f t="shared" si="959"/>
        <v>20187</v>
      </c>
      <c r="AQ3210" s="28" t="str">
        <f t="shared" si="960"/>
        <v>20187JPY</v>
      </c>
      <c r="AR3210" s="206" t="str">
        <f t="shared" si="961"/>
        <v>YAMAHA_Mounter</v>
      </c>
      <c r="AS3210" s="22">
        <f t="shared" si="962"/>
        <v>1</v>
      </c>
      <c r="AT3210" s="24" t="str">
        <f t="shared" si="963"/>
        <v>0-3 months</v>
      </c>
      <c r="AU3210" s="22" t="s">
        <v>3745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4"/>
        <v>13225000</v>
      </c>
      <c r="AA3211" s="13">
        <v>5.4199999999999998E-2</v>
      </c>
      <c r="AB3211" s="21">
        <f t="shared" si="950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1"/>
        <v>10271727.486725664</v>
      </c>
      <c r="AJ3211" s="19">
        <f t="shared" si="952"/>
        <v>1227228.7260761063</v>
      </c>
      <c r="AK3211" s="20">
        <f t="shared" si="958"/>
        <v>0.11947637120066472</v>
      </c>
      <c r="AL3211" s="17"/>
      <c r="AM3211" s="17"/>
      <c r="AN3211" s="17"/>
      <c r="AO3211" s="17"/>
      <c r="AP3211" s="28" t="str">
        <f t="shared" si="959"/>
        <v>202312</v>
      </c>
      <c r="AQ3211" s="28" t="str">
        <f t="shared" si="960"/>
        <v>202312JPY</v>
      </c>
      <c r="AR3211" s="206" t="str">
        <f t="shared" si="961"/>
        <v>YAMAHA_Mounter</v>
      </c>
      <c r="AS3211" s="22">
        <f t="shared" si="962"/>
        <v>1</v>
      </c>
      <c r="AT3211" s="24" t="str">
        <f t="shared" si="963"/>
        <v>0-3 months</v>
      </c>
      <c r="AU3211" s="22" t="s">
        <v>3745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4"/>
        <v>13225000</v>
      </c>
      <c r="AA3212" s="13">
        <v>5.4199999999999998E-2</v>
      </c>
      <c r="AB3212" s="21">
        <f t="shared" si="950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1"/>
        <v>10271727.486725664</v>
      </c>
      <c r="AJ3212" s="19">
        <f t="shared" si="952"/>
        <v>1227228.7260761063</v>
      </c>
      <c r="AK3212" s="20">
        <f t="shared" si="958"/>
        <v>0.11947637120066472</v>
      </c>
      <c r="AL3212" s="17"/>
      <c r="AM3212" s="17"/>
      <c r="AN3212" s="17"/>
      <c r="AO3212" s="17"/>
      <c r="AP3212" s="28" t="str">
        <f t="shared" si="959"/>
        <v>202312</v>
      </c>
      <c r="AQ3212" s="28" t="str">
        <f t="shared" si="960"/>
        <v>202312JPY</v>
      </c>
      <c r="AR3212" s="206" t="str">
        <f t="shared" si="961"/>
        <v>YAMAHA_Mounter</v>
      </c>
      <c r="AS3212" s="22">
        <f t="shared" si="962"/>
        <v>1</v>
      </c>
      <c r="AT3212" s="24" t="str">
        <f t="shared" si="963"/>
        <v>0-3 months</v>
      </c>
      <c r="AU3212" s="22" t="s">
        <v>3745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5">IF(W3213="RMB","1.13", "1")</f>
        <v>1</v>
      </c>
      <c r="Z3213" s="18">
        <f t="shared" si="964"/>
        <v>12400000</v>
      </c>
      <c r="AA3213" s="13">
        <v>7.17E-2</v>
      </c>
      <c r="AB3213" s="21">
        <f t="shared" si="950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1"/>
        <v>43684091.636631854</v>
      </c>
      <c r="AJ3213" s="19">
        <f t="shared" si="952"/>
        <v>6483951.8242071122</v>
      </c>
      <c r="AK3213" s="20">
        <f t="shared" si="958"/>
        <v>0.14842821680123736</v>
      </c>
      <c r="AL3213" s="17"/>
      <c r="AM3213" s="17"/>
      <c r="AN3213" s="17"/>
      <c r="AO3213" s="17"/>
      <c r="AP3213" s="28" t="str">
        <f t="shared" si="959"/>
        <v>20214</v>
      </c>
      <c r="AQ3213" s="28" t="str">
        <f t="shared" si="960"/>
        <v>20214JPY</v>
      </c>
      <c r="AR3213" s="206" t="str">
        <f t="shared" si="961"/>
        <v>YAMAHA_Mounter</v>
      </c>
      <c r="AS3213" s="22">
        <f t="shared" si="962"/>
        <v>4</v>
      </c>
      <c r="AT3213" s="24" t="str">
        <f t="shared" si="963"/>
        <v>4-6 months</v>
      </c>
      <c r="AU3213" s="22" t="s">
        <v>3745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5"/>
        <v>1</v>
      </c>
      <c r="Z3214" s="18">
        <f t="shared" si="964"/>
        <v>12400000</v>
      </c>
      <c r="AA3214" s="13">
        <v>7.17E-2</v>
      </c>
      <c r="AB3214" s="21">
        <f t="shared" si="950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1"/>
        <v>43684091.636631854</v>
      </c>
      <c r="AJ3214" s="19">
        <f t="shared" si="952"/>
        <v>6483951.8242071122</v>
      </c>
      <c r="AK3214" s="20">
        <f t="shared" si="958"/>
        <v>0.14842821680123736</v>
      </c>
      <c r="AL3214" s="17"/>
      <c r="AM3214" s="17"/>
      <c r="AN3214" s="17"/>
      <c r="AO3214" s="17"/>
      <c r="AP3214" s="28" t="str">
        <f t="shared" si="959"/>
        <v>20214</v>
      </c>
      <c r="AQ3214" s="28" t="str">
        <f t="shared" si="960"/>
        <v>20214JPY</v>
      </c>
      <c r="AR3214" s="206" t="str">
        <f t="shared" si="961"/>
        <v>YAMAHA_Mounter</v>
      </c>
      <c r="AS3214" s="22">
        <f t="shared" si="962"/>
        <v>4</v>
      </c>
      <c r="AT3214" s="24" t="str">
        <f t="shared" si="963"/>
        <v>4-6 months</v>
      </c>
      <c r="AU3214" s="22" t="s">
        <v>3745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5"/>
        <v>1</v>
      </c>
      <c r="Z3215" s="18">
        <f t="shared" si="964"/>
        <v>8660000</v>
      </c>
      <c r="AA3215" s="13">
        <v>7.17E-2</v>
      </c>
      <c r="AB3215" s="21">
        <f t="shared" si="950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1"/>
        <v>43684091.636631854</v>
      </c>
      <c r="AJ3215" s="19">
        <f t="shared" si="952"/>
        <v>6483951.8242071122</v>
      </c>
      <c r="AK3215" s="20">
        <f t="shared" si="958"/>
        <v>0.14842821680123736</v>
      </c>
      <c r="AL3215" s="17"/>
      <c r="AM3215" s="17"/>
      <c r="AN3215" s="17"/>
      <c r="AO3215" s="17"/>
      <c r="AP3215" s="28" t="str">
        <f t="shared" si="959"/>
        <v>20214</v>
      </c>
      <c r="AQ3215" s="28" t="str">
        <f t="shared" si="960"/>
        <v>20214JPY</v>
      </c>
      <c r="AR3215" s="206" t="str">
        <f t="shared" si="961"/>
        <v>YAMAHA_Mounter</v>
      </c>
      <c r="AS3215" s="22">
        <f t="shared" si="962"/>
        <v>4</v>
      </c>
      <c r="AT3215" s="24" t="str">
        <f t="shared" si="963"/>
        <v>4-6 months</v>
      </c>
      <c r="AU3215" s="22" t="s">
        <v>3745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5"/>
        <v>1</v>
      </c>
      <c r="Z3216" s="18">
        <f t="shared" si="964"/>
        <v>8660000</v>
      </c>
      <c r="AA3216" s="13">
        <v>7.17E-2</v>
      </c>
      <c r="AB3216" s="21">
        <f t="shared" si="950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1"/>
        <v>43684091.636631854</v>
      </c>
      <c r="AJ3216" s="19">
        <f t="shared" si="952"/>
        <v>6483951.8242071122</v>
      </c>
      <c r="AK3216" s="20">
        <f t="shared" si="958"/>
        <v>0.14842821680123736</v>
      </c>
      <c r="AL3216" s="17"/>
      <c r="AM3216" s="17"/>
      <c r="AN3216" s="17"/>
      <c r="AO3216" s="17"/>
      <c r="AP3216" s="28" t="str">
        <f t="shared" si="959"/>
        <v>20214</v>
      </c>
      <c r="AQ3216" s="28" t="str">
        <f t="shared" si="960"/>
        <v>20214JPY</v>
      </c>
      <c r="AR3216" s="206" t="str">
        <f t="shared" si="961"/>
        <v>YAMAHA_Mounter</v>
      </c>
      <c r="AS3216" s="22">
        <f t="shared" si="962"/>
        <v>4</v>
      </c>
      <c r="AT3216" s="24" t="str">
        <f t="shared" si="963"/>
        <v>4-6 months</v>
      </c>
      <c r="AU3216" s="22" t="s">
        <v>3745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5"/>
        <v>1</v>
      </c>
      <c r="Z3217" s="18">
        <f t="shared" si="964"/>
        <v>12400000</v>
      </c>
      <c r="AA3217" s="13">
        <v>7.17E-2</v>
      </c>
      <c r="AB3217" s="21">
        <f t="shared" si="950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1"/>
        <v>499582152.5142017</v>
      </c>
      <c r="AJ3217" s="19">
        <f t="shared" si="952"/>
        <v>59520528.679470733</v>
      </c>
      <c r="AK3217" s="20">
        <f t="shared" si="958"/>
        <v>0.11914062257814291</v>
      </c>
      <c r="AL3217" s="17"/>
      <c r="AM3217" s="17"/>
      <c r="AN3217" s="17"/>
      <c r="AO3217" s="17"/>
      <c r="AP3217" s="28" t="str">
        <f t="shared" si="959"/>
        <v>CancelCancel</v>
      </c>
      <c r="AQ3217" s="28" t="str">
        <f t="shared" si="960"/>
        <v>CancelCancelJPY</v>
      </c>
      <c r="AR3217" s="206" t="str">
        <f t="shared" si="961"/>
        <v>YAMAHA_Mounter</v>
      </c>
      <c r="AS3217" s="22" t="str">
        <f t="shared" si="962"/>
        <v/>
      </c>
      <c r="AT3217" s="24" t="str">
        <f t="shared" si="963"/>
        <v/>
      </c>
      <c r="AU3217" s="22" t="s">
        <v>3745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5"/>
        <v>1</v>
      </c>
      <c r="Z3218" s="18">
        <f t="shared" si="964"/>
        <v>12400000</v>
      </c>
      <c r="AA3218" s="13">
        <v>7.17E-2</v>
      </c>
      <c r="AB3218" s="21">
        <f t="shared" si="950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1"/>
        <v>499582152.5142017</v>
      </c>
      <c r="AJ3218" s="19">
        <f t="shared" si="952"/>
        <v>59520528.679470733</v>
      </c>
      <c r="AK3218" s="20">
        <f t="shared" si="958"/>
        <v>0.11914062257814291</v>
      </c>
      <c r="AL3218" s="17"/>
      <c r="AM3218" s="17"/>
      <c r="AN3218" s="17"/>
      <c r="AO3218" s="17"/>
      <c r="AP3218" s="28" t="str">
        <f t="shared" si="959"/>
        <v>CancelCancel</v>
      </c>
      <c r="AQ3218" s="28" t="str">
        <f t="shared" si="960"/>
        <v>CancelCancelJPY</v>
      </c>
      <c r="AR3218" s="206" t="str">
        <f t="shared" si="961"/>
        <v>YAMAHA_Mounter</v>
      </c>
      <c r="AS3218" s="22" t="str">
        <f t="shared" si="962"/>
        <v/>
      </c>
      <c r="AT3218" s="24" t="str">
        <f t="shared" si="963"/>
        <v/>
      </c>
      <c r="AU3218" s="22" t="s">
        <v>3745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5"/>
        <v>1</v>
      </c>
      <c r="Z3219" s="18">
        <f t="shared" si="964"/>
        <v>12400000</v>
      </c>
      <c r="AA3219" s="13">
        <v>7.17E-2</v>
      </c>
      <c r="AB3219" s="21">
        <f t="shared" si="950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1"/>
        <v>499582152.5142017</v>
      </c>
      <c r="AJ3219" s="19">
        <f t="shared" si="952"/>
        <v>59520528.679470733</v>
      </c>
      <c r="AK3219" s="20">
        <f t="shared" si="958"/>
        <v>0.11914062257814291</v>
      </c>
      <c r="AL3219" s="17"/>
      <c r="AM3219" s="17"/>
      <c r="AN3219" s="17"/>
      <c r="AO3219" s="17"/>
      <c r="AP3219" s="28" t="str">
        <f t="shared" si="959"/>
        <v>CancelCancel</v>
      </c>
      <c r="AQ3219" s="28" t="str">
        <f t="shared" si="960"/>
        <v>CancelCancelJPY</v>
      </c>
      <c r="AR3219" s="206" t="str">
        <f t="shared" si="961"/>
        <v>YAMAHA_Mounter</v>
      </c>
      <c r="AS3219" s="22" t="str">
        <f t="shared" si="962"/>
        <v/>
      </c>
      <c r="AT3219" s="24" t="str">
        <f t="shared" si="963"/>
        <v/>
      </c>
      <c r="AU3219" s="22" t="s">
        <v>3745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5"/>
        <v>1</v>
      </c>
      <c r="Z3220" s="18">
        <f t="shared" si="964"/>
        <v>12400000</v>
      </c>
      <c r="AA3220" s="13">
        <v>7.17E-2</v>
      </c>
      <c r="AB3220" s="21">
        <f t="shared" si="950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1"/>
        <v>499582152.5142017</v>
      </c>
      <c r="AJ3220" s="19">
        <f t="shared" si="952"/>
        <v>59520528.679470733</v>
      </c>
      <c r="AK3220" s="20">
        <f t="shared" si="958"/>
        <v>0.11914062257814291</v>
      </c>
      <c r="AL3220" s="17"/>
      <c r="AM3220" s="17"/>
      <c r="AN3220" s="17"/>
      <c r="AO3220" s="17"/>
      <c r="AP3220" s="28" t="str">
        <f t="shared" si="959"/>
        <v>CancelCancel</v>
      </c>
      <c r="AQ3220" s="28" t="str">
        <f t="shared" si="960"/>
        <v>CancelCancelJPY</v>
      </c>
      <c r="AR3220" s="206" t="str">
        <f t="shared" si="961"/>
        <v>YAMAHA_Mounter</v>
      </c>
      <c r="AS3220" s="22" t="str">
        <f t="shared" si="962"/>
        <v/>
      </c>
      <c r="AT3220" s="24" t="str">
        <f t="shared" si="963"/>
        <v/>
      </c>
      <c r="AU3220" s="22" t="s">
        <v>3745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5"/>
        <v>1</v>
      </c>
      <c r="Z3221" s="18">
        <f t="shared" si="964"/>
        <v>8518000</v>
      </c>
      <c r="AA3221" s="13">
        <v>7.17E-2</v>
      </c>
      <c r="AB3221" s="21">
        <f t="shared" si="950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1"/>
        <v>499582152.5142017</v>
      </c>
      <c r="AJ3221" s="19">
        <f t="shared" si="952"/>
        <v>59520528.679470733</v>
      </c>
      <c r="AK3221" s="20">
        <f t="shared" si="958"/>
        <v>0.11914062257814291</v>
      </c>
      <c r="AL3221" s="17"/>
      <c r="AM3221" s="17"/>
      <c r="AN3221" s="17"/>
      <c r="AO3221" s="17"/>
      <c r="AP3221" s="28" t="str">
        <f t="shared" si="959"/>
        <v>CancelCancel</v>
      </c>
      <c r="AQ3221" s="28" t="str">
        <f t="shared" si="960"/>
        <v>CancelCancelJPY</v>
      </c>
      <c r="AR3221" s="206" t="str">
        <f t="shared" si="961"/>
        <v>YAMAHA_Mounter</v>
      </c>
      <c r="AS3221" s="22" t="str">
        <f t="shared" si="962"/>
        <v/>
      </c>
      <c r="AT3221" s="24" t="str">
        <f t="shared" si="963"/>
        <v/>
      </c>
      <c r="AU3221" s="22" t="s">
        <v>3745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6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5"/>
        <v>1</v>
      </c>
      <c r="Z3222" s="18">
        <f t="shared" si="964"/>
        <v>8518000</v>
      </c>
      <c r="AA3222" s="13">
        <v>7.17E-2</v>
      </c>
      <c r="AB3222" s="21">
        <f t="shared" si="950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1"/>
        <v>499582152.5142017</v>
      </c>
      <c r="AJ3222" s="19">
        <f t="shared" si="952"/>
        <v>59520528.679470733</v>
      </c>
      <c r="AK3222" s="20">
        <f t="shared" si="958"/>
        <v>0.11914062257814291</v>
      </c>
      <c r="AL3222" s="17"/>
      <c r="AM3222" s="17"/>
      <c r="AN3222" s="17"/>
      <c r="AO3222" s="17"/>
      <c r="AP3222" s="28" t="str">
        <f t="shared" si="959"/>
        <v>CancelCancel</v>
      </c>
      <c r="AQ3222" s="28" t="str">
        <f t="shared" si="960"/>
        <v>CancelCancelJPY</v>
      </c>
      <c r="AR3222" s="206" t="str">
        <f t="shared" si="961"/>
        <v>YAMAHA_Mounter</v>
      </c>
      <c r="AS3222" s="22" t="str">
        <f t="shared" si="962"/>
        <v/>
      </c>
      <c r="AT3222" s="24" t="str">
        <f t="shared" si="963"/>
        <v/>
      </c>
      <c r="AU3222" s="22" t="s">
        <v>3745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6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5"/>
        <v>1</v>
      </c>
      <c r="Z3223" s="18">
        <f t="shared" si="964"/>
        <v>12600000</v>
      </c>
      <c r="AA3223" s="13">
        <v>7.2800000000000004E-2</v>
      </c>
      <c r="AB3223" s="21">
        <f t="shared" si="950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1"/>
        <v>63006605.696460173</v>
      </c>
      <c r="AJ3223" s="19">
        <f t="shared" si="952"/>
        <v>8897485.660753984</v>
      </c>
      <c r="AK3223" s="20">
        <f t="shared" si="958"/>
        <v>0.141215124388995</v>
      </c>
      <c r="AL3223" s="17"/>
      <c r="AM3223" s="17"/>
      <c r="AN3223" s="17"/>
      <c r="AO3223" s="17"/>
      <c r="AP3223" s="28" t="str">
        <f t="shared" si="959"/>
        <v>20215</v>
      </c>
      <c r="AQ3223" s="28" t="str">
        <f t="shared" si="960"/>
        <v>20215JPY</v>
      </c>
      <c r="AR3223" s="206" t="str">
        <f t="shared" si="961"/>
        <v>YAMAHA_Mounter</v>
      </c>
      <c r="AS3223" s="22">
        <f t="shared" si="962"/>
        <v>1</v>
      </c>
      <c r="AT3223" s="24" t="str">
        <f t="shared" si="963"/>
        <v>0-3 months</v>
      </c>
      <c r="AU3223" s="22" t="s">
        <v>3745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6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5"/>
        <v>1</v>
      </c>
      <c r="Z3224" s="18">
        <f t="shared" si="964"/>
        <v>12600000</v>
      </c>
      <c r="AA3224" s="13">
        <v>7.2800000000000004E-2</v>
      </c>
      <c r="AB3224" s="21">
        <f t="shared" si="950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1"/>
        <v>63006605.696460173</v>
      </c>
      <c r="AJ3224" s="19">
        <f t="shared" si="952"/>
        <v>8897485.660753984</v>
      </c>
      <c r="AK3224" s="20">
        <f t="shared" si="958"/>
        <v>0.141215124388995</v>
      </c>
      <c r="AL3224" s="17"/>
      <c r="AM3224" s="17"/>
      <c r="AN3224" s="17"/>
      <c r="AO3224" s="17"/>
      <c r="AP3224" s="28" t="str">
        <f t="shared" si="959"/>
        <v>20215</v>
      </c>
      <c r="AQ3224" s="28" t="str">
        <f t="shared" si="960"/>
        <v>20215JPY</v>
      </c>
      <c r="AR3224" s="206" t="str">
        <f t="shared" si="961"/>
        <v>YAMAHA_Mounter</v>
      </c>
      <c r="AS3224" s="22">
        <f t="shared" si="962"/>
        <v>1</v>
      </c>
      <c r="AT3224" s="24" t="str">
        <f t="shared" si="963"/>
        <v>0-3 months</v>
      </c>
      <c r="AU3224" s="22" t="s">
        <v>3745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6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5"/>
        <v>1</v>
      </c>
      <c r="Z3225" s="18">
        <f t="shared" si="964"/>
        <v>9408000</v>
      </c>
      <c r="AA3225" s="13">
        <v>7.2800000000000004E-2</v>
      </c>
      <c r="AB3225" s="21">
        <f t="shared" si="950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1"/>
        <v>63006605.696460173</v>
      </c>
      <c r="AJ3225" s="19">
        <f t="shared" si="952"/>
        <v>8897485.660753984</v>
      </c>
      <c r="AK3225" s="20">
        <f t="shared" si="958"/>
        <v>0.141215124388995</v>
      </c>
      <c r="AL3225" s="17"/>
      <c r="AM3225" s="17"/>
      <c r="AN3225" s="17"/>
      <c r="AO3225" s="17"/>
      <c r="AP3225" s="28" t="str">
        <f t="shared" si="959"/>
        <v>20215</v>
      </c>
      <c r="AQ3225" s="28" t="str">
        <f t="shared" si="960"/>
        <v>20215JPY</v>
      </c>
      <c r="AR3225" s="206" t="str">
        <f t="shared" si="961"/>
        <v>YAMAHA_Mounter</v>
      </c>
      <c r="AS3225" s="22">
        <f t="shared" si="962"/>
        <v>1</v>
      </c>
      <c r="AT3225" s="24" t="str">
        <f t="shared" si="963"/>
        <v>0-3 months</v>
      </c>
      <c r="AU3225" s="22" t="s">
        <v>3745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6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5"/>
        <v>1</v>
      </c>
      <c r="Z3226" s="18">
        <f t="shared" si="964"/>
        <v>15220000</v>
      </c>
      <c r="AA3226" s="13">
        <v>5.8700000000000002E-2</v>
      </c>
      <c r="AB3226" s="21">
        <f t="shared" si="950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1"/>
        <v>36480247.665929198</v>
      </c>
      <c r="AJ3226" s="19">
        <f t="shared" si="952"/>
        <v>5330996.6372757526</v>
      </c>
      <c r="AK3226" s="20">
        <f t="shared" si="958"/>
        <v>0.14613378412599562</v>
      </c>
      <c r="AL3226" s="17"/>
      <c r="AM3226" s="17"/>
      <c r="AN3226" s="17"/>
      <c r="AO3226" s="17" t="s">
        <v>2044</v>
      </c>
      <c r="AP3226" s="28" t="str">
        <f t="shared" si="959"/>
        <v>20227</v>
      </c>
      <c r="AQ3226" s="28" t="str">
        <f t="shared" si="960"/>
        <v>20227JPY</v>
      </c>
      <c r="AR3226" s="206" t="str">
        <f t="shared" si="961"/>
        <v>YAMAHA_Mounter</v>
      </c>
      <c r="AS3226" s="22">
        <f t="shared" si="962"/>
        <v>15</v>
      </c>
      <c r="AT3226" s="24" t="str">
        <f t="shared" si="963"/>
        <v>&gt; 6 months</v>
      </c>
      <c r="AU3226" s="22" t="s">
        <v>3745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6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5"/>
        <v>1</v>
      </c>
      <c r="Z3227" s="18">
        <f t="shared" si="964"/>
        <v>12600000</v>
      </c>
      <c r="AA3227" s="13">
        <v>6.25E-2</v>
      </c>
      <c r="AB3227" s="21">
        <f t="shared" si="950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1"/>
        <v>499582152.5142017</v>
      </c>
      <c r="AJ3227" s="19">
        <f t="shared" si="952"/>
        <v>59520528.679470733</v>
      </c>
      <c r="AK3227" s="20">
        <f t="shared" si="958"/>
        <v>0.11914062257814291</v>
      </c>
      <c r="AL3227" s="17"/>
      <c r="AM3227" s="17"/>
      <c r="AN3227" s="17"/>
      <c r="AO3227" s="17"/>
      <c r="AP3227" s="28" t="str">
        <f t="shared" si="959"/>
        <v>CancelCANCEL</v>
      </c>
      <c r="AQ3227" s="28" t="str">
        <f t="shared" si="960"/>
        <v>CancelCANCELJPY</v>
      </c>
      <c r="AR3227" s="206" t="str">
        <f t="shared" si="961"/>
        <v>YAMAHA_Mounter</v>
      </c>
      <c r="AS3227" s="22" t="str">
        <f t="shared" si="962"/>
        <v/>
      </c>
      <c r="AT3227" s="24" t="str">
        <f t="shared" si="963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6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5"/>
        <v>1</v>
      </c>
      <c r="Z3228" s="18">
        <f t="shared" si="964"/>
        <v>8958000</v>
      </c>
      <c r="AA3228" s="13">
        <v>6.25E-2</v>
      </c>
      <c r="AB3228" s="21">
        <f t="shared" si="950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1"/>
        <v>499582152.5142017</v>
      </c>
      <c r="AJ3228" s="19">
        <f t="shared" si="952"/>
        <v>59520528.679470733</v>
      </c>
      <c r="AK3228" s="20">
        <f t="shared" si="958"/>
        <v>0.11914062257814291</v>
      </c>
      <c r="AL3228" s="17"/>
      <c r="AM3228" s="17"/>
      <c r="AN3228" s="17"/>
      <c r="AO3228" s="17"/>
      <c r="AP3228" s="28" t="str">
        <f t="shared" si="959"/>
        <v>CancelCANCEL</v>
      </c>
      <c r="AQ3228" s="28" t="str">
        <f t="shared" si="960"/>
        <v>CancelCANCELJPY</v>
      </c>
      <c r="AR3228" s="206" t="str">
        <f t="shared" si="961"/>
        <v>YAMAHA_Mounter</v>
      </c>
      <c r="AS3228" s="22" t="str">
        <f t="shared" si="962"/>
        <v/>
      </c>
      <c r="AT3228" s="24" t="str">
        <f t="shared" si="963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6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5"/>
        <v>1</v>
      </c>
      <c r="Z3229" s="18">
        <v>13000000</v>
      </c>
      <c r="AA3229" s="13">
        <v>5.3400000000000003E-2</v>
      </c>
      <c r="AB3229" s="21">
        <f t="shared" si="950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1"/>
        <v>5219988.5752212387</v>
      </c>
      <c r="AJ3229" s="19">
        <f t="shared" si="952"/>
        <v>631627.0013460177</v>
      </c>
      <c r="AK3229" s="20">
        <f t="shared" si="958"/>
        <v>0.12100160608478869</v>
      </c>
      <c r="AL3229" s="17"/>
      <c r="AM3229" s="17"/>
      <c r="AN3229" s="17"/>
      <c r="AO3229" s="17"/>
      <c r="AP3229" s="28" t="str">
        <f t="shared" si="959"/>
        <v>202310</v>
      </c>
      <c r="AQ3229" s="28" t="str">
        <f t="shared" si="960"/>
        <v>202310JPY</v>
      </c>
      <c r="AR3229" s="206" t="str">
        <f t="shared" si="961"/>
        <v>YAMAHA_Mounter</v>
      </c>
      <c r="AS3229" s="22">
        <f t="shared" si="962"/>
        <v>1</v>
      </c>
      <c r="AT3229" s="24" t="str">
        <f t="shared" si="963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6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5"/>
        <v>1.13</v>
      </c>
      <c r="Z3230" s="18">
        <f t="shared" ref="Z3230:Z3293" si="967">IF(X3230="","",X3230*MAX(O3230,N3230))</f>
        <v>460000</v>
      </c>
      <c r="AA3230" s="13">
        <v>1.105</v>
      </c>
      <c r="AB3230" s="21">
        <f t="shared" si="950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1"/>
        <v>13640480.497522123</v>
      </c>
      <c r="AJ3230" s="19">
        <f t="shared" si="952"/>
        <v>1928605.8020906283</v>
      </c>
      <c r="AK3230" s="20">
        <f t="shared" si="958"/>
        <v>0.1413884065477731</v>
      </c>
      <c r="AL3230" s="17"/>
      <c r="AM3230" s="17"/>
      <c r="AN3230" s="17"/>
      <c r="AO3230" s="17"/>
      <c r="AP3230" s="28" t="str">
        <f t="shared" si="959"/>
        <v>20236</v>
      </c>
      <c r="AQ3230" s="28" t="str">
        <f t="shared" si="960"/>
        <v>20236RMB</v>
      </c>
      <c r="AR3230" s="206" t="str">
        <f t="shared" si="961"/>
        <v>YAMAHA_Mounter</v>
      </c>
      <c r="AS3230" s="22">
        <f t="shared" si="962"/>
        <v>1</v>
      </c>
      <c r="AT3230" s="24" t="str">
        <f t="shared" si="963"/>
        <v>0-3 months</v>
      </c>
      <c r="AU3230" s="22" t="s">
        <v>3751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6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5"/>
        <v>1</v>
      </c>
      <c r="Z3231" s="18">
        <f t="shared" si="967"/>
        <v>13600000</v>
      </c>
      <c r="AA3231" s="13">
        <v>5.3100000000000001E-2</v>
      </c>
      <c r="AB3231" s="21">
        <f t="shared" si="950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1"/>
        <v>21241742.157380536</v>
      </c>
      <c r="AJ3231" s="19">
        <f t="shared" si="952"/>
        <v>2987081.1613773629</v>
      </c>
      <c r="AK3231" s="20">
        <f t="shared" si="958"/>
        <v>0.14062317201884914</v>
      </c>
      <c r="AL3231" s="17"/>
      <c r="AM3231" s="17"/>
      <c r="AN3231" s="17"/>
      <c r="AO3231" s="17"/>
      <c r="AP3231" s="28" t="str">
        <f t="shared" si="959"/>
        <v>20243</v>
      </c>
      <c r="AQ3231" s="28" t="str">
        <f t="shared" si="960"/>
        <v>20243JPY</v>
      </c>
      <c r="AR3231" s="206" t="str">
        <f t="shared" si="961"/>
        <v>YAMAHA_Mounter</v>
      </c>
      <c r="AS3231" s="22">
        <f t="shared" si="962"/>
        <v>36</v>
      </c>
      <c r="AT3231" s="24" t="str">
        <f t="shared" si="963"/>
        <v>&gt; 6 months</v>
      </c>
      <c r="AU3231" s="22" t="s">
        <v>3745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6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7"/>
        <v>965000</v>
      </c>
      <c r="AA3232" s="13">
        <v>1.23</v>
      </c>
      <c r="AB3232" s="21">
        <f t="shared" si="950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1"/>
        <v>24398045.86045352</v>
      </c>
      <c r="AJ3232" s="19">
        <f t="shared" si="952"/>
        <v>3478417.4064663448</v>
      </c>
      <c r="AK3232" s="20">
        <f t="shared" si="958"/>
        <v>0.14256950849102498</v>
      </c>
      <c r="AL3232" s="17"/>
      <c r="AM3232" s="17"/>
      <c r="AN3232" s="17"/>
      <c r="AO3232" s="17" t="s">
        <v>221</v>
      </c>
      <c r="AP3232" s="28" t="str">
        <f t="shared" si="959"/>
        <v>20186</v>
      </c>
      <c r="AQ3232" s="28" t="str">
        <f t="shared" si="960"/>
        <v>20186RMB</v>
      </c>
      <c r="AR3232" s="206" t="str">
        <f t="shared" si="961"/>
        <v>YAMAHA_Mounter</v>
      </c>
      <c r="AS3232" s="22">
        <f t="shared" si="962"/>
        <v>2</v>
      </c>
      <c r="AT3232" s="24" t="str">
        <f t="shared" si="963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6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7"/>
        <v>1000000</v>
      </c>
      <c r="AA3233" s="13">
        <v>1.095</v>
      </c>
      <c r="AB3233" s="21">
        <f t="shared" si="950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1"/>
        <v>33477255.428389374</v>
      </c>
      <c r="AJ3233" s="19">
        <f t="shared" si="952"/>
        <v>4578663.362915583</v>
      </c>
      <c r="AK3233" s="20">
        <f t="shared" si="958"/>
        <v>0.13676937682988152</v>
      </c>
      <c r="AL3233" s="17"/>
      <c r="AM3233" s="17"/>
      <c r="AN3233" s="17"/>
      <c r="AO3233" s="17"/>
      <c r="AP3233" s="28" t="str">
        <f t="shared" si="959"/>
        <v>20204</v>
      </c>
      <c r="AQ3233" s="28" t="str">
        <f t="shared" si="960"/>
        <v>20204RMB</v>
      </c>
      <c r="AR3233" s="206" t="str">
        <f t="shared" si="961"/>
        <v>YAMAHA_Mounter</v>
      </c>
      <c r="AS3233" s="22">
        <f t="shared" si="962"/>
        <v>6</v>
      </c>
      <c r="AT3233" s="24" t="str">
        <f t="shared" si="963"/>
        <v>4-6 months</v>
      </c>
      <c r="AU3233" s="22" t="s">
        <v>3744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6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7"/>
        <v>800000</v>
      </c>
      <c r="AA3234" s="13">
        <v>1.095</v>
      </c>
      <c r="AB3234" s="21">
        <f t="shared" si="950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1"/>
        <v>33477255.428389374</v>
      </c>
      <c r="AJ3234" s="19">
        <f t="shared" si="952"/>
        <v>4578663.362915583</v>
      </c>
      <c r="AK3234" s="20">
        <f t="shared" si="958"/>
        <v>0.13676937682988152</v>
      </c>
      <c r="AL3234" s="17"/>
      <c r="AM3234" s="17"/>
      <c r="AN3234" s="17"/>
      <c r="AO3234" s="17"/>
      <c r="AP3234" s="28" t="str">
        <f t="shared" si="959"/>
        <v>20204</v>
      </c>
      <c r="AQ3234" s="28" t="str">
        <f t="shared" si="960"/>
        <v>20204RMB</v>
      </c>
      <c r="AR3234" s="206" t="str">
        <f t="shared" si="961"/>
        <v>YAMAHA_Mounter</v>
      </c>
      <c r="AS3234" s="22">
        <f t="shared" si="962"/>
        <v>6</v>
      </c>
      <c r="AT3234" s="24" t="str">
        <f t="shared" si="963"/>
        <v>4-6 months</v>
      </c>
      <c r="AU3234" s="22" t="s">
        <v>3744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6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7"/>
        <v>8367850</v>
      </c>
      <c r="AA3235" s="13">
        <v>7.2999999999999995E-2</v>
      </c>
      <c r="AB3235" s="21">
        <f t="shared" si="950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1"/>
        <v>23168285.927433632</v>
      </c>
      <c r="AJ3235" s="19">
        <f t="shared" si="952"/>
        <v>2764878.916878053</v>
      </c>
      <c r="AK3235" s="20">
        <f t="shared" si="958"/>
        <v>0.11933895004309111</v>
      </c>
      <c r="AL3235" s="17"/>
      <c r="AM3235" s="17"/>
      <c r="AN3235" s="17"/>
      <c r="AO3235" s="17"/>
      <c r="AP3235" s="28" t="str">
        <f t="shared" si="959"/>
        <v>20203</v>
      </c>
      <c r="AQ3235" s="28" t="str">
        <f t="shared" si="960"/>
        <v>20203JPY</v>
      </c>
      <c r="AR3235" s="206" t="str">
        <f t="shared" si="961"/>
        <v>YAMAHA_Mounter</v>
      </c>
      <c r="AS3235" s="22">
        <f t="shared" si="962"/>
        <v>2</v>
      </c>
      <c r="AT3235" s="24" t="str">
        <f t="shared" si="963"/>
        <v>0-3 months</v>
      </c>
      <c r="AU3235" s="22" t="s">
        <v>3745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6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7"/>
        <v>8367850</v>
      </c>
      <c r="AA3236" s="13">
        <v>7.2999999999999995E-2</v>
      </c>
      <c r="AB3236" s="21">
        <f t="shared" si="950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1"/>
        <v>23168285.927433632</v>
      </c>
      <c r="AJ3236" s="19">
        <f t="shared" si="952"/>
        <v>2764878.916878053</v>
      </c>
      <c r="AK3236" s="20">
        <f t="shared" si="958"/>
        <v>0.11933895004309111</v>
      </c>
      <c r="AL3236" s="17"/>
      <c r="AM3236" s="17"/>
      <c r="AN3236" s="17"/>
      <c r="AO3236" s="17"/>
      <c r="AP3236" s="28" t="str">
        <f t="shared" si="959"/>
        <v>20203</v>
      </c>
      <c r="AQ3236" s="28" t="str">
        <f t="shared" si="960"/>
        <v>20203JPY</v>
      </c>
      <c r="AR3236" s="206" t="str">
        <f t="shared" si="961"/>
        <v>YAMAHA_Mounter</v>
      </c>
      <c r="AS3236" s="22">
        <f t="shared" si="962"/>
        <v>2</v>
      </c>
      <c r="AT3236" s="24" t="str">
        <f t="shared" si="963"/>
        <v>0-3 months</v>
      </c>
      <c r="AU3236" s="22" t="s">
        <v>3745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6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68">IF(W3237="RMB","1.13", "1")</f>
        <v>1</v>
      </c>
      <c r="Z3237" s="18">
        <f t="shared" si="967"/>
        <v>13000000</v>
      </c>
      <c r="AA3237" s="13">
        <v>7.17E-2</v>
      </c>
      <c r="AB3237" s="21">
        <f t="shared" si="950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1"/>
        <v>43684091.636631854</v>
      </c>
      <c r="AJ3237" s="19">
        <f t="shared" si="952"/>
        <v>6483951.8242071122</v>
      </c>
      <c r="AK3237" s="20">
        <f t="shared" si="958"/>
        <v>0.14842821680123736</v>
      </c>
      <c r="AL3237" s="17"/>
      <c r="AM3237" s="17"/>
      <c r="AN3237" s="17"/>
      <c r="AO3237" s="17"/>
      <c r="AP3237" s="28" t="str">
        <f t="shared" si="959"/>
        <v>20214</v>
      </c>
      <c r="AQ3237" s="28" t="str">
        <f t="shared" si="960"/>
        <v>20214JPY</v>
      </c>
      <c r="AR3237" s="206" t="str">
        <f t="shared" si="961"/>
        <v>YAMAHA_Mounter</v>
      </c>
      <c r="AS3237" s="22">
        <f t="shared" si="962"/>
        <v>3</v>
      </c>
      <c r="AT3237" s="24" t="str">
        <f t="shared" si="963"/>
        <v>0-3 months</v>
      </c>
      <c r="AU3237" s="22" t="s">
        <v>3745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6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68"/>
        <v>1</v>
      </c>
      <c r="Z3238" s="18">
        <f t="shared" si="967"/>
        <v>7907000</v>
      </c>
      <c r="AA3238" s="13">
        <v>7.17E-2</v>
      </c>
      <c r="AB3238" s="21">
        <f t="shared" si="950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1"/>
        <v>43684091.636631854</v>
      </c>
      <c r="AJ3238" s="19">
        <f t="shared" si="952"/>
        <v>6483951.8242071122</v>
      </c>
      <c r="AK3238" s="20">
        <f t="shared" si="958"/>
        <v>0.14842821680123736</v>
      </c>
      <c r="AL3238" s="17"/>
      <c r="AM3238" s="17"/>
      <c r="AN3238" s="17"/>
      <c r="AO3238" s="17"/>
      <c r="AP3238" s="28" t="str">
        <f t="shared" si="959"/>
        <v>20214</v>
      </c>
      <c r="AQ3238" s="28" t="str">
        <f t="shared" si="960"/>
        <v>20214JPY</v>
      </c>
      <c r="AR3238" s="206" t="str">
        <f t="shared" si="961"/>
        <v>YAMAHA_Mounter</v>
      </c>
      <c r="AS3238" s="22">
        <f t="shared" si="962"/>
        <v>3</v>
      </c>
      <c r="AT3238" s="24" t="str">
        <f t="shared" si="963"/>
        <v>0-3 months</v>
      </c>
      <c r="AU3238" s="22" t="s">
        <v>3745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6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68"/>
        <v>1</v>
      </c>
      <c r="Z3239" s="18">
        <f t="shared" si="967"/>
        <v>15000000</v>
      </c>
      <c r="AA3239" s="13">
        <v>5.8700000000000002E-2</v>
      </c>
      <c r="AB3239" s="21">
        <f t="shared" si="950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1"/>
        <v>36480247.665929198</v>
      </c>
      <c r="AJ3239" s="19">
        <f t="shared" si="952"/>
        <v>5330996.6372757526</v>
      </c>
      <c r="AK3239" s="20">
        <f t="shared" si="958"/>
        <v>0.14613378412599562</v>
      </c>
      <c r="AL3239" s="17"/>
      <c r="AM3239" s="17"/>
      <c r="AN3239" s="17"/>
      <c r="AO3239" s="17"/>
      <c r="AP3239" s="28" t="str">
        <f t="shared" si="959"/>
        <v>20227</v>
      </c>
      <c r="AQ3239" s="28" t="str">
        <f t="shared" si="960"/>
        <v>20227JPY</v>
      </c>
      <c r="AR3239" s="206" t="str">
        <f t="shared" si="961"/>
        <v>YAMAHA_Mounter</v>
      </c>
      <c r="AS3239" s="22">
        <f t="shared" si="962"/>
        <v>7</v>
      </c>
      <c r="AT3239" s="24" t="str">
        <f t="shared" si="963"/>
        <v>&gt; 6 months</v>
      </c>
      <c r="AU3239" s="22" t="s">
        <v>3745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6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68"/>
        <v>1</v>
      </c>
      <c r="Z3240" s="18">
        <f t="shared" si="967"/>
        <v>9500000</v>
      </c>
      <c r="AA3240" s="13">
        <v>5.8700000000000002E-2</v>
      </c>
      <c r="AB3240" s="21">
        <f t="shared" si="950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1"/>
        <v>36480247.665929198</v>
      </c>
      <c r="AJ3240" s="19">
        <f t="shared" si="952"/>
        <v>5330996.6372757526</v>
      </c>
      <c r="AK3240" s="20">
        <f t="shared" si="958"/>
        <v>0.14613378412599562</v>
      </c>
      <c r="AL3240" s="17"/>
      <c r="AM3240" s="17"/>
      <c r="AN3240" s="17"/>
      <c r="AO3240" s="17"/>
      <c r="AP3240" s="28" t="str">
        <f t="shared" si="959"/>
        <v>20227</v>
      </c>
      <c r="AQ3240" s="28" t="str">
        <f t="shared" si="960"/>
        <v>20227JPY</v>
      </c>
      <c r="AR3240" s="206" t="str">
        <f t="shared" si="961"/>
        <v>YAMAHA_Mounter</v>
      </c>
      <c r="AS3240" s="22">
        <f t="shared" si="962"/>
        <v>7</v>
      </c>
      <c r="AT3240" s="24" t="str">
        <f t="shared" si="963"/>
        <v>&gt; 6 months</v>
      </c>
      <c r="AU3240" s="22" t="s">
        <v>3745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6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68"/>
        <v>1</v>
      </c>
      <c r="Z3241" s="18">
        <f t="shared" si="967"/>
        <v>6800000</v>
      </c>
      <c r="AA3241" s="13">
        <v>7.5700000000000003E-2</v>
      </c>
      <c r="AB3241" s="21">
        <f t="shared" si="950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1"/>
        <v>31097187.02948761</v>
      </c>
      <c r="AJ3241" s="19">
        <f t="shared" si="952"/>
        <v>3892353.6644401965</v>
      </c>
      <c r="AK3241" s="20">
        <f t="shared" si="958"/>
        <v>0.12516738767237401</v>
      </c>
      <c r="AL3241" s="17"/>
      <c r="AM3241" s="17"/>
      <c r="AN3241" s="17"/>
      <c r="AO3241" s="17"/>
      <c r="AP3241" s="28" t="str">
        <f t="shared" si="959"/>
        <v>20212</v>
      </c>
      <c r="AQ3241" s="28" t="str">
        <f t="shared" si="960"/>
        <v>20212JPY</v>
      </c>
      <c r="AR3241" s="206" t="str">
        <f t="shared" si="961"/>
        <v>YAMAHA_Mounter</v>
      </c>
      <c r="AS3241" s="22">
        <f t="shared" si="962"/>
        <v>1</v>
      </c>
      <c r="AT3241" s="24" t="str">
        <f t="shared" si="963"/>
        <v>0-3 months</v>
      </c>
      <c r="AU3241" s="22" t="s">
        <v>3745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6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68"/>
        <v>1.13</v>
      </c>
      <c r="Z3242" s="18">
        <f t="shared" si="967"/>
        <v>430000</v>
      </c>
      <c r="AA3242" s="13">
        <v>1.1000000000000001</v>
      </c>
      <c r="AB3242" s="21">
        <f t="shared" si="950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1"/>
        <v>22717528.991150443</v>
      </c>
      <c r="AJ3242" s="19">
        <f t="shared" si="952"/>
        <v>3947747.192555753</v>
      </c>
      <c r="AK3242" s="20">
        <f t="shared" si="958"/>
        <v>0.1737753782153679</v>
      </c>
      <c r="AL3242" s="17"/>
      <c r="AM3242" s="17"/>
      <c r="AN3242" s="17"/>
      <c r="AO3242" s="17"/>
      <c r="AP3242" s="28" t="str">
        <f t="shared" si="959"/>
        <v>202210</v>
      </c>
      <c r="AQ3242" s="28" t="str">
        <f t="shared" si="960"/>
        <v>202210RMB</v>
      </c>
      <c r="AR3242" s="206" t="str">
        <f t="shared" si="961"/>
        <v>YAMAHA_Mounter</v>
      </c>
      <c r="AS3242" s="22">
        <f t="shared" si="962"/>
        <v>0</v>
      </c>
      <c r="AT3242" s="24" t="str">
        <f t="shared" si="963"/>
        <v>0-3 months</v>
      </c>
      <c r="AU3242" s="22" t="s">
        <v>3751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6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7"/>
        <v>850000</v>
      </c>
      <c r="AA3243" s="13">
        <v>1.1100000000000001</v>
      </c>
      <c r="AB3243" s="21">
        <f t="shared" si="950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1"/>
        <v>23168285.927433632</v>
      </c>
      <c r="AJ3243" s="19">
        <f t="shared" si="952"/>
        <v>2764878.916878053</v>
      </c>
      <c r="AK3243" s="20">
        <f t="shared" si="958"/>
        <v>0.11933895004309111</v>
      </c>
      <c r="AL3243" s="17"/>
      <c r="AM3243" s="17"/>
      <c r="AN3243" s="17"/>
      <c r="AO3243" s="17"/>
      <c r="AP3243" s="28" t="str">
        <f t="shared" si="959"/>
        <v>20203</v>
      </c>
      <c r="AQ3243" s="28" t="str">
        <f t="shared" si="960"/>
        <v>20203RMB</v>
      </c>
      <c r="AR3243" s="206" t="str">
        <f t="shared" si="961"/>
        <v>YAMAHA_Mounter</v>
      </c>
      <c r="AS3243" s="22">
        <f t="shared" si="962"/>
        <v>2</v>
      </c>
      <c r="AT3243" s="24" t="str">
        <f t="shared" si="963"/>
        <v>0-3 months</v>
      </c>
      <c r="AU3243" s="22" t="s">
        <v>3744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6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7"/>
        <v>850000</v>
      </c>
      <c r="AA3244" s="13">
        <v>1.1100000000000001</v>
      </c>
      <c r="AB3244" s="21">
        <f t="shared" si="950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1"/>
        <v>23168285.927433632</v>
      </c>
      <c r="AJ3244" s="19">
        <f t="shared" si="952"/>
        <v>2764878.916878053</v>
      </c>
      <c r="AK3244" s="20">
        <f t="shared" si="958"/>
        <v>0.11933895004309111</v>
      </c>
      <c r="AL3244" s="17"/>
      <c r="AM3244" s="17"/>
      <c r="AN3244" s="17"/>
      <c r="AO3244" s="17"/>
      <c r="AP3244" s="28" t="str">
        <f t="shared" si="959"/>
        <v>20203</v>
      </c>
      <c r="AQ3244" s="28" t="str">
        <f t="shared" si="960"/>
        <v>20203RMB</v>
      </c>
      <c r="AR3244" s="206" t="str">
        <f t="shared" si="961"/>
        <v>YAMAHA_Mounter</v>
      </c>
      <c r="AS3244" s="22">
        <f t="shared" si="962"/>
        <v>2</v>
      </c>
      <c r="AT3244" s="24" t="str">
        <f t="shared" si="963"/>
        <v>0-3 months</v>
      </c>
      <c r="AU3244" s="22" t="s">
        <v>3744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6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7"/>
        <v>875000</v>
      </c>
      <c r="AA3245" s="13">
        <v>1.18</v>
      </c>
      <c r="AB3245" s="21">
        <f t="shared" si="950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1"/>
        <v>43684091.636631854</v>
      </c>
      <c r="AJ3245" s="19">
        <f t="shared" si="952"/>
        <v>6483951.8242071122</v>
      </c>
      <c r="AK3245" s="20">
        <f t="shared" si="958"/>
        <v>0.14842821680123736</v>
      </c>
      <c r="AL3245" s="17"/>
      <c r="AM3245" s="17"/>
      <c r="AN3245" s="17"/>
      <c r="AO3245" s="17"/>
      <c r="AP3245" s="28" t="str">
        <f t="shared" si="959"/>
        <v>20214</v>
      </c>
      <c r="AQ3245" s="28" t="str">
        <f t="shared" si="960"/>
        <v>20214RMB</v>
      </c>
      <c r="AR3245" s="206" t="str">
        <f t="shared" si="961"/>
        <v>YAMAHA_Mounter</v>
      </c>
      <c r="AS3245" s="22">
        <f t="shared" si="962"/>
        <v>3</v>
      </c>
      <c r="AT3245" s="24" t="str">
        <f t="shared" si="963"/>
        <v>0-3 months</v>
      </c>
      <c r="AU3245" s="22" t="s">
        <v>3744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6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7"/>
        <v>875000</v>
      </c>
      <c r="AA3246" s="13">
        <v>1.18</v>
      </c>
      <c r="AB3246" s="21">
        <f t="shared" si="950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1"/>
        <v>43684091.636631854</v>
      </c>
      <c r="AJ3246" s="19">
        <f t="shared" si="952"/>
        <v>6483951.8242071122</v>
      </c>
      <c r="AK3246" s="20">
        <f t="shared" si="958"/>
        <v>0.14842821680123736</v>
      </c>
      <c r="AL3246" s="17"/>
      <c r="AM3246" s="17"/>
      <c r="AN3246" s="17"/>
      <c r="AO3246" s="17"/>
      <c r="AP3246" s="28" t="str">
        <f t="shared" si="959"/>
        <v>20214</v>
      </c>
      <c r="AQ3246" s="28" t="str">
        <f t="shared" si="960"/>
        <v>20214RMB</v>
      </c>
      <c r="AR3246" s="206" t="str">
        <f t="shared" si="961"/>
        <v>YAMAHA_Mounter</v>
      </c>
      <c r="AS3246" s="22">
        <f t="shared" si="962"/>
        <v>3</v>
      </c>
      <c r="AT3246" s="24" t="str">
        <f t="shared" si="963"/>
        <v>0-3 months</v>
      </c>
      <c r="AU3246" s="22" t="s">
        <v>3744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6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7"/>
        <v>875000</v>
      </c>
      <c r="AA3247" s="13">
        <v>1.18</v>
      </c>
      <c r="AB3247" s="21">
        <f t="shared" si="950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1"/>
        <v>43684091.636631854</v>
      </c>
      <c r="AJ3247" s="19">
        <f t="shared" si="952"/>
        <v>6483951.8242071122</v>
      </c>
      <c r="AK3247" s="20">
        <f t="shared" si="958"/>
        <v>0.14842821680123736</v>
      </c>
      <c r="AL3247" s="17"/>
      <c r="AM3247" s="17"/>
      <c r="AN3247" s="17"/>
      <c r="AO3247" s="17"/>
      <c r="AP3247" s="28" t="str">
        <f t="shared" si="959"/>
        <v>20214</v>
      </c>
      <c r="AQ3247" s="28" t="str">
        <f t="shared" si="960"/>
        <v>20214RMB</v>
      </c>
      <c r="AR3247" s="206" t="str">
        <f t="shared" si="961"/>
        <v>YAMAHA_Mounter</v>
      </c>
      <c r="AS3247" s="22">
        <f t="shared" si="962"/>
        <v>3</v>
      </c>
      <c r="AT3247" s="24" t="str">
        <f t="shared" si="963"/>
        <v>0-3 months</v>
      </c>
      <c r="AU3247" s="22" t="s">
        <v>3744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6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7"/>
        <v>875000</v>
      </c>
      <c r="AA3248" s="13">
        <v>1.18</v>
      </c>
      <c r="AB3248" s="21">
        <f t="shared" si="950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1"/>
        <v>43684091.636631854</v>
      </c>
      <c r="AJ3248" s="19">
        <f t="shared" si="952"/>
        <v>6483951.8242071122</v>
      </c>
      <c r="AK3248" s="20">
        <f t="shared" si="958"/>
        <v>0.14842821680123736</v>
      </c>
      <c r="AL3248" s="17"/>
      <c r="AM3248" s="17"/>
      <c r="AN3248" s="17"/>
      <c r="AO3248" s="17"/>
      <c r="AP3248" s="28" t="str">
        <f t="shared" si="959"/>
        <v>20214</v>
      </c>
      <c r="AQ3248" s="28" t="str">
        <f t="shared" si="960"/>
        <v>20214RMB</v>
      </c>
      <c r="AR3248" s="206" t="str">
        <f t="shared" si="961"/>
        <v>YAMAHA_Mounter</v>
      </c>
      <c r="AS3248" s="22">
        <f t="shared" si="962"/>
        <v>3</v>
      </c>
      <c r="AT3248" s="24" t="str">
        <f t="shared" si="963"/>
        <v>0-3 months</v>
      </c>
      <c r="AU3248" s="22" t="s">
        <v>3744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6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7"/>
        <v>528000</v>
      </c>
      <c r="AA3249" s="13">
        <v>1.095</v>
      </c>
      <c r="AB3249" s="21">
        <f t="shared" si="950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1"/>
        <v>23168285.927433632</v>
      </c>
      <c r="AJ3249" s="19">
        <f t="shared" si="952"/>
        <v>2764878.916878053</v>
      </c>
      <c r="AK3249" s="20">
        <f t="shared" si="958"/>
        <v>0.11933895004309111</v>
      </c>
      <c r="AL3249" s="17"/>
      <c r="AM3249" s="17"/>
      <c r="AN3249" s="17"/>
      <c r="AO3249" s="17"/>
      <c r="AP3249" s="28" t="str">
        <f t="shared" si="959"/>
        <v>20203</v>
      </c>
      <c r="AQ3249" s="28" t="str">
        <f t="shared" si="960"/>
        <v>20203RMB</v>
      </c>
      <c r="AR3249" s="206" t="str">
        <f t="shared" si="961"/>
        <v>YAMAHA_Mounter</v>
      </c>
      <c r="AS3249" s="22">
        <f t="shared" si="962"/>
        <v>1</v>
      </c>
      <c r="AT3249" s="24" t="str">
        <f t="shared" si="963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6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7"/>
        <v>800000</v>
      </c>
      <c r="AA3250" s="13">
        <v>1.095</v>
      </c>
      <c r="AB3250" s="21">
        <f t="shared" si="950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1"/>
        <v>23168285.927433632</v>
      </c>
      <c r="AJ3250" s="19">
        <f t="shared" si="952"/>
        <v>2764878.916878053</v>
      </c>
      <c r="AK3250" s="20">
        <f t="shared" si="958"/>
        <v>0.11933895004309111</v>
      </c>
      <c r="AL3250" s="17"/>
      <c r="AM3250" s="17"/>
      <c r="AN3250" s="17"/>
      <c r="AO3250" s="17"/>
      <c r="AP3250" s="28" t="str">
        <f t="shared" si="959"/>
        <v>20203</v>
      </c>
      <c r="AQ3250" s="28" t="str">
        <f t="shared" si="960"/>
        <v>20203RMB</v>
      </c>
      <c r="AR3250" s="206" t="str">
        <f t="shared" si="961"/>
        <v>YAMAHA_Mounter</v>
      </c>
      <c r="AS3250" s="22">
        <f t="shared" si="962"/>
        <v>1</v>
      </c>
      <c r="AT3250" s="24" t="str">
        <f t="shared" si="963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6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7"/>
        <v>13980000</v>
      </c>
      <c r="AA3251" s="13">
        <v>5.5399999999999998E-2</v>
      </c>
      <c r="AB3251" s="21">
        <f t="shared" si="950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1"/>
        <v>22717528.991150443</v>
      </c>
      <c r="AJ3251" s="19">
        <f t="shared" si="952"/>
        <v>3947747.192555753</v>
      </c>
      <c r="AK3251" s="20">
        <f t="shared" si="958"/>
        <v>0.1737753782153679</v>
      </c>
      <c r="AL3251" s="17"/>
      <c r="AM3251" s="17"/>
      <c r="AN3251" s="17"/>
      <c r="AO3251" s="17"/>
      <c r="AP3251" s="28" t="str">
        <f t="shared" si="959"/>
        <v>202210</v>
      </c>
      <c r="AQ3251" s="28" t="str">
        <f t="shared" si="960"/>
        <v>202210JPY</v>
      </c>
      <c r="AR3251" s="206" t="str">
        <f t="shared" si="961"/>
        <v>YAMAHA_Mounter</v>
      </c>
      <c r="AS3251" s="22">
        <f t="shared" si="962"/>
        <v>4</v>
      </c>
      <c r="AT3251" s="24" t="str">
        <f t="shared" si="963"/>
        <v>4-6 months</v>
      </c>
      <c r="AU3251" s="22" t="s">
        <v>3745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6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7"/>
        <v>771000</v>
      </c>
      <c r="AA3252" s="13">
        <v>1.1599999999999999</v>
      </c>
      <c r="AB3252" s="21">
        <f t="shared" si="950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1"/>
        <v>21045012.884955753</v>
      </c>
      <c r="AJ3252" s="19">
        <f t="shared" si="952"/>
        <v>2650260.9603327443</v>
      </c>
      <c r="AK3252" s="20">
        <f t="shared" si="958"/>
        <v>0.12593296924172048</v>
      </c>
      <c r="AL3252" s="17"/>
      <c r="AM3252" s="17"/>
      <c r="AN3252" s="17"/>
      <c r="AO3252" s="17"/>
      <c r="AP3252" s="28" t="str">
        <f t="shared" si="959"/>
        <v>20232</v>
      </c>
      <c r="AQ3252" s="28" t="str">
        <f t="shared" si="960"/>
        <v>20232RMB</v>
      </c>
      <c r="AR3252" s="206" t="str">
        <f t="shared" si="961"/>
        <v>YAMAHA_Mounter</v>
      </c>
      <c r="AS3252" s="22">
        <f t="shared" si="962"/>
        <v>0</v>
      </c>
      <c r="AT3252" s="24" t="str">
        <f t="shared" si="963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6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7"/>
        <v>7668000</v>
      </c>
      <c r="AA3253" s="22">
        <v>5.1799999999999999E-2</v>
      </c>
      <c r="AB3253" s="21">
        <f t="shared" si="950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1"/>
        <v>499582152.5142017</v>
      </c>
      <c r="AJ3253" s="27">
        <f t="shared" si="952"/>
        <v>59520528.679470733</v>
      </c>
      <c r="AK3253" s="28">
        <f t="shared" si="958"/>
        <v>0.11914062257814291</v>
      </c>
      <c r="AL3253" s="24"/>
      <c r="AM3253" s="24"/>
      <c r="AN3253" s="24"/>
      <c r="AO3253" s="24"/>
      <c r="AP3253" s="28" t="str">
        <f t="shared" si="959"/>
        <v>CancelCancel</v>
      </c>
      <c r="AQ3253" s="28" t="str">
        <f t="shared" si="960"/>
        <v>CancelCancelJPY</v>
      </c>
      <c r="AR3253" s="206" t="str">
        <f t="shared" si="961"/>
        <v>YAMAHA_Mounter</v>
      </c>
      <c r="AS3253" s="22" t="str">
        <f t="shared" si="962"/>
        <v/>
      </c>
      <c r="AT3253" s="24" t="str">
        <f t="shared" si="963"/>
        <v/>
      </c>
      <c r="AU3253" s="22" t="s">
        <v>3745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6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7"/>
        <v>16250000</v>
      </c>
      <c r="AA3254" s="13">
        <v>7.0699999999999999E-2</v>
      </c>
      <c r="AB3254" s="21">
        <f t="shared" si="950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1"/>
        <v>10785027.603448275</v>
      </c>
      <c r="AJ3254" s="19">
        <f t="shared" si="952"/>
        <v>1540894.1297982759</v>
      </c>
      <c r="AK3254" s="20">
        <f t="shared" si="958"/>
        <v>0.1428734525728621</v>
      </c>
      <c r="AL3254" s="17"/>
      <c r="AM3254" s="17"/>
      <c r="AN3254" s="17"/>
      <c r="AO3254" s="17"/>
      <c r="AP3254" s="28" t="str">
        <f t="shared" si="959"/>
        <v>201811</v>
      </c>
      <c r="AQ3254" s="28" t="str">
        <f t="shared" si="960"/>
        <v>201811JPY</v>
      </c>
      <c r="AR3254" s="206" t="str">
        <f t="shared" si="961"/>
        <v>YAMAHA_Mounter</v>
      </c>
      <c r="AS3254" s="22">
        <f t="shared" si="962"/>
        <v>1</v>
      </c>
      <c r="AT3254" s="24" t="str">
        <f t="shared" si="963"/>
        <v>0-3 months</v>
      </c>
      <c r="AU3254" s="22" t="s">
        <v>3745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6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7"/>
        <v>14700000</v>
      </c>
      <c r="AA3255" s="13">
        <v>7.2900000000000006E-2</v>
      </c>
      <c r="AB3255" s="21">
        <f t="shared" si="950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1"/>
        <v>499582152.5142017</v>
      </c>
      <c r="AJ3255" s="19">
        <f t="shared" si="952"/>
        <v>59520528.679470733</v>
      </c>
      <c r="AK3255" s="20">
        <f t="shared" si="958"/>
        <v>0.11914062257814291</v>
      </c>
      <c r="AL3255" s="17"/>
      <c r="AM3255" s="17"/>
      <c r="AN3255" s="17"/>
      <c r="AO3255" s="17"/>
      <c r="AP3255" s="28" t="str">
        <f t="shared" si="959"/>
        <v>CancelCancel</v>
      </c>
      <c r="AQ3255" s="28" t="str">
        <f t="shared" si="960"/>
        <v>CancelCancelJPY</v>
      </c>
      <c r="AR3255" s="206" t="str">
        <f t="shared" si="961"/>
        <v>YAMAHA_Mounter</v>
      </c>
      <c r="AS3255" s="22" t="str">
        <f t="shared" si="962"/>
        <v/>
      </c>
      <c r="AT3255" s="24" t="str">
        <f t="shared" si="963"/>
        <v/>
      </c>
      <c r="AU3255" s="22" t="s">
        <v>3745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6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7"/>
        <v>14000000</v>
      </c>
      <c r="AA3256" s="13">
        <v>7.5700000000000003E-2</v>
      </c>
      <c r="AB3256" s="21">
        <f t="shared" si="950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1"/>
        <v>37969334.083628319</v>
      </c>
      <c r="AJ3256" s="19">
        <f t="shared" si="952"/>
        <v>5097226.4551657084</v>
      </c>
      <c r="AK3256" s="20">
        <f t="shared" si="958"/>
        <v>0.13424587441904964</v>
      </c>
      <c r="AL3256" s="17"/>
      <c r="AM3256" s="17"/>
      <c r="AN3256" s="17"/>
      <c r="AO3256" s="17"/>
      <c r="AP3256" s="28" t="str">
        <f t="shared" si="959"/>
        <v>20208</v>
      </c>
      <c r="AQ3256" s="28" t="str">
        <f t="shared" si="960"/>
        <v>20208JPY</v>
      </c>
      <c r="AR3256" s="206" t="str">
        <f t="shared" si="961"/>
        <v>YAMAHA_Mounter</v>
      </c>
      <c r="AS3256" s="22">
        <f t="shared" si="962"/>
        <v>1</v>
      </c>
      <c r="AT3256" s="24" t="str">
        <f t="shared" si="963"/>
        <v>0-3 months</v>
      </c>
      <c r="AU3256" s="22" t="s">
        <v>3745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6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7"/>
        <v>14000000</v>
      </c>
      <c r="AA3257" s="13">
        <v>7.5700000000000003E-2</v>
      </c>
      <c r="AB3257" s="21">
        <f t="shared" si="950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1"/>
        <v>37969334.083628319</v>
      </c>
      <c r="AJ3257" s="19">
        <f t="shared" si="952"/>
        <v>5097226.4551657084</v>
      </c>
      <c r="AK3257" s="20">
        <f t="shared" si="958"/>
        <v>0.13424587441904964</v>
      </c>
      <c r="AL3257" s="17"/>
      <c r="AM3257" s="17"/>
      <c r="AN3257" s="17"/>
      <c r="AO3257" s="17"/>
      <c r="AP3257" s="28" t="str">
        <f t="shared" si="959"/>
        <v>20208</v>
      </c>
      <c r="AQ3257" s="28" t="str">
        <f t="shared" si="960"/>
        <v>20208JPY</v>
      </c>
      <c r="AR3257" s="206" t="str">
        <f t="shared" si="961"/>
        <v>YAMAHA_Mounter</v>
      </c>
      <c r="AS3257" s="22">
        <f t="shared" si="962"/>
        <v>1</v>
      </c>
      <c r="AT3257" s="24" t="str">
        <f t="shared" si="963"/>
        <v>0-3 months</v>
      </c>
      <c r="AU3257" s="22" t="s">
        <v>3745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6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7"/>
        <v>14000000</v>
      </c>
      <c r="AA3258" s="13">
        <v>7.5700000000000003E-2</v>
      </c>
      <c r="AB3258" s="21">
        <f t="shared" si="950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1"/>
        <v>37969334.083628319</v>
      </c>
      <c r="AJ3258" s="19">
        <f t="shared" si="952"/>
        <v>5097226.4551657084</v>
      </c>
      <c r="AK3258" s="20">
        <f t="shared" si="958"/>
        <v>0.13424587441904964</v>
      </c>
      <c r="AL3258" s="17"/>
      <c r="AM3258" s="17"/>
      <c r="AN3258" s="17"/>
      <c r="AO3258" s="17"/>
      <c r="AP3258" s="28" t="str">
        <f t="shared" si="959"/>
        <v>20208</v>
      </c>
      <c r="AQ3258" s="28" t="str">
        <f t="shared" si="960"/>
        <v>20208JPY</v>
      </c>
      <c r="AR3258" s="206" t="str">
        <f t="shared" si="961"/>
        <v>YAMAHA_Mounter</v>
      </c>
      <c r="AS3258" s="22">
        <f t="shared" si="962"/>
        <v>1</v>
      </c>
      <c r="AT3258" s="24" t="str">
        <f t="shared" si="963"/>
        <v>0-3 months</v>
      </c>
      <c r="AU3258" s="22" t="s">
        <v>3745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6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7"/>
        <v>14000000</v>
      </c>
      <c r="AA3259" s="13">
        <v>7.5700000000000003E-2</v>
      </c>
      <c r="AB3259" s="21">
        <f t="shared" si="950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1"/>
        <v>37969334.083628319</v>
      </c>
      <c r="AJ3259" s="19">
        <f t="shared" si="952"/>
        <v>5097226.4551657084</v>
      </c>
      <c r="AK3259" s="20">
        <f t="shared" si="958"/>
        <v>0.13424587441904964</v>
      </c>
      <c r="AL3259" s="17"/>
      <c r="AM3259" s="17"/>
      <c r="AN3259" s="17"/>
      <c r="AO3259" s="17"/>
      <c r="AP3259" s="28" t="str">
        <f t="shared" si="959"/>
        <v>20208</v>
      </c>
      <c r="AQ3259" s="28" t="str">
        <f t="shared" si="960"/>
        <v>20208JPY</v>
      </c>
      <c r="AR3259" s="206" t="str">
        <f t="shared" si="961"/>
        <v>YAMAHA_Mounter</v>
      </c>
      <c r="AS3259" s="22">
        <f t="shared" si="962"/>
        <v>1</v>
      </c>
      <c r="AT3259" s="24" t="str">
        <f t="shared" si="963"/>
        <v>0-3 months</v>
      </c>
      <c r="AU3259" s="22" t="s">
        <v>3745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6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7"/>
        <v>24000000</v>
      </c>
      <c r="AA3260" s="13">
        <v>7.5700000000000003E-2</v>
      </c>
      <c r="AB3260" s="21">
        <f t="shared" ref="AB3260:AB3323" si="969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1"/>
        <v>37969334.083628319</v>
      </c>
      <c r="AJ3260" s="19">
        <f t="shared" si="952"/>
        <v>5097226.4551657084</v>
      </c>
      <c r="AK3260" s="20">
        <f t="shared" si="958"/>
        <v>0.13424587441904964</v>
      </c>
      <c r="AL3260" s="17"/>
      <c r="AM3260" s="17"/>
      <c r="AN3260" s="17"/>
      <c r="AO3260" s="17"/>
      <c r="AP3260" s="28" t="str">
        <f t="shared" si="959"/>
        <v>20208</v>
      </c>
      <c r="AQ3260" s="28" t="str">
        <f t="shared" si="960"/>
        <v>20208JPY</v>
      </c>
      <c r="AR3260" s="206" t="str">
        <f t="shared" si="961"/>
        <v>YAMAHA_Mounter</v>
      </c>
      <c r="AS3260" s="22">
        <f t="shared" si="962"/>
        <v>1</v>
      </c>
      <c r="AT3260" s="24" t="str">
        <f t="shared" si="963"/>
        <v>0-3 months</v>
      </c>
      <c r="AU3260" s="22" t="s">
        <v>3745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6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0">IF(W3261="RMB","1.13", "1")</f>
        <v>1.13</v>
      </c>
      <c r="Z3261" s="18">
        <f t="shared" si="967"/>
        <v>900000</v>
      </c>
      <c r="AA3261" s="13">
        <v>1.1299999999999999</v>
      </c>
      <c r="AB3261" s="21">
        <f t="shared" si="969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1"/>
        <v>33543315.897345133</v>
      </c>
      <c r="AJ3261" s="19">
        <f t="shared" si="952"/>
        <v>4706169.3252984071</v>
      </c>
      <c r="AK3261" s="20">
        <f t="shared" si="958"/>
        <v>0.14030125523967318</v>
      </c>
      <c r="AL3261" s="17"/>
      <c r="AM3261" s="17"/>
      <c r="AN3261" s="17"/>
      <c r="AO3261" s="17"/>
      <c r="AP3261" s="28" t="str">
        <f t="shared" si="959"/>
        <v>20233</v>
      </c>
      <c r="AQ3261" s="28" t="str">
        <f t="shared" si="960"/>
        <v>20233RMB</v>
      </c>
      <c r="AR3261" s="206" t="str">
        <f t="shared" si="961"/>
        <v>YAMAHA_Mounter</v>
      </c>
      <c r="AS3261" s="22">
        <f t="shared" si="962"/>
        <v>2</v>
      </c>
      <c r="AT3261" s="24" t="str">
        <f t="shared" si="963"/>
        <v>0-3 months</v>
      </c>
      <c r="AU3261" s="22" t="s">
        <v>3751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6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0"/>
        <v>1</v>
      </c>
      <c r="Z3262" s="18">
        <f t="shared" si="967"/>
        <v>14000000</v>
      </c>
      <c r="AA3262" s="13">
        <v>7.4499999999999997E-2</v>
      </c>
      <c r="AB3262" s="21">
        <f t="shared" si="969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1"/>
        <v>57778307.282035396</v>
      </c>
      <c r="AJ3262" s="19">
        <f t="shared" si="952"/>
        <v>7259860.7225420559</v>
      </c>
      <c r="AK3262" s="20">
        <f t="shared" si="958"/>
        <v>0.12565028406083667</v>
      </c>
      <c r="AL3262" s="17"/>
      <c r="AM3262" s="17"/>
      <c r="AN3262" s="17"/>
      <c r="AO3262" s="17"/>
      <c r="AP3262" s="28" t="str">
        <f t="shared" si="959"/>
        <v>20213</v>
      </c>
      <c r="AQ3262" s="28" t="str">
        <f t="shared" si="960"/>
        <v>20213JPY</v>
      </c>
      <c r="AR3262" s="206" t="str">
        <f t="shared" si="961"/>
        <v>YAMAHA_Mounter</v>
      </c>
      <c r="AS3262" s="22">
        <f t="shared" si="962"/>
        <v>1</v>
      </c>
      <c r="AT3262" s="24" t="str">
        <f t="shared" si="963"/>
        <v>0-3 months</v>
      </c>
      <c r="AU3262" s="22" t="s">
        <v>3745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6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0"/>
        <v>1</v>
      </c>
      <c r="Z3263" s="18">
        <f t="shared" si="967"/>
        <v>10000000</v>
      </c>
      <c r="AA3263" s="13">
        <v>7.4499999999999997E-2</v>
      </c>
      <c r="AB3263" s="21">
        <f t="shared" si="969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1"/>
        <v>57778307.282035396</v>
      </c>
      <c r="AJ3263" s="19">
        <f t="shared" si="952"/>
        <v>7259860.7225420559</v>
      </c>
      <c r="AK3263" s="20">
        <f t="shared" si="958"/>
        <v>0.12565028406083667</v>
      </c>
      <c r="AL3263" s="17"/>
      <c r="AM3263" s="17"/>
      <c r="AN3263" s="17"/>
      <c r="AO3263" s="17"/>
      <c r="AP3263" s="28" t="str">
        <f t="shared" si="959"/>
        <v>20213</v>
      </c>
      <c r="AQ3263" s="28" t="str">
        <f t="shared" si="960"/>
        <v>20213JPY</v>
      </c>
      <c r="AR3263" s="206" t="str">
        <f t="shared" si="961"/>
        <v>YAMAHA_Mounter</v>
      </c>
      <c r="AS3263" s="22">
        <f t="shared" si="962"/>
        <v>1</v>
      </c>
      <c r="AT3263" s="24" t="str">
        <f t="shared" si="963"/>
        <v>0-3 months</v>
      </c>
      <c r="AU3263" s="22" t="s">
        <v>3745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6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0"/>
        <v>1</v>
      </c>
      <c r="Z3264" s="18">
        <f t="shared" si="967"/>
        <v>11000000</v>
      </c>
      <c r="AA3264" s="13">
        <v>7.17E-2</v>
      </c>
      <c r="AB3264" s="21">
        <f t="shared" si="969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1"/>
        <v>43684091.636631854</v>
      </c>
      <c r="AJ3264" s="19">
        <f t="shared" si="952"/>
        <v>6483951.8242071122</v>
      </c>
      <c r="AK3264" s="20">
        <f t="shared" si="958"/>
        <v>0.14842821680123736</v>
      </c>
      <c r="AL3264" s="17"/>
      <c r="AM3264" s="17"/>
      <c r="AN3264" s="17"/>
      <c r="AO3264" s="17"/>
      <c r="AP3264" s="28" t="str">
        <f t="shared" si="959"/>
        <v>20214</v>
      </c>
      <c r="AQ3264" s="28" t="str">
        <f t="shared" si="960"/>
        <v>20214JPY</v>
      </c>
      <c r="AR3264" s="206" t="str">
        <f t="shared" si="961"/>
        <v>YAMAHA_Mounter</v>
      </c>
      <c r="AS3264" s="22">
        <f t="shared" si="962"/>
        <v>2</v>
      </c>
      <c r="AT3264" s="24" t="str">
        <f t="shared" si="963"/>
        <v>0-3 months</v>
      </c>
      <c r="AU3264" s="22" t="s">
        <v>3745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6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0"/>
        <v>1</v>
      </c>
      <c r="Z3265" s="18">
        <f t="shared" si="967"/>
        <v>7350000</v>
      </c>
      <c r="AA3265" s="13">
        <v>7.17E-2</v>
      </c>
      <c r="AB3265" s="21">
        <f t="shared" si="969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1"/>
        <v>43684091.636631854</v>
      </c>
      <c r="AJ3265" s="19">
        <f t="shared" si="952"/>
        <v>6483951.8242071122</v>
      </c>
      <c r="AK3265" s="20">
        <f t="shared" si="958"/>
        <v>0.14842821680123736</v>
      </c>
      <c r="AL3265" s="17"/>
      <c r="AM3265" s="17"/>
      <c r="AN3265" s="17"/>
      <c r="AO3265" s="17"/>
      <c r="AP3265" s="28" t="str">
        <f t="shared" si="959"/>
        <v>20214</v>
      </c>
      <c r="AQ3265" s="28" t="str">
        <f t="shared" si="960"/>
        <v>20214JPY</v>
      </c>
      <c r="AR3265" s="206" t="str">
        <f t="shared" si="961"/>
        <v>YAMAHA_Mounter</v>
      </c>
      <c r="AS3265" s="22">
        <f t="shared" si="962"/>
        <v>2</v>
      </c>
      <c r="AT3265" s="24" t="str">
        <f t="shared" si="963"/>
        <v>0-3 months</v>
      </c>
      <c r="AU3265" s="22" t="s">
        <v>3745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6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0"/>
        <v>1</v>
      </c>
      <c r="Z3266" s="18">
        <f t="shared" si="967"/>
        <v>11000000</v>
      </c>
      <c r="AA3266" s="13">
        <v>7.2400000000000006E-2</v>
      </c>
      <c r="AB3266" s="21">
        <f t="shared" si="969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1">IF(P3266="C66 SERVICE","",SUMIFS(AB:AB,F:F,F3266,G:G,G3266,E:E,E3266))</f>
        <v>47458373.787610628</v>
      </c>
      <c r="AJ3266" s="19">
        <f t="shared" ref="AJ3266:AJ3329" si="972">IF(P3266="C66 SERVICE","",SUMIFS(AC:AC,F:F,F3266,G:G,G3266,E:E,E3266))</f>
        <v>7436880.1411522133</v>
      </c>
      <c r="AK3266" s="20">
        <f t="shared" si="958"/>
        <v>0.15670322321692506</v>
      </c>
      <c r="AL3266" s="17"/>
      <c r="AM3266" s="17"/>
      <c r="AN3266" s="17"/>
      <c r="AO3266" s="17"/>
      <c r="AP3266" s="28" t="str">
        <f t="shared" si="959"/>
        <v>20218</v>
      </c>
      <c r="AQ3266" s="28" t="str">
        <f t="shared" si="960"/>
        <v>20218JPY</v>
      </c>
      <c r="AR3266" s="206" t="str">
        <f t="shared" si="961"/>
        <v>YAMAHA_Mounter</v>
      </c>
      <c r="AS3266" s="22">
        <f t="shared" si="962"/>
        <v>4</v>
      </c>
      <c r="AT3266" s="24" t="str">
        <f t="shared" si="963"/>
        <v>4-6 months</v>
      </c>
      <c r="AU3266" s="22" t="s">
        <v>3745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6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0"/>
        <v>1</v>
      </c>
      <c r="Z3267" s="18">
        <f t="shared" si="967"/>
        <v>11000000</v>
      </c>
      <c r="AA3267" s="13">
        <v>7.2300000000000003E-2</v>
      </c>
      <c r="AB3267" s="21">
        <f t="shared" si="969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1"/>
        <v>10844605.840707963</v>
      </c>
      <c r="AJ3267" s="19">
        <f t="shared" si="972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6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  <c r="AU3267" s="22" t="s">
        <v>3745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6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7"/>
        <v>750000</v>
      </c>
      <c r="AA3268" s="13">
        <v>1.1499999999999999</v>
      </c>
      <c r="AB3268" s="21">
        <f t="shared" si="969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1"/>
        <v>26492741.106427077</v>
      </c>
      <c r="AJ3268" s="19">
        <f t="shared" si="972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6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6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7"/>
        <v>520000</v>
      </c>
      <c r="AA3269" s="13">
        <v>1.1499999999999999</v>
      </c>
      <c r="AB3269" s="21">
        <f t="shared" si="969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1"/>
        <v>26492741.106427077</v>
      </c>
      <c r="AJ3269" s="19">
        <f t="shared" si="972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6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6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7"/>
        <v>7350000</v>
      </c>
      <c r="AA3270" s="13">
        <v>7.51E-2</v>
      </c>
      <c r="AB3270" s="21">
        <f t="shared" si="969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1"/>
        <v>29288201.603076916</v>
      </c>
      <c r="AJ3270" s="19">
        <f t="shared" si="972"/>
        <v>3870159.1769246152</v>
      </c>
      <c r="AK3270" s="20">
        <f t="shared" ref="AK3270:AK3333" si="978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79">IF(F3270="","",F3270&amp;G3270)</f>
        <v>20184</v>
      </c>
      <c r="AQ3270" s="28" t="str">
        <f t="shared" ref="AQ3270:AQ3333" si="980">IF(W3270="","",F3270&amp;G3270&amp;W3270)</f>
        <v>20184JPY</v>
      </c>
      <c r="AR3270" s="206" t="str">
        <f t="shared" ref="AR3270:AR3333" si="981">IFERROR(IF(AND(M3270="YAMAHA", R3270="C28"), "YAMAHA_Non_Mounter", IF(AND(M3270="YAMAHA", R3270="C49"), "YAMAHA_Mounter", M3270)),"")</f>
        <v>YAMAHA_Mounter</v>
      </c>
      <c r="AS3270" s="22">
        <f t="shared" ref="AS3270:AS3333" si="982">IFERROR(IF(OR(G3270="TBA", G3270=""), "", DATEDIF(DATE(B3270, C3270, 1), DATE(F3270, G3270, 1), "M")),"")</f>
        <v>1</v>
      </c>
      <c r="AT3270" s="24" t="str">
        <f t="shared" ref="AT3270:AT3333" si="983">IF(ISNUMBER(AS3270), IF(AS3270&gt;=0, IF(AS3270&lt;=3, "0-3 months", IF(AS3270&lt;=6, "4-6 months", "&gt; 6 months"))), "")</f>
        <v>0-3 months</v>
      </c>
      <c r="AU3270" s="22" t="s">
        <v>3745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6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4">IF(W3271="RMB","1.13", "1")</f>
        <v>1.13</v>
      </c>
      <c r="Z3271" s="18">
        <f t="shared" si="967"/>
        <v>832000</v>
      </c>
      <c r="AA3271" s="13">
        <v>1.1950000000000001</v>
      </c>
      <c r="AB3271" s="21">
        <f t="shared" si="969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1"/>
        <v>63006605.696460173</v>
      </c>
      <c r="AJ3271" s="19">
        <f t="shared" si="972"/>
        <v>8897485.660753984</v>
      </c>
      <c r="AK3271" s="20">
        <f t="shared" si="978"/>
        <v>0.141215124388995</v>
      </c>
      <c r="AL3271" s="17"/>
      <c r="AM3271" s="17"/>
      <c r="AN3271" s="17"/>
      <c r="AO3271" s="17"/>
      <c r="AP3271" s="28" t="str">
        <f t="shared" si="979"/>
        <v>20215</v>
      </c>
      <c r="AQ3271" s="28" t="str">
        <f t="shared" si="980"/>
        <v>20215RMB</v>
      </c>
      <c r="AR3271" s="206" t="str">
        <f t="shared" si="981"/>
        <v>YAMAHA_Mounter</v>
      </c>
      <c r="AS3271" s="22">
        <f t="shared" si="982"/>
        <v>1</v>
      </c>
      <c r="AT3271" s="24" t="str">
        <f t="shared" si="983"/>
        <v>0-3 months</v>
      </c>
      <c r="AU3271" s="22" t="s">
        <v>3751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6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4"/>
        <v>1.13</v>
      </c>
      <c r="Z3272" s="18">
        <f t="shared" si="967"/>
        <v>590000</v>
      </c>
      <c r="AA3272" s="13">
        <v>1.1950000000000001</v>
      </c>
      <c r="AB3272" s="21">
        <f t="shared" si="969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1"/>
        <v>63006605.696460173</v>
      </c>
      <c r="AJ3272" s="19">
        <f t="shared" si="972"/>
        <v>8897485.660753984</v>
      </c>
      <c r="AK3272" s="20">
        <f t="shared" si="978"/>
        <v>0.141215124388995</v>
      </c>
      <c r="AL3272" s="17"/>
      <c r="AM3272" s="17"/>
      <c r="AN3272" s="17"/>
      <c r="AO3272" s="17"/>
      <c r="AP3272" s="28" t="str">
        <f t="shared" si="979"/>
        <v>20215</v>
      </c>
      <c r="AQ3272" s="28" t="str">
        <f t="shared" si="980"/>
        <v>20215RMB</v>
      </c>
      <c r="AR3272" s="206" t="str">
        <f t="shared" si="981"/>
        <v>YAMAHA_Mounter</v>
      </c>
      <c r="AS3272" s="22">
        <f t="shared" si="982"/>
        <v>1</v>
      </c>
      <c r="AT3272" s="24" t="str">
        <f t="shared" si="983"/>
        <v>0-3 months</v>
      </c>
      <c r="AU3272" s="22" t="s">
        <v>3751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6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4"/>
        <v>1</v>
      </c>
      <c r="Z3273" s="18">
        <f t="shared" si="967"/>
        <v>12300000</v>
      </c>
      <c r="AA3273" s="13">
        <v>6.2799999999999995E-2</v>
      </c>
      <c r="AB3273" s="21">
        <f t="shared" si="969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1"/>
        <v>44014086.982070789</v>
      </c>
      <c r="AJ3273" s="19">
        <f t="shared" si="972"/>
        <v>6419974.0221889298</v>
      </c>
      <c r="AK3273" s="20">
        <f t="shared" si="978"/>
        <v>0.14586180158193709</v>
      </c>
      <c r="AL3273" s="17"/>
      <c r="AM3273" s="17"/>
      <c r="AN3273" s="17"/>
      <c r="AO3273" s="17"/>
      <c r="AP3273" s="28" t="str">
        <f t="shared" si="979"/>
        <v>20225</v>
      </c>
      <c r="AQ3273" s="28" t="str">
        <f t="shared" si="980"/>
        <v>20225JPY</v>
      </c>
      <c r="AR3273" s="206" t="str">
        <f t="shared" si="981"/>
        <v>YAMAHA_Mounter</v>
      </c>
      <c r="AS3273" s="22">
        <f t="shared" si="982"/>
        <v>13</v>
      </c>
      <c r="AT3273" s="24" t="str">
        <f t="shared" si="983"/>
        <v>&gt; 6 months</v>
      </c>
      <c r="AU3273" s="22" t="s">
        <v>3745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6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4"/>
        <v>1</v>
      </c>
      <c r="Z3274" s="18">
        <f t="shared" si="967"/>
        <v>12300000</v>
      </c>
      <c r="AA3274" s="13">
        <v>6.2799999999999995E-2</v>
      </c>
      <c r="AB3274" s="21">
        <f t="shared" si="969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1"/>
        <v>44014086.982070789</v>
      </c>
      <c r="AJ3274" s="19">
        <f t="shared" si="972"/>
        <v>6419974.0221889298</v>
      </c>
      <c r="AK3274" s="20">
        <f t="shared" si="978"/>
        <v>0.14586180158193709</v>
      </c>
      <c r="AL3274" s="17"/>
      <c r="AM3274" s="17"/>
      <c r="AN3274" s="17"/>
      <c r="AO3274" s="17"/>
      <c r="AP3274" s="28" t="str">
        <f t="shared" si="979"/>
        <v>20225</v>
      </c>
      <c r="AQ3274" s="28" t="str">
        <f t="shared" si="980"/>
        <v>20225JPY</v>
      </c>
      <c r="AR3274" s="206" t="str">
        <f t="shared" si="981"/>
        <v>YAMAHA_Mounter</v>
      </c>
      <c r="AS3274" s="22">
        <f t="shared" si="982"/>
        <v>13</v>
      </c>
      <c r="AT3274" s="24" t="str">
        <f t="shared" si="983"/>
        <v>&gt; 6 months</v>
      </c>
      <c r="AU3274" s="22" t="s">
        <v>3745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6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4"/>
        <v>1</v>
      </c>
      <c r="Z3275" s="18">
        <f t="shared" si="967"/>
        <v>13900000</v>
      </c>
      <c r="AA3275" s="13">
        <v>5.96E-2</v>
      </c>
      <c r="AB3275" s="21">
        <f t="shared" si="969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1"/>
        <v>35073581.838938057</v>
      </c>
      <c r="AJ3275" s="19">
        <f t="shared" si="972"/>
        <v>5034113.9728989396</v>
      </c>
      <c r="AK3275" s="20">
        <f t="shared" si="978"/>
        <v>0.14353007902118958</v>
      </c>
      <c r="AL3275" s="17"/>
      <c r="AM3275" s="17"/>
      <c r="AN3275" s="17"/>
      <c r="AO3275" s="17"/>
      <c r="AP3275" s="28" t="str">
        <f t="shared" si="979"/>
        <v>20228</v>
      </c>
      <c r="AQ3275" s="28" t="str">
        <f t="shared" si="980"/>
        <v>20228JPY</v>
      </c>
      <c r="AR3275" s="206" t="str">
        <f t="shared" si="981"/>
        <v>YAMAHA_Mounter</v>
      </c>
      <c r="AS3275" s="22">
        <f t="shared" si="982"/>
        <v>4</v>
      </c>
      <c r="AT3275" s="24" t="str">
        <f t="shared" si="983"/>
        <v>4-6 months</v>
      </c>
      <c r="AU3275" s="22" t="s">
        <v>3746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6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4"/>
        <v>1</v>
      </c>
      <c r="Z3276" s="18">
        <f t="shared" si="967"/>
        <v>9978000</v>
      </c>
      <c r="AA3276" s="13">
        <v>5.96E-2</v>
      </c>
      <c r="AB3276" s="21">
        <f t="shared" si="969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1"/>
        <v>35073581.838938057</v>
      </c>
      <c r="AJ3276" s="19">
        <f t="shared" si="972"/>
        <v>5034113.9728989396</v>
      </c>
      <c r="AK3276" s="20">
        <f t="shared" si="978"/>
        <v>0.14353007902118958</v>
      </c>
      <c r="AL3276" s="17"/>
      <c r="AM3276" s="17"/>
      <c r="AN3276" s="17"/>
      <c r="AO3276" s="17"/>
      <c r="AP3276" s="28" t="str">
        <f t="shared" si="979"/>
        <v>20228</v>
      </c>
      <c r="AQ3276" s="28" t="str">
        <f t="shared" si="980"/>
        <v>20228JPY</v>
      </c>
      <c r="AR3276" s="206" t="str">
        <f t="shared" si="981"/>
        <v>YAMAHA_Mounter</v>
      </c>
      <c r="AS3276" s="22">
        <f t="shared" si="982"/>
        <v>4</v>
      </c>
      <c r="AT3276" s="24" t="str">
        <f t="shared" si="983"/>
        <v>4-6 months</v>
      </c>
      <c r="AU3276" s="22" t="s">
        <v>3746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6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7"/>
        <v>7668000</v>
      </c>
      <c r="AA3277" s="22">
        <v>5.1799999999999999E-2</v>
      </c>
      <c r="AB3277" s="21">
        <f t="shared" si="969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1"/>
        <v>499582152.5142017</v>
      </c>
      <c r="AJ3277" s="27">
        <f t="shared" si="972"/>
        <v>59520528.679470733</v>
      </c>
      <c r="AK3277" s="28">
        <f t="shared" si="978"/>
        <v>0.11914062257814291</v>
      </c>
      <c r="AL3277" s="24"/>
      <c r="AM3277" s="24"/>
      <c r="AN3277" s="24"/>
      <c r="AO3277" s="24"/>
      <c r="AP3277" s="28" t="str">
        <f t="shared" si="979"/>
        <v>CancelCancel</v>
      </c>
      <c r="AQ3277" s="28" t="str">
        <f t="shared" si="980"/>
        <v>CancelCancelJPY</v>
      </c>
      <c r="AR3277" s="206" t="str">
        <f t="shared" si="981"/>
        <v>YAMAHA_Mounter</v>
      </c>
      <c r="AS3277" s="22" t="str">
        <f t="shared" si="982"/>
        <v/>
      </c>
      <c r="AT3277" s="24" t="str">
        <f t="shared" si="983"/>
        <v/>
      </c>
      <c r="AU3277" s="22" t="s">
        <v>3745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6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7"/>
        <v>420000</v>
      </c>
      <c r="AA3278" s="22">
        <v>1.073</v>
      </c>
      <c r="AB3278" s="197">
        <f t="shared" si="969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1"/>
        <v>499582152.5142017</v>
      </c>
      <c r="AJ3278" s="200">
        <f t="shared" si="972"/>
        <v>59520528.679470733</v>
      </c>
      <c r="AK3278" s="201">
        <f t="shared" si="978"/>
        <v>0.11914062257814291</v>
      </c>
      <c r="AL3278" s="22"/>
      <c r="AM3278" s="22"/>
      <c r="AN3278" s="22"/>
      <c r="AO3278" s="22"/>
      <c r="AP3278" s="28" t="str">
        <f t="shared" si="979"/>
        <v>CancelCancel</v>
      </c>
      <c r="AQ3278" s="28" t="str">
        <f t="shared" si="980"/>
        <v>CancelCancelRMB</v>
      </c>
      <c r="AR3278" s="206" t="str">
        <f t="shared" si="981"/>
        <v>YAMAHA_Mounter</v>
      </c>
      <c r="AS3278" s="22" t="str">
        <f t="shared" si="982"/>
        <v/>
      </c>
      <c r="AT3278" s="24" t="str">
        <f t="shared" si="983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6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7"/>
        <v>575200</v>
      </c>
      <c r="AA3279" s="13">
        <v>1.095</v>
      </c>
      <c r="AB3279" s="21">
        <f t="shared" si="969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1"/>
        <v>35384300.169380538</v>
      </c>
      <c r="AJ3279" s="19">
        <f t="shared" si="972"/>
        <v>5044538.8896988509</v>
      </c>
      <c r="AK3279" s="20">
        <f t="shared" si="978"/>
        <v>0.14256432557804533</v>
      </c>
      <c r="AL3279" s="17"/>
      <c r="AM3279" s="17"/>
      <c r="AN3279" s="17"/>
      <c r="AO3279" s="17"/>
      <c r="AP3279" s="28" t="str">
        <f t="shared" si="979"/>
        <v>20207</v>
      </c>
      <c r="AQ3279" s="28" t="str">
        <f t="shared" si="980"/>
        <v>20207RMB</v>
      </c>
      <c r="AR3279" s="206" t="str">
        <f t="shared" si="981"/>
        <v>YAMAHA_Mounter</v>
      </c>
      <c r="AS3279" s="22">
        <f t="shared" si="982"/>
        <v>0</v>
      </c>
      <c r="AT3279" s="24" t="str">
        <f t="shared" si="983"/>
        <v>0-3 months</v>
      </c>
      <c r="AU3279" s="22" t="s">
        <v>3744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6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7"/>
        <v>773800</v>
      </c>
      <c r="AA3280" s="13">
        <v>1.1299999999999999</v>
      </c>
      <c r="AB3280" s="21">
        <f t="shared" si="969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1"/>
        <v>47907808.356810622</v>
      </c>
      <c r="AJ3280" s="19">
        <f t="shared" si="972"/>
        <v>6027384.8806384448</v>
      </c>
      <c r="AK3280" s="20">
        <f t="shared" si="978"/>
        <v>0.12581216063459488</v>
      </c>
      <c r="AL3280" s="17"/>
      <c r="AM3280" s="17"/>
      <c r="AN3280" s="17"/>
      <c r="AO3280" s="17"/>
      <c r="AP3280" s="28" t="str">
        <f t="shared" si="979"/>
        <v>20209</v>
      </c>
      <c r="AQ3280" s="28" t="str">
        <f t="shared" si="980"/>
        <v>20209RMB</v>
      </c>
      <c r="AR3280" s="206" t="str">
        <f t="shared" si="981"/>
        <v>YAMAHA_Mounter</v>
      </c>
      <c r="AS3280" s="22">
        <f t="shared" si="982"/>
        <v>1</v>
      </c>
      <c r="AT3280" s="24" t="str">
        <f t="shared" si="983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6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7"/>
        <v>966000</v>
      </c>
      <c r="AA3281" s="13">
        <v>1.1299999999999999</v>
      </c>
      <c r="AB3281" s="21">
        <f t="shared" si="969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1"/>
        <v>47907808.356810622</v>
      </c>
      <c r="AJ3281" s="19">
        <f t="shared" si="972"/>
        <v>6027384.8806384448</v>
      </c>
      <c r="AK3281" s="20">
        <f t="shared" si="978"/>
        <v>0.12581216063459488</v>
      </c>
      <c r="AL3281" s="17"/>
      <c r="AM3281" s="17"/>
      <c r="AN3281" s="17"/>
      <c r="AO3281" s="17"/>
      <c r="AP3281" s="28" t="str">
        <f t="shared" si="979"/>
        <v>20209</v>
      </c>
      <c r="AQ3281" s="28" t="str">
        <f t="shared" si="980"/>
        <v>20209RMB</v>
      </c>
      <c r="AR3281" s="206" t="str">
        <f t="shared" si="981"/>
        <v>YAMAHA_Mounter</v>
      </c>
      <c r="AS3281" s="22">
        <f t="shared" si="982"/>
        <v>1</v>
      </c>
      <c r="AT3281" s="24" t="str">
        <f t="shared" si="983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6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7"/>
        <v>260200</v>
      </c>
      <c r="AA3282" s="13">
        <v>1.1299999999999999</v>
      </c>
      <c r="AB3282" s="21">
        <f t="shared" si="969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1"/>
        <v>47907808.356810622</v>
      </c>
      <c r="AJ3282" s="19">
        <f t="shared" si="972"/>
        <v>6027384.8806384448</v>
      </c>
      <c r="AK3282" s="20">
        <f t="shared" si="978"/>
        <v>0.12581216063459488</v>
      </c>
      <c r="AL3282" s="17"/>
      <c r="AM3282" s="17"/>
      <c r="AN3282" s="17"/>
      <c r="AO3282" s="17"/>
      <c r="AP3282" s="28" t="str">
        <f t="shared" si="979"/>
        <v>20209</v>
      </c>
      <c r="AQ3282" s="28" t="str">
        <f t="shared" si="980"/>
        <v>20209RMB</v>
      </c>
      <c r="AR3282" s="206" t="str">
        <f t="shared" si="981"/>
        <v>LOCAL SUPPLIER</v>
      </c>
      <c r="AS3282" s="22">
        <f t="shared" si="982"/>
        <v>1</v>
      </c>
      <c r="AT3282" s="24" t="str">
        <f t="shared" si="983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6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7"/>
        <v>670000</v>
      </c>
      <c r="AA3283" s="13">
        <v>1.095</v>
      </c>
      <c r="AB3283" s="21">
        <f t="shared" si="969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1"/>
        <v>28065694.408805311</v>
      </c>
      <c r="AJ3283" s="19">
        <f t="shared" si="972"/>
        <v>4157433.2906989697</v>
      </c>
      <c r="AK3283" s="20">
        <f t="shared" si="978"/>
        <v>0.14813220831602228</v>
      </c>
      <c r="AL3283" s="17"/>
      <c r="AM3283" s="17"/>
      <c r="AN3283" s="17"/>
      <c r="AO3283" s="17"/>
      <c r="AP3283" s="28" t="str">
        <f t="shared" si="979"/>
        <v>20205</v>
      </c>
      <c r="AQ3283" s="28" t="str">
        <f t="shared" si="980"/>
        <v>20205RMB</v>
      </c>
      <c r="AR3283" s="206" t="str">
        <f t="shared" si="981"/>
        <v>YAMAHA_Mounter</v>
      </c>
      <c r="AS3283" s="22">
        <f t="shared" si="982"/>
        <v>1</v>
      </c>
      <c r="AT3283" s="24" t="str">
        <f t="shared" si="983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6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5">IF(W3284="RMB","1.13", "1")</f>
        <v>1.13</v>
      </c>
      <c r="Z3284" s="18">
        <f t="shared" si="967"/>
        <v>1150000</v>
      </c>
      <c r="AA3284" s="13">
        <v>1.105</v>
      </c>
      <c r="AB3284" s="21">
        <f t="shared" si="969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1"/>
        <v>13640480.497522123</v>
      </c>
      <c r="AJ3284" s="19">
        <f t="shared" si="972"/>
        <v>1928605.8020906283</v>
      </c>
      <c r="AK3284" s="20">
        <f t="shared" si="978"/>
        <v>0.1413884065477731</v>
      </c>
      <c r="AL3284" s="17"/>
      <c r="AM3284" s="17"/>
      <c r="AN3284" s="17"/>
      <c r="AO3284" s="17"/>
      <c r="AP3284" s="28" t="str">
        <f t="shared" si="979"/>
        <v>20236</v>
      </c>
      <c r="AQ3284" s="28" t="str">
        <f t="shared" si="980"/>
        <v>20236RMB</v>
      </c>
      <c r="AR3284" s="206" t="str">
        <f t="shared" si="981"/>
        <v>YAMAHA_Mounter</v>
      </c>
      <c r="AS3284" s="22">
        <f t="shared" si="982"/>
        <v>4</v>
      </c>
      <c r="AT3284" s="24" t="str">
        <f t="shared" si="983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6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5"/>
        <v>1</v>
      </c>
      <c r="Z3285" s="18">
        <f t="shared" si="967"/>
        <v>13220000</v>
      </c>
      <c r="AA3285" s="13">
        <v>6.2799999999999995E-2</v>
      </c>
      <c r="AB3285" s="21">
        <f t="shared" si="969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1"/>
        <v>44014086.982070789</v>
      </c>
      <c r="AJ3285" s="19">
        <f t="shared" si="972"/>
        <v>6419974.0221889298</v>
      </c>
      <c r="AK3285" s="20">
        <f t="shared" si="978"/>
        <v>0.14586180158193709</v>
      </c>
      <c r="AL3285" s="17"/>
      <c r="AM3285" s="17"/>
      <c r="AN3285" s="17"/>
      <c r="AO3285" s="17"/>
      <c r="AP3285" s="28" t="str">
        <f t="shared" si="979"/>
        <v>20225</v>
      </c>
      <c r="AQ3285" s="28" t="str">
        <f t="shared" si="980"/>
        <v>20225JPY</v>
      </c>
      <c r="AR3285" s="206" t="str">
        <f t="shared" si="981"/>
        <v>YAMAHA_Mounter</v>
      </c>
      <c r="AS3285" s="22">
        <f t="shared" si="982"/>
        <v>5</v>
      </c>
      <c r="AT3285" s="24" t="str">
        <f t="shared" si="983"/>
        <v>4-6 months</v>
      </c>
      <c r="AU3285" s="22" t="s">
        <v>3745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6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5"/>
        <v>1</v>
      </c>
      <c r="Z3286" s="18">
        <f t="shared" si="967"/>
        <v>13220000</v>
      </c>
      <c r="AA3286" s="13">
        <v>6.2799999999999995E-2</v>
      </c>
      <c r="AB3286" s="21">
        <f t="shared" si="969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1"/>
        <v>44014086.982070789</v>
      </c>
      <c r="AJ3286" s="19">
        <f t="shared" si="972"/>
        <v>6419974.0221889298</v>
      </c>
      <c r="AK3286" s="20">
        <f t="shared" si="978"/>
        <v>0.14586180158193709</v>
      </c>
      <c r="AL3286" s="17"/>
      <c r="AM3286" s="17"/>
      <c r="AN3286" s="17"/>
      <c r="AO3286" s="17"/>
      <c r="AP3286" s="28" t="str">
        <f t="shared" si="979"/>
        <v>20225</v>
      </c>
      <c r="AQ3286" s="28" t="str">
        <f t="shared" si="980"/>
        <v>20225JPY</v>
      </c>
      <c r="AR3286" s="206" t="str">
        <f t="shared" si="981"/>
        <v>YAMAHA_Mounter</v>
      </c>
      <c r="AS3286" s="22">
        <f t="shared" si="982"/>
        <v>5</v>
      </c>
      <c r="AT3286" s="24" t="str">
        <f t="shared" si="983"/>
        <v>4-6 months</v>
      </c>
      <c r="AU3286" s="22" t="s">
        <v>3745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6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5"/>
        <v>1</v>
      </c>
      <c r="Z3287" s="18">
        <f t="shared" si="967"/>
        <v>13220000</v>
      </c>
      <c r="AA3287" s="13">
        <v>6.2799999999999995E-2</v>
      </c>
      <c r="AB3287" s="21">
        <f t="shared" si="969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1"/>
        <v>44014086.982070789</v>
      </c>
      <c r="AJ3287" s="19">
        <f t="shared" si="972"/>
        <v>6419974.0221889298</v>
      </c>
      <c r="AK3287" s="20">
        <f t="shared" si="978"/>
        <v>0.14586180158193709</v>
      </c>
      <c r="AL3287" s="17"/>
      <c r="AM3287" s="17"/>
      <c r="AN3287" s="17"/>
      <c r="AO3287" s="17"/>
      <c r="AP3287" s="28" t="str">
        <f t="shared" si="979"/>
        <v>20225</v>
      </c>
      <c r="AQ3287" s="28" t="str">
        <f t="shared" si="980"/>
        <v>20225JPY</v>
      </c>
      <c r="AR3287" s="206" t="str">
        <f t="shared" si="981"/>
        <v>YAMAHA_Mounter</v>
      </c>
      <c r="AS3287" s="22">
        <f t="shared" si="982"/>
        <v>5</v>
      </c>
      <c r="AT3287" s="24" t="str">
        <f t="shared" si="983"/>
        <v>4-6 months</v>
      </c>
      <c r="AU3287" s="22" t="s">
        <v>3745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6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5"/>
        <v>1</v>
      </c>
      <c r="Z3288" s="18">
        <f t="shared" si="967"/>
        <v>13220000</v>
      </c>
      <c r="AA3288" s="13">
        <v>6.2799999999999995E-2</v>
      </c>
      <c r="AB3288" s="21">
        <f t="shared" si="969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1"/>
        <v>44014086.982070789</v>
      </c>
      <c r="AJ3288" s="19">
        <f t="shared" si="972"/>
        <v>6419974.0221889298</v>
      </c>
      <c r="AK3288" s="20">
        <f t="shared" si="978"/>
        <v>0.14586180158193709</v>
      </c>
      <c r="AL3288" s="17"/>
      <c r="AM3288" s="17"/>
      <c r="AN3288" s="17"/>
      <c r="AO3288" s="17"/>
      <c r="AP3288" s="28" t="str">
        <f t="shared" si="979"/>
        <v>20225</v>
      </c>
      <c r="AQ3288" s="28" t="str">
        <f t="shared" si="980"/>
        <v>20225JPY</v>
      </c>
      <c r="AR3288" s="206" t="str">
        <f t="shared" si="981"/>
        <v>YAMAHA_Mounter</v>
      </c>
      <c r="AS3288" s="22">
        <f t="shared" si="982"/>
        <v>5</v>
      </c>
      <c r="AT3288" s="24" t="str">
        <f t="shared" si="983"/>
        <v>4-6 months</v>
      </c>
      <c r="AU3288" s="22" t="s">
        <v>3745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6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5"/>
        <v>1.13</v>
      </c>
      <c r="Z3289" s="18">
        <f t="shared" si="967"/>
        <v>776666</v>
      </c>
      <c r="AA3289" s="13">
        <v>1.1599999999999999</v>
      </c>
      <c r="AB3289" s="21">
        <f t="shared" si="969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1"/>
        <v>21045012.884955753</v>
      </c>
      <c r="AJ3289" s="19">
        <f t="shared" si="972"/>
        <v>2650260.9603327443</v>
      </c>
      <c r="AK3289" s="20">
        <f t="shared" si="978"/>
        <v>0.12593296924172048</v>
      </c>
      <c r="AL3289" s="17"/>
      <c r="AM3289" s="17"/>
      <c r="AN3289" s="17"/>
      <c r="AO3289" s="17" t="s">
        <v>2411</v>
      </c>
      <c r="AP3289" s="28" t="str">
        <f t="shared" si="979"/>
        <v>20232</v>
      </c>
      <c r="AQ3289" s="28" t="str">
        <f t="shared" si="980"/>
        <v>20232RMB</v>
      </c>
      <c r="AR3289" s="206" t="str">
        <f t="shared" si="981"/>
        <v>YAMAHA_Mounter</v>
      </c>
      <c r="AS3289" s="22">
        <f t="shared" si="982"/>
        <v>1</v>
      </c>
      <c r="AT3289" s="24" t="str">
        <f t="shared" si="983"/>
        <v>0-3 months</v>
      </c>
      <c r="AU3289" s="22" t="s">
        <v>3751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6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5"/>
        <v>1.13</v>
      </c>
      <c r="Z3290" s="18">
        <f t="shared" si="967"/>
        <v>776666</v>
      </c>
      <c r="AA3290" s="13">
        <v>1.1599999999999999</v>
      </c>
      <c r="AB3290" s="21">
        <f t="shared" si="969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1"/>
        <v>21045012.884955753</v>
      </c>
      <c r="AJ3290" s="19">
        <f t="shared" si="972"/>
        <v>2650260.9603327443</v>
      </c>
      <c r="AK3290" s="20">
        <f t="shared" si="978"/>
        <v>0.12593296924172048</v>
      </c>
      <c r="AL3290" s="17"/>
      <c r="AM3290" s="17"/>
      <c r="AN3290" s="17"/>
      <c r="AO3290" s="17" t="s">
        <v>2411</v>
      </c>
      <c r="AP3290" s="28" t="str">
        <f t="shared" si="979"/>
        <v>20232</v>
      </c>
      <c r="AQ3290" s="28" t="str">
        <f t="shared" si="980"/>
        <v>20232RMB</v>
      </c>
      <c r="AR3290" s="206" t="str">
        <f t="shared" si="981"/>
        <v>YAMAHA_Mounter</v>
      </c>
      <c r="AS3290" s="22">
        <f t="shared" si="982"/>
        <v>1</v>
      </c>
      <c r="AT3290" s="24" t="str">
        <f t="shared" si="983"/>
        <v>0-3 months</v>
      </c>
      <c r="AU3290" s="22" t="s">
        <v>3751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6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5"/>
        <v>1.13</v>
      </c>
      <c r="Z3291" s="18">
        <f t="shared" si="967"/>
        <v>776666</v>
      </c>
      <c r="AA3291" s="13">
        <v>1.1599999999999999</v>
      </c>
      <c r="AB3291" s="21">
        <f t="shared" si="969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1"/>
        <v>21045012.884955753</v>
      </c>
      <c r="AJ3291" s="19">
        <f t="shared" si="972"/>
        <v>2650260.9603327443</v>
      </c>
      <c r="AK3291" s="20">
        <f t="shared" si="978"/>
        <v>0.12593296924172048</v>
      </c>
      <c r="AL3291" s="17"/>
      <c r="AM3291" s="17"/>
      <c r="AN3291" s="17"/>
      <c r="AO3291" s="17" t="s">
        <v>2411</v>
      </c>
      <c r="AP3291" s="28" t="str">
        <f t="shared" si="979"/>
        <v>20232</v>
      </c>
      <c r="AQ3291" s="28" t="str">
        <f t="shared" si="980"/>
        <v>20232RMB</v>
      </c>
      <c r="AR3291" s="206" t="str">
        <f t="shared" si="981"/>
        <v>YAMAHA_Mounter</v>
      </c>
      <c r="AS3291" s="22">
        <f t="shared" si="982"/>
        <v>1</v>
      </c>
      <c r="AT3291" s="24" t="str">
        <f t="shared" si="983"/>
        <v>0-3 months</v>
      </c>
      <c r="AU3291" s="22" t="s">
        <v>3751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6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5"/>
        <v>1.13</v>
      </c>
      <c r="Z3292" s="18">
        <f t="shared" si="967"/>
        <v>906000</v>
      </c>
      <c r="AA3292" s="13">
        <v>1.2</v>
      </c>
      <c r="AB3292" s="21">
        <f t="shared" si="969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1"/>
        <v>47458373.787610628</v>
      </c>
      <c r="AJ3292" s="19">
        <f t="shared" si="972"/>
        <v>7436880.1411522133</v>
      </c>
      <c r="AK3292" s="20">
        <f t="shared" si="978"/>
        <v>0.15670322321692506</v>
      </c>
      <c r="AL3292" s="17"/>
      <c r="AM3292" s="17"/>
      <c r="AN3292" s="17"/>
      <c r="AO3292" s="17"/>
      <c r="AP3292" s="28" t="str">
        <f t="shared" si="979"/>
        <v>20218</v>
      </c>
      <c r="AQ3292" s="28" t="str">
        <f t="shared" si="980"/>
        <v>20218RMB</v>
      </c>
      <c r="AR3292" s="206" t="str">
        <f t="shared" si="981"/>
        <v>YAMAHA_Mounter</v>
      </c>
      <c r="AS3292" s="22">
        <f t="shared" si="982"/>
        <v>4</v>
      </c>
      <c r="AT3292" s="24" t="str">
        <f t="shared" si="983"/>
        <v>4-6 months</v>
      </c>
      <c r="AU3292" s="22" t="s">
        <v>3751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6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5"/>
        <v>1.13</v>
      </c>
      <c r="Z3293" s="18">
        <f t="shared" si="967"/>
        <v>400000</v>
      </c>
      <c r="AA3293" s="13">
        <v>1.1299999999999999</v>
      </c>
      <c r="AB3293" s="21">
        <f t="shared" si="969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1"/>
        <v>47907808.356810622</v>
      </c>
      <c r="AJ3293" s="19">
        <f t="shared" si="972"/>
        <v>6027384.8806384448</v>
      </c>
      <c r="AK3293" s="20">
        <f t="shared" si="978"/>
        <v>0.12581216063459488</v>
      </c>
      <c r="AL3293" s="17"/>
      <c r="AM3293" s="17"/>
      <c r="AN3293" s="17"/>
      <c r="AO3293" s="17"/>
      <c r="AP3293" s="28" t="str">
        <f t="shared" si="979"/>
        <v>20209</v>
      </c>
      <c r="AQ3293" s="28" t="str">
        <f t="shared" si="980"/>
        <v>20209RMB</v>
      </c>
      <c r="AR3293" s="206" t="str">
        <f t="shared" si="981"/>
        <v>SHIMADZU</v>
      </c>
      <c r="AS3293" s="22">
        <f t="shared" si="982"/>
        <v>2</v>
      </c>
      <c r="AT3293" s="24" t="str">
        <f t="shared" si="983"/>
        <v>0-3 months</v>
      </c>
      <c r="AU3293" s="22" t="s">
        <v>3744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6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5"/>
        <v>1.13</v>
      </c>
      <c r="Z3294" s="18">
        <f t="shared" ref="Z3294:Z3357" si="987">IF(X3294="","",X3294*MAX(O3294,N3294))</f>
        <v>1400000</v>
      </c>
      <c r="AA3294" s="13">
        <v>1.1299999999999999</v>
      </c>
      <c r="AB3294" s="21">
        <f t="shared" si="969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1"/>
        <v>47907808.356810622</v>
      </c>
      <c r="AJ3294" s="19">
        <f t="shared" si="972"/>
        <v>6027384.8806384448</v>
      </c>
      <c r="AK3294" s="20">
        <f t="shared" si="978"/>
        <v>0.12581216063459488</v>
      </c>
      <c r="AL3294" s="17"/>
      <c r="AM3294" s="17"/>
      <c r="AN3294" s="17"/>
      <c r="AO3294" s="17"/>
      <c r="AP3294" s="28" t="str">
        <f t="shared" si="979"/>
        <v>20209</v>
      </c>
      <c r="AQ3294" s="28" t="str">
        <f t="shared" si="980"/>
        <v>20209RMB</v>
      </c>
      <c r="AR3294" s="206" t="str">
        <f t="shared" si="981"/>
        <v>SHIMADZU</v>
      </c>
      <c r="AS3294" s="22">
        <f t="shared" si="982"/>
        <v>2</v>
      </c>
      <c r="AT3294" s="24" t="str">
        <f t="shared" si="983"/>
        <v>0-3 months</v>
      </c>
      <c r="AU3294" s="22" t="s">
        <v>3744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6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7"/>
        <v>1050000</v>
      </c>
      <c r="AA3295" s="13">
        <v>1.095</v>
      </c>
      <c r="AB3295" s="21">
        <f t="shared" si="969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1"/>
        <v>28065694.408805311</v>
      </c>
      <c r="AJ3295" s="19">
        <f t="shared" si="972"/>
        <v>4157433.2906989697</v>
      </c>
      <c r="AK3295" s="20">
        <f t="shared" si="978"/>
        <v>0.14813220831602228</v>
      </c>
      <c r="AL3295" s="17"/>
      <c r="AM3295" s="17"/>
      <c r="AN3295" s="17"/>
      <c r="AO3295" s="17" t="s">
        <v>1286</v>
      </c>
      <c r="AP3295" s="28" t="str">
        <f t="shared" si="979"/>
        <v>20205</v>
      </c>
      <c r="AQ3295" s="28" t="str">
        <f t="shared" si="980"/>
        <v>20205RMB</v>
      </c>
      <c r="AR3295" s="206" t="str">
        <f t="shared" si="981"/>
        <v>YAMAHA_Mounter</v>
      </c>
      <c r="AS3295" s="22">
        <f t="shared" si="982"/>
        <v>1</v>
      </c>
      <c r="AT3295" s="24" t="str">
        <f t="shared" si="983"/>
        <v>0-3 months</v>
      </c>
      <c r="AU3295" s="22" t="s">
        <v>3744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6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7"/>
        <v>700000</v>
      </c>
      <c r="AA3296" s="13">
        <v>1.095</v>
      </c>
      <c r="AB3296" s="21">
        <f t="shared" si="969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1"/>
        <v>28065694.408805311</v>
      </c>
      <c r="AJ3296" s="19">
        <f t="shared" si="972"/>
        <v>4157433.2906989697</v>
      </c>
      <c r="AK3296" s="20">
        <f t="shared" si="978"/>
        <v>0.14813220831602228</v>
      </c>
      <c r="AL3296" s="17"/>
      <c r="AM3296" s="17"/>
      <c r="AN3296" s="17"/>
      <c r="AO3296" s="17" t="s">
        <v>1286</v>
      </c>
      <c r="AP3296" s="28" t="str">
        <f t="shared" si="979"/>
        <v>20205</v>
      </c>
      <c r="AQ3296" s="28" t="str">
        <f t="shared" si="980"/>
        <v>20205RMB</v>
      </c>
      <c r="AR3296" s="206" t="str">
        <f t="shared" si="981"/>
        <v>YAMAHA_Mounter</v>
      </c>
      <c r="AS3296" s="22">
        <f t="shared" si="982"/>
        <v>1</v>
      </c>
      <c r="AT3296" s="24" t="str">
        <f t="shared" si="983"/>
        <v>0-3 months</v>
      </c>
      <c r="AU3296" s="22" t="s">
        <v>3744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6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7"/>
        <v>14000000</v>
      </c>
      <c r="AA3297" s="13">
        <v>7.4899999999999994E-2</v>
      </c>
      <c r="AB3297" s="21">
        <f t="shared" si="969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1"/>
        <v>47907808.356810622</v>
      </c>
      <c r="AJ3297" s="19">
        <f t="shared" si="972"/>
        <v>6027384.8806384448</v>
      </c>
      <c r="AK3297" s="20">
        <f t="shared" si="978"/>
        <v>0.12581216063459488</v>
      </c>
      <c r="AL3297" s="17"/>
      <c r="AM3297" s="17"/>
      <c r="AN3297" s="17"/>
      <c r="AO3297" s="17"/>
      <c r="AP3297" s="28" t="str">
        <f t="shared" si="979"/>
        <v>20209</v>
      </c>
      <c r="AQ3297" s="28" t="str">
        <f t="shared" si="980"/>
        <v>20209JPY</v>
      </c>
      <c r="AR3297" s="206" t="str">
        <f t="shared" si="981"/>
        <v>YAMAHA_Mounter</v>
      </c>
      <c r="AS3297" s="22">
        <f t="shared" si="982"/>
        <v>2</v>
      </c>
      <c r="AT3297" s="24" t="str">
        <f t="shared" si="983"/>
        <v>0-3 months</v>
      </c>
      <c r="AU3297" s="22" t="s">
        <v>3746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6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7"/>
        <v>10000000</v>
      </c>
      <c r="AA3298" s="13">
        <v>7.4899999999999994E-2</v>
      </c>
      <c r="AB3298" s="21">
        <f t="shared" si="969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1"/>
        <v>47907808.356810622</v>
      </c>
      <c r="AJ3298" s="19">
        <f t="shared" si="972"/>
        <v>6027384.8806384448</v>
      </c>
      <c r="AK3298" s="20">
        <f t="shared" si="978"/>
        <v>0.12581216063459488</v>
      </c>
      <c r="AL3298" s="17"/>
      <c r="AM3298" s="17"/>
      <c r="AN3298" s="17"/>
      <c r="AO3298" s="17"/>
      <c r="AP3298" s="28" t="str">
        <f t="shared" si="979"/>
        <v>20209</v>
      </c>
      <c r="AQ3298" s="28" t="str">
        <f t="shared" si="980"/>
        <v>20209JPY</v>
      </c>
      <c r="AR3298" s="206" t="str">
        <f t="shared" si="981"/>
        <v>YAMAHA_Mounter</v>
      </c>
      <c r="AS3298" s="22">
        <f t="shared" si="982"/>
        <v>2</v>
      </c>
      <c r="AT3298" s="24" t="str">
        <f t="shared" si="983"/>
        <v>0-3 months</v>
      </c>
      <c r="AU3298" s="22" t="s">
        <v>3746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6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7"/>
        <v>12545000</v>
      </c>
      <c r="AA3299" s="13">
        <v>7.4899999999999994E-2</v>
      </c>
      <c r="AB3299" s="21">
        <f t="shared" si="969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1"/>
        <v>47907808.356810622</v>
      </c>
      <c r="AJ3299" s="19">
        <f t="shared" si="972"/>
        <v>6027384.8806384448</v>
      </c>
      <c r="AK3299" s="20">
        <f t="shared" si="978"/>
        <v>0.12581216063459488</v>
      </c>
      <c r="AL3299" s="17"/>
      <c r="AM3299" s="17"/>
      <c r="AN3299" s="17"/>
      <c r="AO3299" s="17"/>
      <c r="AP3299" s="28" t="str">
        <f t="shared" si="979"/>
        <v>20209</v>
      </c>
      <c r="AQ3299" s="28" t="str">
        <f t="shared" si="980"/>
        <v>20209JPY</v>
      </c>
      <c r="AR3299" s="206" t="str">
        <f t="shared" si="981"/>
        <v>YAMAHA_Mounter</v>
      </c>
      <c r="AS3299" s="22">
        <f t="shared" si="982"/>
        <v>1</v>
      </c>
      <c r="AT3299" s="24" t="str">
        <f t="shared" si="983"/>
        <v>0-3 months</v>
      </c>
      <c r="AU3299" s="22" t="s">
        <v>3745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6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7"/>
        <v>12000000</v>
      </c>
      <c r="AA3300" s="13">
        <v>7.5700000000000003E-2</v>
      </c>
      <c r="AB3300" s="21">
        <f t="shared" si="969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1"/>
        <v>31097187.02948761</v>
      </c>
      <c r="AJ3300" s="19">
        <f t="shared" si="972"/>
        <v>3892353.6644401965</v>
      </c>
      <c r="AK3300" s="20">
        <f t="shared" si="978"/>
        <v>0.12516738767237401</v>
      </c>
      <c r="AL3300" s="17"/>
      <c r="AM3300" s="17"/>
      <c r="AN3300" s="17"/>
      <c r="AO3300" s="17"/>
      <c r="AP3300" s="28" t="str">
        <f t="shared" si="979"/>
        <v>20212</v>
      </c>
      <c r="AQ3300" s="28" t="str">
        <f t="shared" si="980"/>
        <v>20212JPY</v>
      </c>
      <c r="AR3300" s="206" t="str">
        <f t="shared" si="981"/>
        <v>YAMAHA_Mounter</v>
      </c>
      <c r="AS3300" s="22">
        <f t="shared" si="982"/>
        <v>3</v>
      </c>
      <c r="AT3300" s="24" t="str">
        <f t="shared" si="983"/>
        <v>0-3 months</v>
      </c>
      <c r="AU3300" s="22" t="s">
        <v>3745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6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7"/>
        <v>12660000</v>
      </c>
      <c r="AA3301" s="22">
        <v>5.4100000000000002E-2</v>
      </c>
      <c r="AB3301" s="21">
        <f t="shared" si="969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1"/>
        <v>10524262.405309737</v>
      </c>
      <c r="AJ3301" s="27">
        <f t="shared" si="972"/>
        <v>1479050.9527127435</v>
      </c>
      <c r="AK3301" s="28">
        <f t="shared" si="978"/>
        <v>0.14053725532028996</v>
      </c>
      <c r="AL3301" s="24"/>
      <c r="AM3301" s="24"/>
      <c r="AN3301" s="24"/>
      <c r="AO3301" s="24"/>
      <c r="AP3301" s="28" t="str">
        <f t="shared" si="979"/>
        <v>20242</v>
      </c>
      <c r="AQ3301" s="28" t="str">
        <f t="shared" si="980"/>
        <v>20242JPY</v>
      </c>
      <c r="AR3301" s="206" t="str">
        <f t="shared" si="981"/>
        <v>YAMAHA_Mounter</v>
      </c>
      <c r="AS3301" s="22">
        <f t="shared" si="982"/>
        <v>1</v>
      </c>
      <c r="AT3301" s="24" t="str">
        <f t="shared" si="983"/>
        <v>0-3 months</v>
      </c>
      <c r="AU3301" s="22" t="s">
        <v>3745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6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7"/>
        <v>735998</v>
      </c>
      <c r="AA3302" s="22">
        <v>1.08</v>
      </c>
      <c r="AB3302" s="197">
        <f t="shared" si="969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1"/>
        <v>25354039.366920356</v>
      </c>
      <c r="AJ3302" s="200">
        <f t="shared" si="972"/>
        <v>3028631.2816309328</v>
      </c>
      <c r="AK3302" s="201">
        <f t="shared" si="978"/>
        <v>0.11945360018579192</v>
      </c>
      <c r="AL3302" s="24"/>
      <c r="AM3302" s="24"/>
      <c r="AN3302" s="24"/>
      <c r="AO3302" s="24"/>
      <c r="AP3302" s="105" t="str">
        <f t="shared" si="979"/>
        <v>20248</v>
      </c>
      <c r="AQ3302" s="28" t="str">
        <f t="shared" si="980"/>
        <v>20248RMB</v>
      </c>
      <c r="AR3302" s="206" t="str">
        <f t="shared" si="981"/>
        <v>YAMAHA_Mounter</v>
      </c>
      <c r="AS3302" s="22">
        <f t="shared" si="982"/>
        <v>2</v>
      </c>
      <c r="AT3302" s="24" t="str">
        <f t="shared" si="983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6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7"/>
        <v>982000</v>
      </c>
      <c r="AA3303" s="13">
        <v>1.135</v>
      </c>
      <c r="AB3303" s="21">
        <f t="shared" si="969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1"/>
        <v>28011162.254106201</v>
      </c>
      <c r="AJ3303" s="19">
        <f t="shared" si="972"/>
        <v>3401347.1124888416</v>
      </c>
      <c r="AK3303" s="20">
        <f t="shared" si="978"/>
        <v>0.12142827497242578</v>
      </c>
      <c r="AL3303" s="17"/>
      <c r="AM3303" s="17"/>
      <c r="AN3303" s="17"/>
      <c r="AO3303" s="17"/>
      <c r="AP3303" s="28" t="str">
        <f t="shared" si="979"/>
        <v>202010</v>
      </c>
      <c r="AQ3303" s="28" t="str">
        <f t="shared" si="980"/>
        <v>202010RMB</v>
      </c>
      <c r="AR3303" s="206" t="str">
        <f t="shared" si="981"/>
        <v>YAMAHA_Mounter</v>
      </c>
      <c r="AS3303" s="22">
        <f t="shared" si="982"/>
        <v>1</v>
      </c>
      <c r="AT3303" s="24" t="str">
        <f t="shared" si="983"/>
        <v>0-3 months</v>
      </c>
      <c r="AU3303" s="22" t="s">
        <v>3744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6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7"/>
        <v>15000000</v>
      </c>
      <c r="AA3304" s="13">
        <v>7.2300000000000003E-2</v>
      </c>
      <c r="AB3304" s="21">
        <f t="shared" si="969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1"/>
        <v>32843736.557277881</v>
      </c>
      <c r="AJ3304" s="19">
        <f t="shared" si="972"/>
        <v>3921470.6822663117</v>
      </c>
      <c r="AK3304" s="20">
        <f t="shared" si="978"/>
        <v>0.11939782416131177</v>
      </c>
      <c r="AL3304" s="17"/>
      <c r="AM3304" s="17"/>
      <c r="AN3304" s="17"/>
      <c r="AO3304" s="17"/>
      <c r="AP3304" s="28" t="str">
        <f t="shared" si="979"/>
        <v>20194</v>
      </c>
      <c r="AQ3304" s="28" t="str">
        <f t="shared" si="980"/>
        <v>20194JPY</v>
      </c>
      <c r="AR3304" s="206" t="str">
        <f t="shared" si="981"/>
        <v>YAMAHA_Mounter</v>
      </c>
      <c r="AS3304" s="22">
        <f t="shared" si="982"/>
        <v>1</v>
      </c>
      <c r="AT3304" s="24" t="str">
        <f t="shared" si="983"/>
        <v>0-3 months</v>
      </c>
      <c r="AU3304" s="22" t="s">
        <v>3745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6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7"/>
        <v>12000000</v>
      </c>
      <c r="AA3305" s="13">
        <v>7.2300000000000003E-2</v>
      </c>
      <c r="AB3305" s="21">
        <f t="shared" si="969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1"/>
        <v>32843736.557277881</v>
      </c>
      <c r="AJ3305" s="19">
        <f t="shared" si="972"/>
        <v>3921470.6822663117</v>
      </c>
      <c r="AK3305" s="20">
        <f t="shared" si="978"/>
        <v>0.11939782416131177</v>
      </c>
      <c r="AL3305" s="17"/>
      <c r="AM3305" s="17"/>
      <c r="AN3305" s="17"/>
      <c r="AO3305" s="17"/>
      <c r="AP3305" s="28" t="str">
        <f t="shared" si="979"/>
        <v>20194</v>
      </c>
      <c r="AQ3305" s="28" t="str">
        <f t="shared" si="980"/>
        <v>20194JPY</v>
      </c>
      <c r="AR3305" s="206" t="str">
        <f t="shared" si="981"/>
        <v>YAMAHA_Mounter</v>
      </c>
      <c r="AS3305" s="22">
        <f t="shared" si="982"/>
        <v>1</v>
      </c>
      <c r="AT3305" s="24" t="str">
        <f t="shared" si="983"/>
        <v>0-3 months</v>
      </c>
      <c r="AU3305" s="22" t="s">
        <v>3745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6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7"/>
        <v>15000000</v>
      </c>
      <c r="AA3306" s="13">
        <v>7.2900000000000006E-2</v>
      </c>
      <c r="AB3306" s="21">
        <f t="shared" si="969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1"/>
        <v>27318180.088495575</v>
      </c>
      <c r="AJ3306" s="19">
        <f t="shared" si="972"/>
        <v>3014099.212353982</v>
      </c>
      <c r="AK3306" s="20">
        <f t="shared" si="978"/>
        <v>0.11033308963444827</v>
      </c>
      <c r="AL3306" s="17"/>
      <c r="AM3306" s="17"/>
      <c r="AN3306" s="17"/>
      <c r="AO3306" s="17"/>
      <c r="AP3306" s="28" t="str">
        <f t="shared" si="979"/>
        <v>201912</v>
      </c>
      <c r="AQ3306" s="28" t="str">
        <f t="shared" si="980"/>
        <v>201912JPY</v>
      </c>
      <c r="AR3306" s="206" t="str">
        <f t="shared" si="981"/>
        <v>YAMAHA_Mounter</v>
      </c>
      <c r="AS3306" s="22">
        <f t="shared" si="982"/>
        <v>2</v>
      </c>
      <c r="AT3306" s="24" t="str">
        <f t="shared" si="983"/>
        <v>0-3 months</v>
      </c>
      <c r="AU3306" s="22" t="s">
        <v>3745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6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7"/>
        <v>15000000</v>
      </c>
      <c r="AA3307" s="13">
        <v>7.2900000000000006E-2</v>
      </c>
      <c r="AB3307" s="21">
        <f t="shared" si="969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1"/>
        <v>27318180.088495575</v>
      </c>
      <c r="AJ3307" s="19">
        <f t="shared" si="972"/>
        <v>3014099.212353982</v>
      </c>
      <c r="AK3307" s="20">
        <f t="shared" si="978"/>
        <v>0.11033308963444827</v>
      </c>
      <c r="AL3307" s="17"/>
      <c r="AM3307" s="17"/>
      <c r="AN3307" s="17"/>
      <c r="AO3307" s="17"/>
      <c r="AP3307" s="28" t="str">
        <f t="shared" si="979"/>
        <v>201912</v>
      </c>
      <c r="AQ3307" s="28" t="str">
        <f t="shared" si="980"/>
        <v>201912JPY</v>
      </c>
      <c r="AR3307" s="206" t="str">
        <f t="shared" si="981"/>
        <v>YAMAHA_Mounter</v>
      </c>
      <c r="AS3307" s="22">
        <f t="shared" si="982"/>
        <v>2</v>
      </c>
      <c r="AT3307" s="24" t="str">
        <f t="shared" si="983"/>
        <v>0-3 months</v>
      </c>
      <c r="AU3307" s="22" t="s">
        <v>3745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6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7"/>
        <v>12000000</v>
      </c>
      <c r="AA3308" s="13">
        <v>7.2900000000000006E-2</v>
      </c>
      <c r="AB3308" s="21">
        <f t="shared" si="969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1"/>
        <v>27318180.088495575</v>
      </c>
      <c r="AJ3308" s="19">
        <f t="shared" si="972"/>
        <v>3014099.212353982</v>
      </c>
      <c r="AK3308" s="20">
        <f t="shared" si="978"/>
        <v>0.11033308963444827</v>
      </c>
      <c r="AL3308" s="17"/>
      <c r="AM3308" s="17"/>
      <c r="AN3308" s="17"/>
      <c r="AO3308" s="17"/>
      <c r="AP3308" s="28" t="str">
        <f t="shared" si="979"/>
        <v>201912</v>
      </c>
      <c r="AQ3308" s="28" t="str">
        <f t="shared" si="980"/>
        <v>201912JPY</v>
      </c>
      <c r="AR3308" s="206" t="str">
        <f t="shared" si="981"/>
        <v>YAMAHA_Mounter</v>
      </c>
      <c r="AS3308" s="22">
        <f t="shared" si="982"/>
        <v>2</v>
      </c>
      <c r="AT3308" s="24" t="str">
        <f t="shared" si="983"/>
        <v>0-3 months</v>
      </c>
      <c r="AU3308" s="22" t="s">
        <v>3745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6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7"/>
        <v>12000000</v>
      </c>
      <c r="AA3309" s="13">
        <v>7.2900000000000006E-2</v>
      </c>
      <c r="AB3309" s="21">
        <f t="shared" si="969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1"/>
        <v>27318180.088495575</v>
      </c>
      <c r="AJ3309" s="19">
        <f t="shared" si="972"/>
        <v>3014099.212353982</v>
      </c>
      <c r="AK3309" s="20">
        <f t="shared" si="978"/>
        <v>0.11033308963444827</v>
      </c>
      <c r="AL3309" s="17"/>
      <c r="AM3309" s="17"/>
      <c r="AN3309" s="17"/>
      <c r="AO3309" s="17"/>
      <c r="AP3309" s="28" t="str">
        <f t="shared" si="979"/>
        <v>201912</v>
      </c>
      <c r="AQ3309" s="28" t="str">
        <f t="shared" si="980"/>
        <v>201912JPY</v>
      </c>
      <c r="AR3309" s="206" t="str">
        <f t="shared" si="981"/>
        <v>YAMAHA_Mounter</v>
      </c>
      <c r="AS3309" s="22">
        <f t="shared" si="982"/>
        <v>2</v>
      </c>
      <c r="AT3309" s="24" t="str">
        <f t="shared" si="983"/>
        <v>0-3 months</v>
      </c>
      <c r="AU3309" s="22" t="s">
        <v>3745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6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7"/>
        <v>15000000</v>
      </c>
      <c r="AA3310" s="13">
        <v>7.5700000000000003E-2</v>
      </c>
      <c r="AB3310" s="21">
        <f t="shared" si="969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1"/>
        <v>37969334.083628319</v>
      </c>
      <c r="AJ3310" s="19">
        <f t="shared" si="972"/>
        <v>5097226.4551657084</v>
      </c>
      <c r="AK3310" s="20">
        <f t="shared" si="978"/>
        <v>0.13424587441904964</v>
      </c>
      <c r="AL3310" s="17"/>
      <c r="AM3310" s="17"/>
      <c r="AN3310" s="17"/>
      <c r="AO3310" s="17"/>
      <c r="AP3310" s="28" t="str">
        <f t="shared" si="979"/>
        <v>20208</v>
      </c>
      <c r="AQ3310" s="28" t="str">
        <f t="shared" si="980"/>
        <v>20208JPY</v>
      </c>
      <c r="AR3310" s="206" t="str">
        <f t="shared" si="981"/>
        <v>YAMAHA_Mounter</v>
      </c>
      <c r="AS3310" s="22">
        <f t="shared" si="982"/>
        <v>10</v>
      </c>
      <c r="AT3310" s="24" t="str">
        <f t="shared" si="983"/>
        <v>&gt; 6 months</v>
      </c>
      <c r="AU3310" s="22" t="s">
        <v>3745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6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7"/>
        <v>12000000</v>
      </c>
      <c r="AA3311" s="13">
        <v>7.5700000000000003E-2</v>
      </c>
      <c r="AB3311" s="21">
        <f t="shared" si="969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1"/>
        <v>37969334.083628319</v>
      </c>
      <c r="AJ3311" s="19">
        <f t="shared" si="972"/>
        <v>5097226.4551657084</v>
      </c>
      <c r="AK3311" s="20">
        <f t="shared" si="978"/>
        <v>0.13424587441904964</v>
      </c>
      <c r="AL3311" s="17"/>
      <c r="AM3311" s="17"/>
      <c r="AN3311" s="17"/>
      <c r="AO3311" s="17"/>
      <c r="AP3311" s="28" t="str">
        <f t="shared" si="979"/>
        <v>20208</v>
      </c>
      <c r="AQ3311" s="28" t="str">
        <f t="shared" si="980"/>
        <v>20208JPY</v>
      </c>
      <c r="AR3311" s="206" t="str">
        <f t="shared" si="981"/>
        <v>YAMAHA_Mounter</v>
      </c>
      <c r="AS3311" s="22">
        <f t="shared" si="982"/>
        <v>10</v>
      </c>
      <c r="AT3311" s="24" t="str">
        <f t="shared" si="983"/>
        <v>&gt; 6 months</v>
      </c>
      <c r="AU3311" s="22" t="s">
        <v>3745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6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88">IF(W3312="RMB","1.13", "1")</f>
        <v>1</v>
      </c>
      <c r="Z3312" s="18">
        <f t="shared" si="987"/>
        <v>14500000</v>
      </c>
      <c r="AA3312" s="13">
        <v>6.54E-2</v>
      </c>
      <c r="AB3312" s="21">
        <f t="shared" si="969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1"/>
        <v>46600814.041769907</v>
      </c>
      <c r="AJ3312" s="19">
        <f t="shared" si="972"/>
        <v>5956366.3435927071</v>
      </c>
      <c r="AK3312" s="20">
        <f t="shared" si="978"/>
        <v>0.1278167874546958</v>
      </c>
      <c r="AL3312" s="17"/>
      <c r="AM3312" s="17"/>
      <c r="AN3312" s="17"/>
      <c r="AO3312" s="17"/>
      <c r="AP3312" s="28" t="str">
        <f t="shared" si="979"/>
        <v>20224</v>
      </c>
      <c r="AQ3312" s="28" t="str">
        <f t="shared" si="980"/>
        <v>20224JPY</v>
      </c>
      <c r="AR3312" s="206" t="str">
        <f t="shared" si="981"/>
        <v>YAMAHA_Mounter</v>
      </c>
      <c r="AS3312" s="22">
        <f t="shared" si="982"/>
        <v>4</v>
      </c>
      <c r="AT3312" s="24" t="str">
        <f t="shared" si="983"/>
        <v>4-6 months</v>
      </c>
      <c r="AU3312" s="22" t="s">
        <v>3745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6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88"/>
        <v>1</v>
      </c>
      <c r="Z3313" s="18">
        <f t="shared" si="987"/>
        <v>14500000</v>
      </c>
      <c r="AA3313" s="13">
        <v>6.54E-2</v>
      </c>
      <c r="AB3313" s="21">
        <f t="shared" si="969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1"/>
        <v>46600814.041769907</v>
      </c>
      <c r="AJ3313" s="19">
        <f t="shared" si="972"/>
        <v>5956366.3435927071</v>
      </c>
      <c r="AK3313" s="20">
        <f t="shared" si="978"/>
        <v>0.1278167874546958</v>
      </c>
      <c r="AL3313" s="17"/>
      <c r="AM3313" s="17"/>
      <c r="AN3313" s="17"/>
      <c r="AO3313" s="17"/>
      <c r="AP3313" s="28" t="str">
        <f t="shared" si="979"/>
        <v>20224</v>
      </c>
      <c r="AQ3313" s="28" t="str">
        <f t="shared" si="980"/>
        <v>20224JPY</v>
      </c>
      <c r="AR3313" s="206" t="str">
        <f t="shared" si="981"/>
        <v>YAMAHA_Mounter</v>
      </c>
      <c r="AS3313" s="22">
        <f t="shared" si="982"/>
        <v>4</v>
      </c>
      <c r="AT3313" s="24" t="str">
        <f t="shared" si="983"/>
        <v>4-6 months</v>
      </c>
      <c r="AU3313" s="22" t="s">
        <v>3745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6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88"/>
        <v>1</v>
      </c>
      <c r="Z3314" s="18">
        <f t="shared" si="987"/>
        <v>11000000</v>
      </c>
      <c r="AA3314" s="13">
        <v>6.54E-2</v>
      </c>
      <c r="AB3314" s="21">
        <f t="shared" si="969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1"/>
        <v>46600814.041769907</v>
      </c>
      <c r="AJ3314" s="19">
        <f t="shared" si="972"/>
        <v>5956366.3435927071</v>
      </c>
      <c r="AK3314" s="20">
        <f t="shared" si="978"/>
        <v>0.1278167874546958</v>
      </c>
      <c r="AL3314" s="17"/>
      <c r="AM3314" s="17"/>
      <c r="AN3314" s="17"/>
      <c r="AO3314" s="17"/>
      <c r="AP3314" s="28" t="str">
        <f t="shared" si="979"/>
        <v>20224</v>
      </c>
      <c r="AQ3314" s="28" t="str">
        <f t="shared" si="980"/>
        <v>20224JPY</v>
      </c>
      <c r="AR3314" s="206" t="str">
        <f t="shared" si="981"/>
        <v>YAMAHA_Mounter</v>
      </c>
      <c r="AS3314" s="22">
        <f t="shared" si="982"/>
        <v>4</v>
      </c>
      <c r="AT3314" s="24" t="str">
        <f t="shared" si="983"/>
        <v>4-6 months</v>
      </c>
      <c r="AU3314" s="22" t="s">
        <v>3745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6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88"/>
        <v>1</v>
      </c>
      <c r="Z3315" s="18">
        <f t="shared" si="987"/>
        <v>11000000</v>
      </c>
      <c r="AA3315" s="13">
        <v>6.54E-2</v>
      </c>
      <c r="AB3315" s="21">
        <f t="shared" si="969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1"/>
        <v>46600814.041769907</v>
      </c>
      <c r="AJ3315" s="19">
        <f t="shared" si="972"/>
        <v>5956366.3435927071</v>
      </c>
      <c r="AK3315" s="20">
        <f t="shared" si="978"/>
        <v>0.1278167874546958</v>
      </c>
      <c r="AL3315" s="17"/>
      <c r="AM3315" s="17"/>
      <c r="AN3315" s="17"/>
      <c r="AO3315" s="17"/>
      <c r="AP3315" s="28" t="str">
        <f t="shared" si="979"/>
        <v>20224</v>
      </c>
      <c r="AQ3315" s="28" t="str">
        <f t="shared" si="980"/>
        <v>20224JPY</v>
      </c>
      <c r="AR3315" s="206" t="str">
        <f t="shared" si="981"/>
        <v>YAMAHA_Mounter</v>
      </c>
      <c r="AS3315" s="22">
        <f t="shared" si="982"/>
        <v>4</v>
      </c>
      <c r="AT3315" s="24" t="str">
        <f t="shared" si="983"/>
        <v>4-6 months</v>
      </c>
      <c r="AU3315" s="22" t="s">
        <v>3745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6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88"/>
        <v>1</v>
      </c>
      <c r="Z3316" s="18">
        <f t="shared" si="987"/>
        <v>14500000</v>
      </c>
      <c r="AA3316" s="13">
        <v>5.7799999999999997E-2</v>
      </c>
      <c r="AB3316" s="21">
        <f t="shared" si="969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1"/>
        <v>15948576.102654871</v>
      </c>
      <c r="AJ3316" s="19">
        <f t="shared" si="972"/>
        <v>2739848.7004853105</v>
      </c>
      <c r="AK3316" s="20">
        <f t="shared" si="978"/>
        <v>0.17179268436567344</v>
      </c>
      <c r="AL3316" s="17"/>
      <c r="AM3316" s="17"/>
      <c r="AN3316" s="17"/>
      <c r="AO3316" s="17"/>
      <c r="AP3316" s="28" t="str">
        <f t="shared" si="979"/>
        <v>20229</v>
      </c>
      <c r="AQ3316" s="28" t="str">
        <f t="shared" si="980"/>
        <v>20229JPY</v>
      </c>
      <c r="AR3316" s="206" t="str">
        <f t="shared" si="981"/>
        <v>YAMAHA_Mounter</v>
      </c>
      <c r="AS3316" s="22">
        <f t="shared" si="982"/>
        <v>9</v>
      </c>
      <c r="AT3316" s="24" t="str">
        <f t="shared" si="983"/>
        <v>&gt; 6 months</v>
      </c>
      <c r="AU3316" s="22" t="s">
        <v>3745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6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88"/>
        <v>1</v>
      </c>
      <c r="Z3317" s="18">
        <f t="shared" si="987"/>
        <v>14500000</v>
      </c>
      <c r="AA3317" s="13">
        <v>5.7799999999999997E-2</v>
      </c>
      <c r="AB3317" s="21">
        <f t="shared" si="969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1"/>
        <v>15948576.102654871</v>
      </c>
      <c r="AJ3317" s="19">
        <f t="shared" si="972"/>
        <v>2739848.7004853105</v>
      </c>
      <c r="AK3317" s="20">
        <f t="shared" si="978"/>
        <v>0.17179268436567344</v>
      </c>
      <c r="AL3317" s="17"/>
      <c r="AM3317" s="17"/>
      <c r="AN3317" s="17"/>
      <c r="AO3317" s="17"/>
      <c r="AP3317" s="28" t="str">
        <f t="shared" si="979"/>
        <v>20229</v>
      </c>
      <c r="AQ3317" s="28" t="str">
        <f t="shared" si="980"/>
        <v>20229JPY</v>
      </c>
      <c r="AR3317" s="206" t="str">
        <f t="shared" si="981"/>
        <v>YAMAHA_Mounter</v>
      </c>
      <c r="AS3317" s="22">
        <f t="shared" si="982"/>
        <v>9</v>
      </c>
      <c r="AT3317" s="24" t="str">
        <f t="shared" si="983"/>
        <v>&gt; 6 months</v>
      </c>
      <c r="AU3317" s="22" t="s">
        <v>3745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6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88"/>
        <v>1</v>
      </c>
      <c r="Z3318" s="18">
        <f t="shared" si="987"/>
        <v>11000000</v>
      </c>
      <c r="AA3318" s="13">
        <v>5.7799999999999997E-2</v>
      </c>
      <c r="AB3318" s="21">
        <f t="shared" si="969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1"/>
        <v>15948576.102654871</v>
      </c>
      <c r="AJ3318" s="19">
        <f t="shared" si="972"/>
        <v>2739848.7004853105</v>
      </c>
      <c r="AK3318" s="20">
        <f t="shared" si="978"/>
        <v>0.17179268436567344</v>
      </c>
      <c r="AL3318" s="17"/>
      <c r="AM3318" s="17"/>
      <c r="AN3318" s="17"/>
      <c r="AO3318" s="17"/>
      <c r="AP3318" s="28" t="str">
        <f t="shared" si="979"/>
        <v>20229</v>
      </c>
      <c r="AQ3318" s="28" t="str">
        <f t="shared" si="980"/>
        <v>20229JPY</v>
      </c>
      <c r="AR3318" s="206" t="str">
        <f t="shared" si="981"/>
        <v>YAMAHA_Mounter</v>
      </c>
      <c r="AS3318" s="22">
        <f t="shared" si="982"/>
        <v>9</v>
      </c>
      <c r="AT3318" s="24" t="str">
        <f t="shared" si="983"/>
        <v>&gt; 6 months</v>
      </c>
      <c r="AU3318" s="22" t="s">
        <v>3745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6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88"/>
        <v>1</v>
      </c>
      <c r="Z3319" s="18">
        <f t="shared" si="987"/>
        <v>11000000</v>
      </c>
      <c r="AA3319" s="13">
        <v>5.7799999999999997E-2</v>
      </c>
      <c r="AB3319" s="21">
        <f t="shared" si="969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1"/>
        <v>15948576.102654871</v>
      </c>
      <c r="AJ3319" s="19">
        <f t="shared" si="972"/>
        <v>2739848.7004853105</v>
      </c>
      <c r="AK3319" s="20">
        <f t="shared" si="978"/>
        <v>0.17179268436567344</v>
      </c>
      <c r="AL3319" s="17"/>
      <c r="AM3319" s="17"/>
      <c r="AN3319" s="17"/>
      <c r="AO3319" s="17"/>
      <c r="AP3319" s="28" t="str">
        <f t="shared" si="979"/>
        <v>20229</v>
      </c>
      <c r="AQ3319" s="28" t="str">
        <f t="shared" si="980"/>
        <v>20229JPY</v>
      </c>
      <c r="AR3319" s="206" t="str">
        <f t="shared" si="981"/>
        <v>YAMAHA_Mounter</v>
      </c>
      <c r="AS3319" s="22">
        <f t="shared" si="982"/>
        <v>9</v>
      </c>
      <c r="AT3319" s="24" t="str">
        <f t="shared" si="983"/>
        <v>&gt; 6 months</v>
      </c>
      <c r="AU3319" s="22" t="s">
        <v>3745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6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7"/>
        <v>15000000</v>
      </c>
      <c r="AA3320" s="13">
        <v>7.5200000000000003E-2</v>
      </c>
      <c r="AB3320" s="21">
        <f t="shared" si="969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1"/>
        <v>499582152.5142017</v>
      </c>
      <c r="AJ3320" s="19">
        <f t="shared" si="972"/>
        <v>59520528.679470733</v>
      </c>
      <c r="AK3320" s="20">
        <f t="shared" si="978"/>
        <v>0.11914062257814291</v>
      </c>
      <c r="AL3320" s="17"/>
      <c r="AM3320" s="17"/>
      <c r="AN3320" s="17"/>
      <c r="AO3320" s="17"/>
      <c r="AP3320" s="28" t="str">
        <f t="shared" si="979"/>
        <v>CancelCancel</v>
      </c>
      <c r="AQ3320" s="28" t="str">
        <f t="shared" si="980"/>
        <v>CancelCancelJPY</v>
      </c>
      <c r="AR3320" s="206" t="str">
        <f t="shared" si="981"/>
        <v>YAMAHA_Mounter</v>
      </c>
      <c r="AS3320" s="22" t="str">
        <f t="shared" si="982"/>
        <v/>
      </c>
      <c r="AT3320" s="24" t="str">
        <f t="shared" si="983"/>
        <v/>
      </c>
      <c r="AU3320" s="22" t="s">
        <v>3745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6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7"/>
        <v>15000000</v>
      </c>
      <c r="AA3321" s="13">
        <v>7.3999999999999996E-2</v>
      </c>
      <c r="AB3321" s="21">
        <f t="shared" si="969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1"/>
        <v>499582152.5142017</v>
      </c>
      <c r="AJ3321" s="19">
        <f t="shared" si="972"/>
        <v>59520528.679470733</v>
      </c>
      <c r="AK3321" s="20">
        <f t="shared" si="978"/>
        <v>0.11914062257814291</v>
      </c>
      <c r="AL3321" s="17"/>
      <c r="AM3321" s="17"/>
      <c r="AN3321" s="17"/>
      <c r="AO3321" s="17"/>
      <c r="AP3321" s="28" t="str">
        <f t="shared" si="979"/>
        <v>CancelCancel</v>
      </c>
      <c r="AQ3321" s="28" t="str">
        <f t="shared" si="980"/>
        <v>CancelCancelJPY</v>
      </c>
      <c r="AR3321" s="206" t="str">
        <f t="shared" si="981"/>
        <v>YAMAHA_Mounter</v>
      </c>
      <c r="AS3321" s="22" t="str">
        <f t="shared" si="982"/>
        <v/>
      </c>
      <c r="AT3321" s="24" t="str">
        <f t="shared" si="983"/>
        <v/>
      </c>
      <c r="AU3321" s="22" t="s">
        <v>3745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6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7"/>
        <v>15000000</v>
      </c>
      <c r="AA3322" s="13">
        <v>7.3999999999999996E-2</v>
      </c>
      <c r="AB3322" s="21">
        <f t="shared" si="969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1"/>
        <v>499582152.5142017</v>
      </c>
      <c r="AJ3322" s="19">
        <f t="shared" si="972"/>
        <v>59520528.679470733</v>
      </c>
      <c r="AK3322" s="20">
        <f t="shared" si="978"/>
        <v>0.11914062257814291</v>
      </c>
      <c r="AL3322" s="17"/>
      <c r="AM3322" s="17"/>
      <c r="AN3322" s="17"/>
      <c r="AO3322" s="17"/>
      <c r="AP3322" s="28" t="str">
        <f t="shared" si="979"/>
        <v>CancelCancel</v>
      </c>
      <c r="AQ3322" s="28" t="str">
        <f t="shared" si="980"/>
        <v>CancelCancelJPY</v>
      </c>
      <c r="AR3322" s="206" t="str">
        <f t="shared" si="981"/>
        <v>YAMAHA_Mounter</v>
      </c>
      <c r="AS3322" s="22" t="str">
        <f t="shared" si="982"/>
        <v/>
      </c>
      <c r="AT3322" s="24" t="str">
        <f t="shared" si="983"/>
        <v/>
      </c>
      <c r="AU3322" s="22" t="s">
        <v>3745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6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7"/>
        <v>12000000</v>
      </c>
      <c r="AA3323" s="13">
        <v>7.3999999999999996E-2</v>
      </c>
      <c r="AB3323" s="21">
        <f t="shared" si="969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1"/>
        <v>499582152.5142017</v>
      </c>
      <c r="AJ3323" s="19">
        <f t="shared" si="972"/>
        <v>59520528.679470733</v>
      </c>
      <c r="AK3323" s="20">
        <f t="shared" si="978"/>
        <v>0.11914062257814291</v>
      </c>
      <c r="AL3323" s="17"/>
      <c r="AM3323" s="17"/>
      <c r="AN3323" s="17"/>
      <c r="AO3323" s="17"/>
      <c r="AP3323" s="28" t="str">
        <f t="shared" si="979"/>
        <v>CancelCancel</v>
      </c>
      <c r="AQ3323" s="28" t="str">
        <f t="shared" si="980"/>
        <v>CancelCancelJPY</v>
      </c>
      <c r="AR3323" s="206" t="str">
        <f t="shared" si="981"/>
        <v>YAMAHA_Mounter</v>
      </c>
      <c r="AS3323" s="22" t="str">
        <f t="shared" si="982"/>
        <v/>
      </c>
      <c r="AT3323" s="24" t="str">
        <f t="shared" si="983"/>
        <v/>
      </c>
      <c r="AU3323" s="22" t="s">
        <v>3745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6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7"/>
        <v>12000000</v>
      </c>
      <c r="AA3324" s="13">
        <v>7.3999999999999996E-2</v>
      </c>
      <c r="AB3324" s="21">
        <f t="shared" ref="AB3324:AB3345" si="989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1"/>
        <v>499582152.5142017</v>
      </c>
      <c r="AJ3324" s="19">
        <f t="shared" si="972"/>
        <v>59520528.679470733</v>
      </c>
      <c r="AK3324" s="20">
        <f t="shared" si="978"/>
        <v>0.11914062257814291</v>
      </c>
      <c r="AL3324" s="17"/>
      <c r="AM3324" s="17"/>
      <c r="AN3324" s="17"/>
      <c r="AO3324" s="17"/>
      <c r="AP3324" s="28" t="str">
        <f t="shared" si="979"/>
        <v>CancelCancel</v>
      </c>
      <c r="AQ3324" s="28" t="str">
        <f t="shared" si="980"/>
        <v>CancelCancelJPY</v>
      </c>
      <c r="AR3324" s="206" t="str">
        <f t="shared" si="981"/>
        <v>YAMAHA_Mounter</v>
      </c>
      <c r="AS3324" s="22" t="str">
        <f t="shared" si="982"/>
        <v/>
      </c>
      <c r="AT3324" s="24" t="str">
        <f t="shared" si="983"/>
        <v/>
      </c>
      <c r="AU3324" s="22" t="s">
        <v>3745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6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7"/>
        <v>12000000</v>
      </c>
      <c r="AA3325" s="13">
        <v>7.3999999999999996E-2</v>
      </c>
      <c r="AB3325" s="21">
        <f t="shared" si="989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1"/>
        <v>499582152.5142017</v>
      </c>
      <c r="AJ3325" s="19">
        <f t="shared" si="972"/>
        <v>59520528.679470733</v>
      </c>
      <c r="AK3325" s="20">
        <f t="shared" si="978"/>
        <v>0.11914062257814291</v>
      </c>
      <c r="AL3325" s="17"/>
      <c r="AM3325" s="17"/>
      <c r="AN3325" s="17"/>
      <c r="AO3325" s="17"/>
      <c r="AP3325" s="28" t="str">
        <f t="shared" si="979"/>
        <v>CancelCancel</v>
      </c>
      <c r="AQ3325" s="28" t="str">
        <f t="shared" si="980"/>
        <v>CancelCancelJPY</v>
      </c>
      <c r="AR3325" s="206" t="str">
        <f t="shared" si="981"/>
        <v>YAMAHA_Mounter</v>
      </c>
      <c r="AS3325" s="22" t="str">
        <f t="shared" si="982"/>
        <v/>
      </c>
      <c r="AT3325" s="24" t="str">
        <f t="shared" si="983"/>
        <v/>
      </c>
      <c r="AU3325" s="22" t="s">
        <v>3745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6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0">IF(W3326="RMB","1.13", "1")</f>
        <v>1</v>
      </c>
      <c r="Z3326" s="18">
        <f t="shared" si="987"/>
        <v>13750000</v>
      </c>
      <c r="AA3326" s="13">
        <v>6.54E-2</v>
      </c>
      <c r="AB3326" s="21">
        <f t="shared" si="989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1"/>
        <v>46600814.041769907</v>
      </c>
      <c r="AJ3326" s="19">
        <f t="shared" si="972"/>
        <v>5956366.3435927071</v>
      </c>
      <c r="AK3326" s="20">
        <f t="shared" si="978"/>
        <v>0.1278167874546958</v>
      </c>
      <c r="AL3326" s="17"/>
      <c r="AM3326" s="17"/>
      <c r="AN3326" s="17"/>
      <c r="AO3326" s="17"/>
      <c r="AP3326" s="28" t="str">
        <f t="shared" si="979"/>
        <v>20224</v>
      </c>
      <c r="AQ3326" s="28" t="str">
        <f t="shared" si="980"/>
        <v>20224JPY</v>
      </c>
      <c r="AR3326" s="206" t="str">
        <f t="shared" si="981"/>
        <v>YAMAHA_Mounter</v>
      </c>
      <c r="AS3326" s="22">
        <f t="shared" si="982"/>
        <v>13</v>
      </c>
      <c r="AT3326" s="24" t="str">
        <f t="shared" si="983"/>
        <v>&gt; 6 months</v>
      </c>
      <c r="AU3326" s="22" t="s">
        <v>3745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6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0"/>
        <v>1</v>
      </c>
      <c r="Z3327" s="18">
        <f t="shared" si="987"/>
        <v>13750000</v>
      </c>
      <c r="AA3327" s="13">
        <v>6.54E-2</v>
      </c>
      <c r="AB3327" s="21">
        <f t="shared" si="989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1"/>
        <v>46600814.041769907</v>
      </c>
      <c r="AJ3327" s="19">
        <f t="shared" si="972"/>
        <v>5956366.3435927071</v>
      </c>
      <c r="AK3327" s="20">
        <f t="shared" si="978"/>
        <v>0.1278167874546958</v>
      </c>
      <c r="AL3327" s="17"/>
      <c r="AM3327" s="17"/>
      <c r="AN3327" s="17"/>
      <c r="AO3327" s="17"/>
      <c r="AP3327" s="28" t="str">
        <f t="shared" si="979"/>
        <v>20224</v>
      </c>
      <c r="AQ3327" s="28" t="str">
        <f t="shared" si="980"/>
        <v>20224JPY</v>
      </c>
      <c r="AR3327" s="206" t="str">
        <f t="shared" si="981"/>
        <v>YAMAHA_Mounter</v>
      </c>
      <c r="AS3327" s="22">
        <f t="shared" si="982"/>
        <v>13</v>
      </c>
      <c r="AT3327" s="24" t="str">
        <f t="shared" si="983"/>
        <v>&gt; 6 months</v>
      </c>
      <c r="AU3327" s="22" t="s">
        <v>3745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6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0"/>
        <v>1</v>
      </c>
      <c r="Z3328" s="18">
        <f t="shared" si="987"/>
        <v>13750000</v>
      </c>
      <c r="AA3328" s="13">
        <v>6.54E-2</v>
      </c>
      <c r="AB3328" s="21">
        <f t="shared" si="989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1"/>
        <v>46600814.041769907</v>
      </c>
      <c r="AJ3328" s="19">
        <f t="shared" si="972"/>
        <v>5956366.3435927071</v>
      </c>
      <c r="AK3328" s="20">
        <f t="shared" si="978"/>
        <v>0.1278167874546958</v>
      </c>
      <c r="AL3328" s="17"/>
      <c r="AM3328" s="17"/>
      <c r="AN3328" s="17"/>
      <c r="AO3328" s="17"/>
      <c r="AP3328" s="28" t="str">
        <f t="shared" si="979"/>
        <v>20224</v>
      </c>
      <c r="AQ3328" s="28" t="str">
        <f t="shared" si="980"/>
        <v>20224JPY</v>
      </c>
      <c r="AR3328" s="206" t="str">
        <f t="shared" si="981"/>
        <v>YAMAHA_Mounter</v>
      </c>
      <c r="AS3328" s="22">
        <f t="shared" si="982"/>
        <v>13</v>
      </c>
      <c r="AT3328" s="24" t="str">
        <f t="shared" si="983"/>
        <v>&gt; 6 months</v>
      </c>
      <c r="AU3328" s="22" t="s">
        <v>3745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6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0"/>
        <v>1</v>
      </c>
      <c r="Z3329" s="18">
        <f t="shared" si="987"/>
        <v>13750000</v>
      </c>
      <c r="AA3329" s="13">
        <v>6.54E-2</v>
      </c>
      <c r="AB3329" s="21">
        <f t="shared" si="989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1"/>
        <v>46600814.041769907</v>
      </c>
      <c r="AJ3329" s="19">
        <f t="shared" si="972"/>
        <v>5956366.3435927071</v>
      </c>
      <c r="AK3329" s="20">
        <f t="shared" si="978"/>
        <v>0.1278167874546958</v>
      </c>
      <c r="AL3329" s="17"/>
      <c r="AM3329" s="17"/>
      <c r="AN3329" s="17"/>
      <c r="AO3329" s="17"/>
      <c r="AP3329" s="28" t="str">
        <f t="shared" si="979"/>
        <v>20224</v>
      </c>
      <c r="AQ3329" s="28" t="str">
        <f t="shared" si="980"/>
        <v>20224JPY</v>
      </c>
      <c r="AR3329" s="206" t="str">
        <f t="shared" si="981"/>
        <v>YAMAHA_Mounter</v>
      </c>
      <c r="AS3329" s="22">
        <f t="shared" si="982"/>
        <v>13</v>
      </c>
      <c r="AT3329" s="24" t="str">
        <f t="shared" si="983"/>
        <v>&gt; 6 months</v>
      </c>
      <c r="AU3329" s="22" t="s">
        <v>3745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6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0"/>
        <v>1</v>
      </c>
      <c r="Z3330" s="18">
        <f t="shared" si="987"/>
        <v>15000000</v>
      </c>
      <c r="AA3330" s="13">
        <v>7.6799999999999993E-2</v>
      </c>
      <c r="AB3330" s="21">
        <f t="shared" si="989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1">IF(P3330="C66 SERVICE","",SUMIFS(AB:AB,F:F,F3330,G:G,G3330,E:E,E3330))</f>
        <v>45803245.025628321</v>
      </c>
      <c r="AJ3330" s="19">
        <f t="shared" ref="AJ3330:AJ3393" si="992">IF(P3330="C66 SERVICE","",SUMIFS(AC:AC,F:F,F3330,G:G,G3330,E:E,E3330))</f>
        <v>5664636.2584379362</v>
      </c>
      <c r="AK3330" s="20">
        <f t="shared" si="978"/>
        <v>0.12367325186825515</v>
      </c>
      <c r="AL3330" s="17"/>
      <c r="AM3330" s="17"/>
      <c r="AN3330" s="17"/>
      <c r="AO3330" s="17" t="s">
        <v>1440</v>
      </c>
      <c r="AP3330" s="28" t="str">
        <f t="shared" si="979"/>
        <v>20211</v>
      </c>
      <c r="AQ3330" s="28" t="str">
        <f t="shared" si="980"/>
        <v>20211JPY</v>
      </c>
      <c r="AR3330" s="206" t="str">
        <f t="shared" si="981"/>
        <v>YAMAHA_Mounter</v>
      </c>
      <c r="AS3330" s="22">
        <f t="shared" si="982"/>
        <v>2</v>
      </c>
      <c r="AT3330" s="24" t="str">
        <f t="shared" si="983"/>
        <v>0-3 months</v>
      </c>
      <c r="AU3330" s="22" t="s">
        <v>3745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6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0"/>
        <v>1</v>
      </c>
      <c r="Z3331" s="18">
        <f t="shared" si="987"/>
        <v>10290000</v>
      </c>
      <c r="AA3331" s="13">
        <v>7.6799999999999993E-2</v>
      </c>
      <c r="AB3331" s="21">
        <f t="shared" si="989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1"/>
        <v>45803245.025628321</v>
      </c>
      <c r="AJ3331" s="19">
        <f t="shared" si="992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1512</v>
      </c>
      <c r="AP3331" s="28" t="str">
        <f t="shared" si="979"/>
        <v>20211</v>
      </c>
      <c r="AQ3331" s="28" t="str">
        <f t="shared" si="980"/>
        <v>20211JPY</v>
      </c>
      <c r="AR3331" s="206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  <c r="AU3331" s="22" t="s">
        <v>3745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6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0"/>
        <v>1</v>
      </c>
      <c r="Z3332" s="18">
        <f t="shared" si="987"/>
        <v>11880000</v>
      </c>
      <c r="AA3332" s="13">
        <v>5.7099999999999998E-2</v>
      </c>
      <c r="AB3332" s="21">
        <f t="shared" si="989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1"/>
        <v>13640480.497522123</v>
      </c>
      <c r="AJ3332" s="19">
        <f t="shared" si="992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6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  <c r="AU3332" s="22" t="s">
        <v>3745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6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0"/>
        <v>1.13</v>
      </c>
      <c r="Z3333" s="18">
        <f t="shared" si="987"/>
        <v>600000</v>
      </c>
      <c r="AA3333" s="13">
        <v>1.135</v>
      </c>
      <c r="AB3333" s="21">
        <f t="shared" si="989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1"/>
        <v>15948576.102654871</v>
      </c>
      <c r="AJ3333" s="19">
        <f t="shared" si="992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6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6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0"/>
        <v>1</v>
      </c>
      <c r="Z3334" s="18">
        <f t="shared" si="987"/>
        <v>10500000</v>
      </c>
      <c r="AA3334" s="13">
        <v>6.25E-2</v>
      </c>
      <c r="AB3334" s="21">
        <f t="shared" si="989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1"/>
        <v>35682787.057522126</v>
      </c>
      <c r="AJ3334" s="19">
        <f t="shared" si="992"/>
        <v>5833368.3789623892</v>
      </c>
      <c r="AK3334" s="20">
        <f t="shared" ref="AK3334:AK3397" si="998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999">IF(F3334="","",F3334&amp;G3334)</f>
        <v>20226</v>
      </c>
      <c r="AQ3334" s="28" t="str">
        <f t="shared" ref="AQ3334:AQ3397" si="1000">IF(W3334="","",F3334&amp;G3334&amp;W3334)</f>
        <v>20226JPY</v>
      </c>
      <c r="AR3334" s="206" t="str">
        <f t="shared" ref="AR3334:AR3397" si="1001">IFERROR(IF(AND(M3334="YAMAHA", R3334="C28"), "YAMAHA_Non_Mounter", IF(AND(M3334="YAMAHA", R3334="C49"), "YAMAHA_Mounter", M3334)),"")</f>
        <v>YAMAHA_Mounter</v>
      </c>
      <c r="AS3334" s="22">
        <f t="shared" ref="AS3334:AS3397" si="1002">IFERROR(IF(OR(G3334="TBA", G3334=""), "", DATEDIF(DATE(B3334, C3334, 1), DATE(F3334, G3334, 1), "M")),"")</f>
        <v>1</v>
      </c>
      <c r="AT3334" s="24" t="str">
        <f t="shared" ref="AT3334:AT3397" si="1003">IF(ISNUMBER(AS3334), IF(AS3334&gt;=0, IF(AS3334&lt;=3, "0-3 months", IF(AS3334&lt;=6, "4-6 months", "&gt; 6 months"))), "")</f>
        <v>0-3 months</v>
      </c>
      <c r="AU3334" s="22" t="s">
        <v>3745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6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7"/>
        <v>848000</v>
      </c>
      <c r="AA3335" s="13">
        <v>1.095</v>
      </c>
      <c r="AB3335" s="21">
        <f t="shared" si="989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1"/>
        <v>35384300.169380538</v>
      </c>
      <c r="AJ3335" s="19">
        <f t="shared" si="992"/>
        <v>5044538.8896988509</v>
      </c>
      <c r="AK3335" s="20">
        <f t="shared" si="998"/>
        <v>0.14256432557804533</v>
      </c>
      <c r="AL3335" s="17"/>
      <c r="AM3335" s="17"/>
      <c r="AN3335" s="17"/>
      <c r="AO3335" s="17"/>
      <c r="AP3335" s="28" t="str">
        <f t="shared" si="999"/>
        <v>20207</v>
      </c>
      <c r="AQ3335" s="28" t="str">
        <f t="shared" si="1000"/>
        <v>20207RMB</v>
      </c>
      <c r="AR3335" s="206" t="str">
        <f t="shared" si="1001"/>
        <v>YAMAHA_Mounter</v>
      </c>
      <c r="AS3335" s="22">
        <f t="shared" si="1002"/>
        <v>1</v>
      </c>
      <c r="AT3335" s="24" t="str">
        <f t="shared" si="1003"/>
        <v>0-3 months</v>
      </c>
      <c r="AU3335" s="22" t="s">
        <v>3744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6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7"/>
        <v>580000</v>
      </c>
      <c r="AA3336" s="13">
        <v>1.095</v>
      </c>
      <c r="AB3336" s="21">
        <f t="shared" si="989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1"/>
        <v>35384300.169380538</v>
      </c>
      <c r="AJ3336" s="19">
        <f t="shared" si="992"/>
        <v>5044538.8896988509</v>
      </c>
      <c r="AK3336" s="20">
        <f t="shared" si="998"/>
        <v>0.14256432557804533</v>
      </c>
      <c r="AL3336" s="17"/>
      <c r="AM3336" s="17"/>
      <c r="AN3336" s="17"/>
      <c r="AO3336" s="17"/>
      <c r="AP3336" s="28" t="str">
        <f t="shared" si="999"/>
        <v>20207</v>
      </c>
      <c r="AQ3336" s="28" t="str">
        <f t="shared" si="1000"/>
        <v>20207RMB</v>
      </c>
      <c r="AR3336" s="206" t="str">
        <f t="shared" si="1001"/>
        <v>YAMAHA_Mounter</v>
      </c>
      <c r="AS3336" s="22">
        <f t="shared" si="1002"/>
        <v>1</v>
      </c>
      <c r="AT3336" s="24" t="str">
        <f t="shared" si="1003"/>
        <v>0-3 months</v>
      </c>
      <c r="AU3336" s="22" t="s">
        <v>3744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6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7"/>
        <v>580000</v>
      </c>
      <c r="AA3337" s="13">
        <v>1.095</v>
      </c>
      <c r="AB3337" s="21">
        <f t="shared" si="989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1"/>
        <v>35384300.169380538</v>
      </c>
      <c r="AJ3337" s="19">
        <f t="shared" si="992"/>
        <v>5044538.8896988509</v>
      </c>
      <c r="AK3337" s="20">
        <f t="shared" si="998"/>
        <v>0.14256432557804533</v>
      </c>
      <c r="AL3337" s="17"/>
      <c r="AM3337" s="17"/>
      <c r="AN3337" s="17"/>
      <c r="AO3337" s="17"/>
      <c r="AP3337" s="28" t="str">
        <f t="shared" si="999"/>
        <v>20207</v>
      </c>
      <c r="AQ3337" s="28" t="str">
        <f t="shared" si="1000"/>
        <v>20207RMB</v>
      </c>
      <c r="AR3337" s="206" t="str">
        <f t="shared" si="1001"/>
        <v>YAMAHA_Mounter</v>
      </c>
      <c r="AS3337" s="22">
        <f t="shared" si="1002"/>
        <v>1</v>
      </c>
      <c r="AT3337" s="24" t="str">
        <f t="shared" si="1003"/>
        <v>0-3 months</v>
      </c>
      <c r="AU3337" s="22" t="s">
        <v>3744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6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7"/>
        <v>910000</v>
      </c>
      <c r="AA3338" s="13">
        <v>1.095</v>
      </c>
      <c r="AB3338" s="21">
        <f t="shared" si="989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1"/>
        <v>499582152.5142017</v>
      </c>
      <c r="AJ3338" s="19">
        <f t="shared" si="992"/>
        <v>59520528.679470733</v>
      </c>
      <c r="AK3338" s="20">
        <f t="shared" si="998"/>
        <v>0.11914062257814291</v>
      </c>
      <c r="AL3338" s="17"/>
      <c r="AM3338" s="17"/>
      <c r="AN3338" s="17"/>
      <c r="AO3338" s="17"/>
      <c r="AP3338" s="28" t="str">
        <f t="shared" si="999"/>
        <v>CancelCancel</v>
      </c>
      <c r="AQ3338" s="28" t="str">
        <f t="shared" si="1000"/>
        <v>CancelCancelRMB</v>
      </c>
      <c r="AR3338" s="206" t="str">
        <f t="shared" si="1001"/>
        <v>YAMAHA_Mounter</v>
      </c>
      <c r="AS3338" s="22" t="str">
        <f t="shared" si="1002"/>
        <v/>
      </c>
      <c r="AT3338" s="24" t="str">
        <f t="shared" si="1003"/>
        <v/>
      </c>
      <c r="AU3338" s="22" t="s">
        <v>3744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6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7"/>
        <v>17150000</v>
      </c>
      <c r="AA3339" s="13">
        <v>7.17E-2</v>
      </c>
      <c r="AB3339" s="21">
        <f t="shared" si="989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1"/>
        <v>41443303.53761062</v>
      </c>
      <c r="AJ3339" s="19">
        <f t="shared" si="992"/>
        <v>6194988.76643031</v>
      </c>
      <c r="AK3339" s="20">
        <f t="shared" si="998"/>
        <v>0.1494810557466355</v>
      </c>
      <c r="AL3339" s="17"/>
      <c r="AM3339" s="17"/>
      <c r="AN3339" s="17"/>
      <c r="AO3339" s="17"/>
      <c r="AP3339" s="28" t="str">
        <f t="shared" si="999"/>
        <v>20217</v>
      </c>
      <c r="AQ3339" s="28" t="str">
        <f t="shared" si="1000"/>
        <v>20217JPY</v>
      </c>
      <c r="AR3339" s="206" t="str">
        <f t="shared" si="1001"/>
        <v>YAMAHA_Mounter</v>
      </c>
      <c r="AS3339" s="22">
        <f t="shared" si="1002"/>
        <v>2</v>
      </c>
      <c r="AT3339" s="24" t="str">
        <f t="shared" si="1003"/>
        <v>0-3 months</v>
      </c>
      <c r="AU3339" s="22" t="s">
        <v>3745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6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7"/>
        <v>9500000</v>
      </c>
      <c r="AA3340" s="13">
        <v>7.17E-2</v>
      </c>
      <c r="AB3340" s="21">
        <f t="shared" si="989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1"/>
        <v>41443303.53761062</v>
      </c>
      <c r="AJ3340" s="19">
        <f t="shared" si="992"/>
        <v>6194988.76643031</v>
      </c>
      <c r="AK3340" s="20">
        <f t="shared" si="998"/>
        <v>0.1494810557466355</v>
      </c>
      <c r="AL3340" s="17"/>
      <c r="AM3340" s="17"/>
      <c r="AN3340" s="17"/>
      <c r="AO3340" s="17"/>
      <c r="AP3340" s="28" t="str">
        <f t="shared" si="999"/>
        <v>20217</v>
      </c>
      <c r="AQ3340" s="28" t="str">
        <f t="shared" si="1000"/>
        <v>20217JPY</v>
      </c>
      <c r="AR3340" s="206" t="str">
        <f t="shared" si="1001"/>
        <v>YAMAHA_Mounter</v>
      </c>
      <c r="AS3340" s="22">
        <f t="shared" si="1002"/>
        <v>2</v>
      </c>
      <c r="AT3340" s="24" t="str">
        <f t="shared" si="1003"/>
        <v>0-3 months</v>
      </c>
      <c r="AU3340" s="22" t="s">
        <v>3745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6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7"/>
        <v>9500000</v>
      </c>
      <c r="AA3341" s="13">
        <v>6.9199999999999998E-2</v>
      </c>
      <c r="AB3341" s="21">
        <f t="shared" si="989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1"/>
        <v>26407088.359292038</v>
      </c>
      <c r="AJ3341" s="19">
        <f t="shared" si="992"/>
        <v>3424510.6998470789</v>
      </c>
      <c r="AK3341" s="20">
        <f t="shared" si="998"/>
        <v>0.12968149510667554</v>
      </c>
      <c r="AL3341" s="17"/>
      <c r="AM3341" s="17"/>
      <c r="AN3341" s="17"/>
      <c r="AO3341" s="17"/>
      <c r="AP3341" s="28" t="str">
        <f t="shared" si="999"/>
        <v>20221</v>
      </c>
      <c r="AQ3341" s="28" t="str">
        <f t="shared" si="1000"/>
        <v>20221JPY</v>
      </c>
      <c r="AR3341" s="206" t="str">
        <f t="shared" si="1001"/>
        <v>YAMAHA_Mounter</v>
      </c>
      <c r="AS3341" s="22">
        <f t="shared" si="1002"/>
        <v>8</v>
      </c>
      <c r="AT3341" s="24" t="str">
        <f t="shared" si="1003"/>
        <v>&gt; 6 months</v>
      </c>
      <c r="AU3341" s="22" t="s">
        <v>3745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6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7"/>
        <v>12800000</v>
      </c>
      <c r="AA3342" s="13">
        <v>7.17E-2</v>
      </c>
      <c r="AB3342" s="21">
        <f t="shared" si="989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1"/>
        <v>43684091.636631854</v>
      </c>
      <c r="AJ3342" s="19">
        <f t="shared" si="992"/>
        <v>6483951.8242071122</v>
      </c>
      <c r="AK3342" s="20">
        <f t="shared" si="998"/>
        <v>0.14842821680123736</v>
      </c>
      <c r="AL3342" s="17"/>
      <c r="AM3342" s="17"/>
      <c r="AN3342" s="17"/>
      <c r="AO3342" s="17"/>
      <c r="AP3342" s="28" t="str">
        <f t="shared" si="999"/>
        <v>20214</v>
      </c>
      <c r="AQ3342" s="28" t="str">
        <f t="shared" si="1000"/>
        <v>20214JPY</v>
      </c>
      <c r="AR3342" s="206" t="str">
        <f t="shared" si="1001"/>
        <v>YAMAHA_Mounter</v>
      </c>
      <c r="AS3342" s="22">
        <f t="shared" si="1002"/>
        <v>4</v>
      </c>
      <c r="AT3342" s="24" t="str">
        <f t="shared" si="1003"/>
        <v>4-6 months</v>
      </c>
      <c r="AU3342" s="22" t="s">
        <v>3745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6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7"/>
        <v>640000</v>
      </c>
      <c r="AA3343" s="22">
        <v>1.073</v>
      </c>
      <c r="AB3343" s="197">
        <f t="shared" si="989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1"/>
        <v>499582152.5142017</v>
      </c>
      <c r="AJ3343" s="200">
        <f t="shared" si="992"/>
        <v>59520528.679470733</v>
      </c>
      <c r="AK3343" s="201">
        <f t="shared" si="998"/>
        <v>0.11914062257814291</v>
      </c>
      <c r="AL3343" s="24"/>
      <c r="AM3343" s="24"/>
      <c r="AN3343" s="24"/>
      <c r="AO3343" s="24"/>
      <c r="AP3343" s="28" t="str">
        <f t="shared" si="999"/>
        <v>CancelCancel</v>
      </c>
      <c r="AQ3343" s="208" t="str">
        <f t="shared" si="1000"/>
        <v>CancelCancelRMB</v>
      </c>
      <c r="AR3343" s="206" t="str">
        <f t="shared" si="1001"/>
        <v>YAMAHA_Mounter</v>
      </c>
      <c r="AS3343" s="22" t="str">
        <f t="shared" si="1002"/>
        <v/>
      </c>
      <c r="AT3343" s="24" t="str">
        <f t="shared" si="1003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6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7"/>
        <v>9600000</v>
      </c>
      <c r="AA3344" s="13">
        <v>7.2099999999999997E-2</v>
      </c>
      <c r="AB3344" s="21">
        <f t="shared" si="989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1"/>
        <v>26492741.106427077</v>
      </c>
      <c r="AJ3344" s="19">
        <f t="shared" si="992"/>
        <v>3348032.1325698122</v>
      </c>
      <c r="AK3344" s="20">
        <f t="shared" si="998"/>
        <v>0.12637545201985867</v>
      </c>
      <c r="AL3344" s="17"/>
      <c r="AM3344" s="17"/>
      <c r="AN3344" s="17"/>
      <c r="AO3344" s="17"/>
      <c r="AP3344" s="28" t="str">
        <f t="shared" si="999"/>
        <v>20189</v>
      </c>
      <c r="AQ3344" s="28" t="str">
        <f t="shared" si="1000"/>
        <v>20189JPY</v>
      </c>
      <c r="AR3344" s="206" t="str">
        <f t="shared" si="1001"/>
        <v>YAMAHA_Mounter</v>
      </c>
      <c r="AS3344" s="22">
        <f t="shared" si="1002"/>
        <v>2</v>
      </c>
      <c r="AT3344" s="24" t="str">
        <f t="shared" si="1003"/>
        <v>0-3 months</v>
      </c>
      <c r="AU3344" s="22" t="s">
        <v>3745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6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7"/>
        <v>7771400</v>
      </c>
      <c r="AA3345" s="13">
        <v>7.2099999999999997E-2</v>
      </c>
      <c r="AB3345" s="21">
        <f t="shared" si="989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1"/>
        <v>54700260.692079648</v>
      </c>
      <c r="AJ3345" s="19">
        <f t="shared" si="992"/>
        <v>7482899.5749188727</v>
      </c>
      <c r="AK3345" s="20">
        <f t="shared" si="998"/>
        <v>0.13679824337660537</v>
      </c>
      <c r="AL3345" s="17"/>
      <c r="AM3345" s="17"/>
      <c r="AN3345" s="17"/>
      <c r="AO3345" s="17"/>
      <c r="AP3345" s="28" t="str">
        <f t="shared" si="999"/>
        <v>20216</v>
      </c>
      <c r="AQ3345" s="28" t="str">
        <f t="shared" si="1000"/>
        <v>20216JPY</v>
      </c>
      <c r="AR3345" s="206" t="str">
        <f t="shared" si="1001"/>
        <v>YAMAHA_Non_Mounter</v>
      </c>
      <c r="AS3345" s="22">
        <f t="shared" si="1002"/>
        <v>9</v>
      </c>
      <c r="AT3345" s="24" t="str">
        <f t="shared" si="1003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6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7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1"/>
        <v>29840797.698275864</v>
      </c>
      <c r="AJ3346" s="19">
        <f t="shared" si="992"/>
        <v>3940167.6555448272</v>
      </c>
      <c r="AK3346" s="20">
        <f t="shared" si="998"/>
        <v>0.13203962224416277</v>
      </c>
      <c r="AL3346" s="55"/>
      <c r="AM3346" s="55"/>
      <c r="AN3346" s="55"/>
      <c r="AO3346" s="55"/>
      <c r="AP3346" s="28" t="str">
        <f t="shared" si="999"/>
        <v>201812</v>
      </c>
      <c r="AQ3346" s="28" t="str">
        <f t="shared" si="1000"/>
        <v/>
      </c>
      <c r="AR3346" s="206" t="str">
        <f t="shared" si="1001"/>
        <v>C66 SERVICE</v>
      </c>
      <c r="AS3346" s="22" t="str">
        <f t="shared" si="1002"/>
        <v/>
      </c>
      <c r="AT3346" s="24" t="str">
        <f t="shared" si="1003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6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7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1"/>
        <v>10785027.603448275</v>
      </c>
      <c r="AJ3347" s="19">
        <f t="shared" si="992"/>
        <v>1540894.1297982759</v>
      </c>
      <c r="AK3347" s="20">
        <f t="shared" si="998"/>
        <v>0.1428734525728621</v>
      </c>
      <c r="AL3347" s="55"/>
      <c r="AM3347" s="55"/>
      <c r="AN3347" s="55"/>
      <c r="AO3347" s="55"/>
      <c r="AP3347" s="28" t="str">
        <f t="shared" si="999"/>
        <v>201811</v>
      </c>
      <c r="AQ3347" s="28" t="str">
        <f t="shared" si="1000"/>
        <v/>
      </c>
      <c r="AR3347" s="206" t="str">
        <f t="shared" si="1001"/>
        <v>C66 SERVICE</v>
      </c>
      <c r="AS3347" s="22" t="str">
        <f t="shared" si="1002"/>
        <v/>
      </c>
      <c r="AT3347" s="24" t="str">
        <f t="shared" si="1003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6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7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1"/>
        <v>10786543.370020689</v>
      </c>
      <c r="AJ3348" s="19">
        <f t="shared" si="992"/>
        <v>1330367.5841569281</v>
      </c>
      <c r="AK3348" s="20">
        <f t="shared" si="998"/>
        <v>0.123335858255987</v>
      </c>
      <c r="AL3348" s="55"/>
      <c r="AM3348" s="55"/>
      <c r="AN3348" s="55"/>
      <c r="AO3348" s="55"/>
      <c r="AP3348" s="28" t="str">
        <f t="shared" si="999"/>
        <v>201810</v>
      </c>
      <c r="AQ3348" s="28" t="str">
        <f t="shared" si="1000"/>
        <v/>
      </c>
      <c r="AR3348" s="206" t="str">
        <f t="shared" si="1001"/>
        <v>C66 SERVICE</v>
      </c>
      <c r="AS3348" s="22" t="str">
        <f t="shared" si="1002"/>
        <v/>
      </c>
      <c r="AT3348" s="24" t="str">
        <f t="shared" si="1003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6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7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1"/>
        <v>26492741.106427077</v>
      </c>
      <c r="AJ3349" s="19">
        <f t="shared" si="992"/>
        <v>3348032.1325698122</v>
      </c>
      <c r="AK3349" s="20">
        <f t="shared" si="998"/>
        <v>0.12637545201985867</v>
      </c>
      <c r="AL3349" s="55"/>
      <c r="AM3349" s="55"/>
      <c r="AN3349" s="55"/>
      <c r="AO3349" s="55"/>
      <c r="AP3349" s="28" t="str">
        <f t="shared" si="999"/>
        <v>20189</v>
      </c>
      <c r="AQ3349" s="28" t="str">
        <f t="shared" si="1000"/>
        <v/>
      </c>
      <c r="AR3349" s="206" t="str">
        <f t="shared" si="1001"/>
        <v>C66 SERVICE</v>
      </c>
      <c r="AS3349" s="22" t="str">
        <f t="shared" si="1002"/>
        <v/>
      </c>
      <c r="AT3349" s="24" t="str">
        <f t="shared" si="1003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4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7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1"/>
        <v>26754147.763010349</v>
      </c>
      <c r="AJ3350" s="19">
        <f t="shared" si="992"/>
        <v>3429137.9965357962</v>
      </c>
      <c r="AK3350" s="20">
        <f t="shared" si="998"/>
        <v>0.12817220069617921</v>
      </c>
      <c r="AL3350" s="55"/>
      <c r="AM3350" s="55"/>
      <c r="AN3350" s="55"/>
      <c r="AO3350" s="55"/>
      <c r="AP3350" s="28" t="str">
        <f t="shared" si="999"/>
        <v>20188</v>
      </c>
      <c r="AQ3350" s="28" t="str">
        <f t="shared" si="1000"/>
        <v/>
      </c>
      <c r="AR3350" s="206" t="str">
        <f t="shared" si="1001"/>
        <v>C66 SERVICE</v>
      </c>
      <c r="AS3350" s="22" t="str">
        <f t="shared" si="1002"/>
        <v/>
      </c>
      <c r="AT3350" s="24" t="str">
        <f t="shared" si="1003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4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7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1"/>
        <v>29946107.503386207</v>
      </c>
      <c r="AJ3351" s="19">
        <f t="shared" si="992"/>
        <v>3987206.4954923098</v>
      </c>
      <c r="AK3351" s="20">
        <f t="shared" si="998"/>
        <v>0.13314606898547499</v>
      </c>
      <c r="AL3351" s="55"/>
      <c r="AM3351" s="55"/>
      <c r="AN3351" s="55"/>
      <c r="AO3351" s="55"/>
      <c r="AP3351" s="28" t="str">
        <f t="shared" si="999"/>
        <v>20187</v>
      </c>
      <c r="AQ3351" s="28" t="str">
        <f t="shared" si="1000"/>
        <v/>
      </c>
      <c r="AR3351" s="206" t="str">
        <f t="shared" si="1001"/>
        <v>C66 SERVICE</v>
      </c>
      <c r="AS3351" s="22" t="str">
        <f t="shared" si="1002"/>
        <v/>
      </c>
      <c r="AT3351" s="24" t="str">
        <f t="shared" si="1003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4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7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1"/>
        <v>24398045.86045352</v>
      </c>
      <c r="AJ3352" s="19">
        <f t="shared" si="992"/>
        <v>3478417.4064663448</v>
      </c>
      <c r="AK3352" s="20">
        <f t="shared" si="998"/>
        <v>0.14256950849102498</v>
      </c>
      <c r="AL3352" s="55"/>
      <c r="AM3352" s="55"/>
      <c r="AN3352" s="55"/>
      <c r="AO3352" s="55"/>
      <c r="AP3352" s="28" t="str">
        <f t="shared" si="999"/>
        <v>20186</v>
      </c>
      <c r="AQ3352" s="28" t="str">
        <f t="shared" si="1000"/>
        <v/>
      </c>
      <c r="AR3352" s="206" t="str">
        <f t="shared" si="1001"/>
        <v>C66 SERVICE</v>
      </c>
      <c r="AS3352" s="22" t="str">
        <f t="shared" si="1002"/>
        <v/>
      </c>
      <c r="AT3352" s="24" t="str">
        <f t="shared" si="1003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4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7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1"/>
        <v>34109166.105589926</v>
      </c>
      <c r="AJ3353" s="19">
        <f t="shared" si="992"/>
        <v>4642032.7199573703</v>
      </c>
      <c r="AK3353" s="20">
        <f t="shared" si="998"/>
        <v>0.13609340977692849</v>
      </c>
      <c r="AL3353" s="55"/>
      <c r="AM3353" s="55"/>
      <c r="AN3353" s="55"/>
      <c r="AO3353" s="55"/>
      <c r="AP3353" s="28" t="str">
        <f t="shared" si="999"/>
        <v>20185</v>
      </c>
      <c r="AQ3353" s="28" t="str">
        <f t="shared" si="1000"/>
        <v/>
      </c>
      <c r="AR3353" s="206" t="str">
        <f t="shared" si="1001"/>
        <v>C66 SERVICE</v>
      </c>
      <c r="AS3353" s="22" t="str">
        <f t="shared" si="1002"/>
        <v/>
      </c>
      <c r="AT3353" s="24" t="str">
        <f t="shared" si="1003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4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7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1"/>
        <v>29288201.603076916</v>
      </c>
      <c r="AJ3354" s="19">
        <f t="shared" si="992"/>
        <v>3870159.1769246152</v>
      </c>
      <c r="AK3354" s="20">
        <f t="shared" si="998"/>
        <v>0.13214055370740244</v>
      </c>
      <c r="AL3354" s="55"/>
      <c r="AM3354" s="55"/>
      <c r="AN3354" s="55"/>
      <c r="AO3354" s="55"/>
      <c r="AP3354" s="28" t="str">
        <f t="shared" si="999"/>
        <v>20184</v>
      </c>
      <c r="AQ3354" s="28" t="str">
        <f t="shared" si="1000"/>
        <v/>
      </c>
      <c r="AR3354" s="206" t="str">
        <f t="shared" si="1001"/>
        <v>C66 SERVICE</v>
      </c>
      <c r="AS3354" s="22" t="str">
        <f t="shared" si="1002"/>
        <v/>
      </c>
      <c r="AT3354" s="24" t="str">
        <f t="shared" si="1003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4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7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1"/>
        <v>27318180.088495575</v>
      </c>
      <c r="AJ3355" s="19">
        <f t="shared" si="992"/>
        <v>3014099.212353982</v>
      </c>
      <c r="AK3355" s="20">
        <f t="shared" si="998"/>
        <v>0.11033308963444827</v>
      </c>
      <c r="AL3355" s="55"/>
      <c r="AM3355" s="55"/>
      <c r="AN3355" s="55"/>
      <c r="AO3355" s="55"/>
      <c r="AP3355" s="28" t="str">
        <f t="shared" si="999"/>
        <v>201912</v>
      </c>
      <c r="AQ3355" s="28" t="str">
        <f t="shared" si="1000"/>
        <v/>
      </c>
      <c r="AR3355" s="206" t="str">
        <f t="shared" si="1001"/>
        <v>C66 SERVICE</v>
      </c>
      <c r="AS3355" s="22" t="str">
        <f t="shared" si="1002"/>
        <v/>
      </c>
      <c r="AT3355" s="24" t="str">
        <f t="shared" si="1003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4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7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1"/>
        <v>26147030.909862842</v>
      </c>
      <c r="AJ3356" s="19">
        <f t="shared" si="992"/>
        <v>2743862.8630715334</v>
      </c>
      <c r="AK3356" s="20">
        <f t="shared" si="998"/>
        <v>0.10493974908778378</v>
      </c>
      <c r="AL3356" s="55"/>
      <c r="AM3356" s="55"/>
      <c r="AN3356" s="55"/>
      <c r="AO3356" s="55"/>
      <c r="AP3356" s="28" t="str">
        <f t="shared" si="999"/>
        <v>201911</v>
      </c>
      <c r="AQ3356" s="28" t="str">
        <f t="shared" si="1000"/>
        <v/>
      </c>
      <c r="AR3356" s="206" t="str">
        <f t="shared" si="1001"/>
        <v>C66 SERVICE</v>
      </c>
      <c r="AS3356" s="22" t="str">
        <f t="shared" si="1002"/>
        <v/>
      </c>
      <c r="AT3356" s="24" t="str">
        <f t="shared" si="1003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4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7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1"/>
        <v>28647263.974455759</v>
      </c>
      <c r="AJ3357" s="19">
        <f t="shared" si="992"/>
        <v>3219855.6912513468</v>
      </c>
      <c r="AK3357" s="20">
        <f t="shared" si="998"/>
        <v>0.11239662168514358</v>
      </c>
      <c r="AL3357" s="55"/>
      <c r="AM3357" s="55"/>
      <c r="AN3357" s="55"/>
      <c r="AO3357" s="55"/>
      <c r="AP3357" s="28" t="str">
        <f t="shared" si="999"/>
        <v>201910</v>
      </c>
      <c r="AQ3357" s="28" t="str">
        <f t="shared" si="1000"/>
        <v/>
      </c>
      <c r="AR3357" s="206" t="str">
        <f t="shared" si="1001"/>
        <v>C66 SERVICE</v>
      </c>
      <c r="AS3357" s="22" t="str">
        <f t="shared" si="1002"/>
        <v/>
      </c>
      <c r="AT3357" s="24" t="str">
        <f t="shared" si="1003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4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5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1"/>
        <v>37599388.802345134</v>
      </c>
      <c r="AJ3358" s="19">
        <f t="shared" si="992"/>
        <v>4866784.3630338367</v>
      </c>
      <c r="AK3358" s="20">
        <f t="shared" si="998"/>
        <v>0.12943785838163113</v>
      </c>
      <c r="AL3358" s="55"/>
      <c r="AM3358" s="55"/>
      <c r="AN3358" s="55"/>
      <c r="AO3358" s="55"/>
      <c r="AP3358" s="28" t="str">
        <f t="shared" si="999"/>
        <v>20199</v>
      </c>
      <c r="AQ3358" s="28" t="str">
        <f t="shared" si="1000"/>
        <v/>
      </c>
      <c r="AR3358" s="206" t="str">
        <f t="shared" si="1001"/>
        <v>C66 SERVICE</v>
      </c>
      <c r="AS3358" s="22" t="str">
        <f t="shared" si="1002"/>
        <v/>
      </c>
      <c r="AT3358" s="24" t="str">
        <f t="shared" si="1003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4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5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1"/>
        <v>21386017.707964607</v>
      </c>
      <c r="AJ3359" s="19">
        <f t="shared" si="992"/>
        <v>2238764.3265707968</v>
      </c>
      <c r="AK3359" s="20">
        <f t="shared" si="998"/>
        <v>0.10468355339185161</v>
      </c>
      <c r="AL3359" s="55"/>
      <c r="AM3359" s="55"/>
      <c r="AN3359" s="55"/>
      <c r="AO3359" s="55"/>
      <c r="AP3359" s="28" t="str">
        <f t="shared" si="999"/>
        <v>20198</v>
      </c>
      <c r="AQ3359" s="28" t="str">
        <f t="shared" si="1000"/>
        <v/>
      </c>
      <c r="AR3359" s="206" t="str">
        <f t="shared" si="1001"/>
        <v>C66 SERVICE</v>
      </c>
      <c r="AS3359" s="22" t="str">
        <f t="shared" si="1002"/>
        <v/>
      </c>
      <c r="AT3359" s="24" t="str">
        <f t="shared" si="1003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4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5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1"/>
        <v>34015877.71150443</v>
      </c>
      <c r="AJ3360" s="19">
        <f t="shared" si="992"/>
        <v>4446292.375441948</v>
      </c>
      <c r="AK3360" s="20">
        <f t="shared" si="998"/>
        <v>0.13071226364205143</v>
      </c>
      <c r="AL3360" s="55"/>
      <c r="AM3360" s="55"/>
      <c r="AN3360" s="55"/>
      <c r="AO3360" s="55"/>
      <c r="AP3360" s="28" t="str">
        <f t="shared" si="999"/>
        <v>20197</v>
      </c>
      <c r="AQ3360" s="28" t="str">
        <f t="shared" si="1000"/>
        <v/>
      </c>
      <c r="AR3360" s="206" t="str">
        <f t="shared" si="1001"/>
        <v>C66 SERVICE</v>
      </c>
      <c r="AS3360" s="22" t="str">
        <f t="shared" si="1002"/>
        <v/>
      </c>
      <c r="AT3360" s="24" t="str">
        <f t="shared" si="1003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4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5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1"/>
        <v>31296887.037898075</v>
      </c>
      <c r="AJ3361" s="19">
        <f t="shared" si="992"/>
        <v>3588873.9502021763</v>
      </c>
      <c r="AK3361" s="20">
        <f t="shared" si="998"/>
        <v>0.11467191436184473</v>
      </c>
      <c r="AL3361" s="55"/>
      <c r="AM3361" s="55"/>
      <c r="AN3361" s="55"/>
      <c r="AO3361" s="55"/>
      <c r="AP3361" s="28" t="str">
        <f t="shared" si="999"/>
        <v>20196</v>
      </c>
      <c r="AQ3361" s="28" t="str">
        <f t="shared" si="1000"/>
        <v/>
      </c>
      <c r="AR3361" s="206" t="str">
        <f t="shared" si="1001"/>
        <v>C66 SERVICE</v>
      </c>
      <c r="AS3361" s="22" t="str">
        <f t="shared" si="1002"/>
        <v/>
      </c>
      <c r="AT3361" s="24" t="str">
        <f t="shared" si="1003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4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5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1"/>
        <v>14593788.187146019</v>
      </c>
      <c r="AJ3362" s="19">
        <f t="shared" si="992"/>
        <v>1868647.7321969916</v>
      </c>
      <c r="AK3362" s="20">
        <f t="shared" si="998"/>
        <v>0.12804404916900652</v>
      </c>
      <c r="AL3362" s="55"/>
      <c r="AM3362" s="55"/>
      <c r="AN3362" s="55"/>
      <c r="AO3362" s="55"/>
      <c r="AP3362" s="28" t="str">
        <f t="shared" si="999"/>
        <v>20195</v>
      </c>
      <c r="AQ3362" s="28" t="str">
        <f t="shared" si="1000"/>
        <v/>
      </c>
      <c r="AR3362" s="206" t="str">
        <f t="shared" si="1001"/>
        <v>C66 SERVICE</v>
      </c>
      <c r="AS3362" s="22" t="str">
        <f t="shared" si="1002"/>
        <v/>
      </c>
      <c r="AT3362" s="24" t="str">
        <f t="shared" si="1003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4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5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1"/>
        <v>32843736.557277881</v>
      </c>
      <c r="AJ3363" s="19">
        <f t="shared" si="992"/>
        <v>3921470.6822663117</v>
      </c>
      <c r="AK3363" s="20">
        <f t="shared" si="998"/>
        <v>0.11939782416131177</v>
      </c>
      <c r="AL3363" s="55"/>
      <c r="AM3363" s="55"/>
      <c r="AN3363" s="55"/>
      <c r="AO3363" s="55"/>
      <c r="AP3363" s="28" t="str">
        <f t="shared" si="999"/>
        <v>20194</v>
      </c>
      <c r="AQ3363" s="28" t="str">
        <f t="shared" si="1000"/>
        <v/>
      </c>
      <c r="AR3363" s="206" t="str">
        <f t="shared" si="1001"/>
        <v>C66 SERVICE</v>
      </c>
      <c r="AS3363" s="22" t="str">
        <f t="shared" si="1002"/>
        <v/>
      </c>
      <c r="AT3363" s="24" t="str">
        <f t="shared" si="1003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4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5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1"/>
        <v>47416008.333399981</v>
      </c>
      <c r="AJ3364" s="19">
        <f t="shared" si="992"/>
        <v>6981738.4465290187</v>
      </c>
      <c r="AK3364" s="20">
        <f t="shared" si="998"/>
        <v>0.14724433143839863</v>
      </c>
      <c r="AL3364" s="55"/>
      <c r="AM3364" s="55"/>
      <c r="AN3364" s="55"/>
      <c r="AO3364" s="55"/>
      <c r="AP3364" s="28" t="str">
        <f t="shared" si="999"/>
        <v>20193</v>
      </c>
      <c r="AQ3364" s="28" t="str">
        <f t="shared" si="1000"/>
        <v/>
      </c>
      <c r="AR3364" s="206" t="str">
        <f t="shared" si="1001"/>
        <v>C66 SERVICE</v>
      </c>
      <c r="AS3364" s="22" t="str">
        <f t="shared" si="1002"/>
        <v/>
      </c>
      <c r="AT3364" s="24" t="str">
        <f t="shared" si="1003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4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5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1"/>
        <v>16455710.386637932</v>
      </c>
      <c r="AJ3365" s="19">
        <f t="shared" si="992"/>
        <v>2150644.6466930606</v>
      </c>
      <c r="AK3365" s="20">
        <f t="shared" si="998"/>
        <v>0.13069290818580451</v>
      </c>
      <c r="AL3365" s="55"/>
      <c r="AM3365" s="55"/>
      <c r="AN3365" s="55"/>
      <c r="AO3365" s="55"/>
      <c r="AP3365" s="28" t="str">
        <f t="shared" si="999"/>
        <v>20192</v>
      </c>
      <c r="AQ3365" s="28" t="str">
        <f t="shared" si="1000"/>
        <v/>
      </c>
      <c r="AR3365" s="206" t="str">
        <f t="shared" si="1001"/>
        <v>C66 SERVICE</v>
      </c>
      <c r="AS3365" s="22" t="str">
        <f t="shared" si="1002"/>
        <v/>
      </c>
      <c r="AT3365" s="24" t="str">
        <f t="shared" si="1003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4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5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1"/>
        <v>23237072.69172414</v>
      </c>
      <c r="AJ3366" s="19">
        <f t="shared" si="992"/>
        <v>2402195.7372206897</v>
      </c>
      <c r="AK3366" s="20">
        <f t="shared" si="998"/>
        <v>0.10337772614862238</v>
      </c>
      <c r="AL3366" s="55"/>
      <c r="AM3366" s="55"/>
      <c r="AN3366" s="55"/>
      <c r="AO3366" s="55"/>
      <c r="AP3366" s="28" t="str">
        <f t="shared" si="999"/>
        <v>20191</v>
      </c>
      <c r="AQ3366" s="28" t="str">
        <f t="shared" si="1000"/>
        <v/>
      </c>
      <c r="AR3366" s="206" t="str">
        <f t="shared" si="1001"/>
        <v>C66 SERVICE</v>
      </c>
      <c r="AS3366" s="22" t="str">
        <f t="shared" si="1002"/>
        <v/>
      </c>
      <c r="AT3366" s="24" t="str">
        <f t="shared" si="1003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4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5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1"/>
        <v>48763143.537654862</v>
      </c>
      <c r="AJ3367" s="19">
        <f t="shared" si="992"/>
        <v>5924029.9702154724</v>
      </c>
      <c r="AK3367" s="20">
        <f t="shared" si="998"/>
        <v>0.1214858095774925</v>
      </c>
      <c r="AL3367" s="55"/>
      <c r="AM3367" s="55"/>
      <c r="AN3367" s="55"/>
      <c r="AO3367" s="55"/>
      <c r="AP3367" s="28" t="str">
        <f t="shared" si="999"/>
        <v>202012</v>
      </c>
      <c r="AQ3367" s="28" t="str">
        <f t="shared" si="1000"/>
        <v/>
      </c>
      <c r="AR3367" s="206" t="str">
        <f t="shared" si="1001"/>
        <v>C66 SERVICE</v>
      </c>
      <c r="AS3367" s="22" t="str">
        <f t="shared" si="1002"/>
        <v/>
      </c>
      <c r="AT3367" s="24" t="str">
        <f t="shared" si="1003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4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5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1"/>
        <v>48763143.537654862</v>
      </c>
      <c r="AJ3368" s="19">
        <f t="shared" si="992"/>
        <v>5924029.9702154724</v>
      </c>
      <c r="AK3368" s="20">
        <f t="shared" si="998"/>
        <v>0.1214858095774925</v>
      </c>
      <c r="AL3368" s="55"/>
      <c r="AM3368" s="55"/>
      <c r="AN3368" s="55"/>
      <c r="AO3368" s="55"/>
      <c r="AP3368" s="28" t="str">
        <f t="shared" si="999"/>
        <v>202012</v>
      </c>
      <c r="AQ3368" s="28" t="str">
        <f t="shared" si="1000"/>
        <v/>
      </c>
      <c r="AR3368" s="206" t="str">
        <f t="shared" si="1001"/>
        <v>C66 SERVICE</v>
      </c>
      <c r="AS3368" s="22" t="str">
        <f t="shared" si="1002"/>
        <v/>
      </c>
      <c r="AT3368" s="24" t="str">
        <f t="shared" si="1003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4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5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1"/>
        <v>48763143.537654862</v>
      </c>
      <c r="AJ3369" s="19">
        <f t="shared" si="992"/>
        <v>5924029.9702154724</v>
      </c>
      <c r="AK3369" s="20">
        <f t="shared" si="998"/>
        <v>0.1214858095774925</v>
      </c>
      <c r="AL3369" s="55"/>
      <c r="AM3369" s="55"/>
      <c r="AN3369" s="55"/>
      <c r="AO3369" s="55"/>
      <c r="AP3369" s="28" t="str">
        <f t="shared" si="999"/>
        <v>202012</v>
      </c>
      <c r="AQ3369" s="28" t="str">
        <f t="shared" si="1000"/>
        <v/>
      </c>
      <c r="AR3369" s="206" t="str">
        <f t="shared" si="1001"/>
        <v>C66 SERVICE</v>
      </c>
      <c r="AS3369" s="22" t="str">
        <f t="shared" si="1002"/>
        <v/>
      </c>
      <c r="AT3369" s="24" t="str">
        <f t="shared" si="1003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4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5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1"/>
        <v>48763143.537654862</v>
      </c>
      <c r="AJ3370" s="19">
        <f t="shared" si="992"/>
        <v>5924029.9702154724</v>
      </c>
      <c r="AK3370" s="20">
        <f t="shared" si="998"/>
        <v>0.1214858095774925</v>
      </c>
      <c r="AL3370" s="55"/>
      <c r="AM3370" s="55"/>
      <c r="AN3370" s="55"/>
      <c r="AO3370" s="55"/>
      <c r="AP3370" s="28" t="str">
        <f t="shared" si="999"/>
        <v>202012</v>
      </c>
      <c r="AQ3370" s="28" t="str">
        <f t="shared" si="1000"/>
        <v/>
      </c>
      <c r="AR3370" s="206" t="str">
        <f t="shared" si="1001"/>
        <v>C66 SERVICE</v>
      </c>
      <c r="AS3370" s="22" t="str">
        <f t="shared" si="1002"/>
        <v/>
      </c>
      <c r="AT3370" s="24" t="str">
        <f t="shared" si="1003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4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5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1"/>
        <v>44078731.611185849</v>
      </c>
      <c r="AJ3371" s="19">
        <f t="shared" si="992"/>
        <v>5508173.2163771465</v>
      </c>
      <c r="AK3371" s="20">
        <f t="shared" si="998"/>
        <v>0.12496215328889679</v>
      </c>
      <c r="AL3371" s="55"/>
      <c r="AM3371" s="55"/>
      <c r="AN3371" s="55"/>
      <c r="AO3371" s="55"/>
      <c r="AP3371" s="28" t="str">
        <f t="shared" si="999"/>
        <v>202011</v>
      </c>
      <c r="AQ3371" s="28" t="str">
        <f t="shared" si="1000"/>
        <v/>
      </c>
      <c r="AR3371" s="206" t="str">
        <f t="shared" si="1001"/>
        <v>C66 SERVICE</v>
      </c>
      <c r="AS3371" s="22" t="str">
        <f t="shared" si="1002"/>
        <v/>
      </c>
      <c r="AT3371" s="24" t="str">
        <f t="shared" si="1003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4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5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1"/>
        <v>44078731.611185849</v>
      </c>
      <c r="AJ3372" s="19">
        <f t="shared" si="992"/>
        <v>5508173.2163771465</v>
      </c>
      <c r="AK3372" s="20">
        <f t="shared" si="998"/>
        <v>0.12496215328889679</v>
      </c>
      <c r="AL3372" s="55"/>
      <c r="AM3372" s="55"/>
      <c r="AN3372" s="55"/>
      <c r="AO3372" s="55"/>
      <c r="AP3372" s="28" t="str">
        <f t="shared" si="999"/>
        <v>202011</v>
      </c>
      <c r="AQ3372" s="28" t="str">
        <f t="shared" si="1000"/>
        <v/>
      </c>
      <c r="AR3372" s="206" t="str">
        <f t="shared" si="1001"/>
        <v>C66 SERVICE</v>
      </c>
      <c r="AS3372" s="22" t="str">
        <f t="shared" si="1002"/>
        <v/>
      </c>
      <c r="AT3372" s="24" t="str">
        <f t="shared" si="1003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4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5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1"/>
        <v>44078731.611185849</v>
      </c>
      <c r="AJ3373" s="19">
        <f t="shared" si="992"/>
        <v>5508173.2163771465</v>
      </c>
      <c r="AK3373" s="20">
        <f t="shared" si="998"/>
        <v>0.12496215328889679</v>
      </c>
      <c r="AL3373" s="55"/>
      <c r="AM3373" s="55"/>
      <c r="AN3373" s="55"/>
      <c r="AO3373" s="55"/>
      <c r="AP3373" s="28" t="str">
        <f t="shared" si="999"/>
        <v>202011</v>
      </c>
      <c r="AQ3373" s="28" t="str">
        <f t="shared" si="1000"/>
        <v/>
      </c>
      <c r="AR3373" s="206" t="str">
        <f t="shared" si="1001"/>
        <v>C66 SERVICE</v>
      </c>
      <c r="AS3373" s="22" t="str">
        <f t="shared" si="1002"/>
        <v/>
      </c>
      <c r="AT3373" s="24" t="str">
        <f t="shared" si="1003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4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5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1"/>
        <v>44078731.611185849</v>
      </c>
      <c r="AJ3374" s="19">
        <f t="shared" si="992"/>
        <v>5508173.2163771465</v>
      </c>
      <c r="AK3374" s="20">
        <f t="shared" si="998"/>
        <v>0.12496215328889679</v>
      </c>
      <c r="AL3374" s="55"/>
      <c r="AM3374" s="55"/>
      <c r="AN3374" s="55"/>
      <c r="AO3374" s="55"/>
      <c r="AP3374" s="28" t="str">
        <f t="shared" si="999"/>
        <v>202011</v>
      </c>
      <c r="AQ3374" s="28" t="str">
        <f t="shared" si="1000"/>
        <v/>
      </c>
      <c r="AR3374" s="206" t="str">
        <f t="shared" si="1001"/>
        <v>C66 SERVICE</v>
      </c>
      <c r="AS3374" s="22" t="str">
        <f t="shared" si="1002"/>
        <v/>
      </c>
      <c r="AT3374" s="24" t="str">
        <f t="shared" si="1003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4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5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1"/>
        <v>28011162.254106201</v>
      </c>
      <c r="AJ3375" s="19">
        <f t="shared" si="992"/>
        <v>3401347.1124888416</v>
      </c>
      <c r="AK3375" s="20">
        <f t="shared" si="998"/>
        <v>0.12142827497242578</v>
      </c>
      <c r="AL3375" s="55"/>
      <c r="AM3375" s="55"/>
      <c r="AN3375" s="55"/>
      <c r="AO3375" s="55"/>
      <c r="AP3375" s="28" t="str">
        <f t="shared" si="999"/>
        <v>202010</v>
      </c>
      <c r="AQ3375" s="28" t="str">
        <f t="shared" si="1000"/>
        <v/>
      </c>
      <c r="AR3375" s="206" t="str">
        <f t="shared" si="1001"/>
        <v>C66 SERVICE</v>
      </c>
      <c r="AS3375" s="22" t="str">
        <f t="shared" si="1002"/>
        <v/>
      </c>
      <c r="AT3375" s="24" t="str">
        <f t="shared" si="1003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4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5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1"/>
        <v>28011162.254106201</v>
      </c>
      <c r="AJ3376" s="19">
        <f t="shared" si="992"/>
        <v>3401347.1124888416</v>
      </c>
      <c r="AK3376" s="20">
        <f t="shared" si="998"/>
        <v>0.12142827497242578</v>
      </c>
      <c r="AL3376" s="55"/>
      <c r="AM3376" s="55"/>
      <c r="AN3376" s="55"/>
      <c r="AO3376" s="55"/>
      <c r="AP3376" s="28" t="str">
        <f t="shared" si="999"/>
        <v>202010</v>
      </c>
      <c r="AQ3376" s="28" t="str">
        <f t="shared" si="1000"/>
        <v/>
      </c>
      <c r="AR3376" s="206" t="str">
        <f t="shared" si="1001"/>
        <v>C66 SERVICE</v>
      </c>
      <c r="AS3376" s="22" t="str">
        <f t="shared" si="1002"/>
        <v/>
      </c>
      <c r="AT3376" s="24" t="str">
        <f t="shared" si="1003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4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5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1"/>
        <v>28011162.254106201</v>
      </c>
      <c r="AJ3377" s="19">
        <f t="shared" si="992"/>
        <v>3401347.1124888416</v>
      </c>
      <c r="AK3377" s="20">
        <f t="shared" si="998"/>
        <v>0.12142827497242578</v>
      </c>
      <c r="AL3377" s="55"/>
      <c r="AM3377" s="55"/>
      <c r="AN3377" s="55"/>
      <c r="AO3377" s="55"/>
      <c r="AP3377" s="28" t="str">
        <f t="shared" si="999"/>
        <v>202010</v>
      </c>
      <c r="AQ3377" s="28" t="str">
        <f t="shared" si="1000"/>
        <v/>
      </c>
      <c r="AR3377" s="206" t="str">
        <f t="shared" si="1001"/>
        <v>C66 SERVICE</v>
      </c>
      <c r="AS3377" s="22" t="str">
        <f t="shared" si="1002"/>
        <v/>
      </c>
      <c r="AT3377" s="24" t="str">
        <f t="shared" si="1003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4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5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1"/>
        <v>28011162.254106201</v>
      </c>
      <c r="AJ3378" s="19">
        <f t="shared" si="992"/>
        <v>3401347.1124888416</v>
      </c>
      <c r="AK3378" s="20">
        <f t="shared" si="998"/>
        <v>0.12142827497242578</v>
      </c>
      <c r="AL3378" s="55"/>
      <c r="AM3378" s="55"/>
      <c r="AN3378" s="55"/>
      <c r="AO3378" s="55"/>
      <c r="AP3378" s="28" t="str">
        <f t="shared" si="999"/>
        <v>202010</v>
      </c>
      <c r="AQ3378" s="28" t="str">
        <f t="shared" si="1000"/>
        <v/>
      </c>
      <c r="AR3378" s="206" t="str">
        <f t="shared" si="1001"/>
        <v>C66 SERVICE</v>
      </c>
      <c r="AS3378" s="22" t="str">
        <f t="shared" si="1002"/>
        <v/>
      </c>
      <c r="AT3378" s="24" t="str">
        <f t="shared" si="1003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4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5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1"/>
        <v>47907808.356810622</v>
      </c>
      <c r="AJ3379" s="19">
        <f t="shared" si="992"/>
        <v>6027384.8806384448</v>
      </c>
      <c r="AK3379" s="20">
        <f t="shared" si="998"/>
        <v>0.12581216063459488</v>
      </c>
      <c r="AL3379" s="55"/>
      <c r="AM3379" s="55"/>
      <c r="AN3379" s="55"/>
      <c r="AO3379" s="55"/>
      <c r="AP3379" s="28" t="str">
        <f t="shared" si="999"/>
        <v>20209</v>
      </c>
      <c r="AQ3379" s="28" t="str">
        <f t="shared" si="1000"/>
        <v/>
      </c>
      <c r="AR3379" s="206" t="str">
        <f t="shared" si="1001"/>
        <v>C66 SERVICE</v>
      </c>
      <c r="AS3379" s="22" t="str">
        <f t="shared" si="1002"/>
        <v/>
      </c>
      <c r="AT3379" s="24" t="str">
        <f t="shared" si="1003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4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5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1"/>
        <v>47907808.356810622</v>
      </c>
      <c r="AJ3380" s="19">
        <f t="shared" si="992"/>
        <v>6027384.8806384448</v>
      </c>
      <c r="AK3380" s="20">
        <f t="shared" si="998"/>
        <v>0.12581216063459488</v>
      </c>
      <c r="AL3380" s="55"/>
      <c r="AM3380" s="55"/>
      <c r="AN3380" s="55"/>
      <c r="AO3380" s="55"/>
      <c r="AP3380" s="28" t="str">
        <f t="shared" si="999"/>
        <v>20209</v>
      </c>
      <c r="AQ3380" s="28" t="str">
        <f t="shared" si="1000"/>
        <v/>
      </c>
      <c r="AR3380" s="206" t="str">
        <f t="shared" si="1001"/>
        <v>C66 SERVICE</v>
      </c>
      <c r="AS3380" s="22" t="str">
        <f t="shared" si="1002"/>
        <v/>
      </c>
      <c r="AT3380" s="24" t="str">
        <f t="shared" si="1003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4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5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1"/>
        <v>47907808.356810622</v>
      </c>
      <c r="AJ3381" s="19">
        <f t="shared" si="992"/>
        <v>6027384.8806384448</v>
      </c>
      <c r="AK3381" s="20">
        <f t="shared" si="998"/>
        <v>0.12581216063459488</v>
      </c>
      <c r="AL3381" s="55"/>
      <c r="AM3381" s="55"/>
      <c r="AN3381" s="55"/>
      <c r="AO3381" s="55"/>
      <c r="AP3381" s="28" t="str">
        <f t="shared" si="999"/>
        <v>20209</v>
      </c>
      <c r="AQ3381" s="28" t="str">
        <f t="shared" si="1000"/>
        <v/>
      </c>
      <c r="AR3381" s="206" t="str">
        <f t="shared" si="1001"/>
        <v>C66 SERVICE</v>
      </c>
      <c r="AS3381" s="22" t="str">
        <f t="shared" si="1002"/>
        <v/>
      </c>
      <c r="AT3381" s="24" t="str">
        <f t="shared" si="1003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4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5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1"/>
        <v>47907808.356810622</v>
      </c>
      <c r="AJ3382" s="19">
        <f t="shared" si="992"/>
        <v>6027384.8806384448</v>
      </c>
      <c r="AK3382" s="20">
        <f t="shared" si="998"/>
        <v>0.12581216063459488</v>
      </c>
      <c r="AL3382" s="55"/>
      <c r="AM3382" s="55"/>
      <c r="AN3382" s="55"/>
      <c r="AO3382" s="55"/>
      <c r="AP3382" s="28" t="str">
        <f t="shared" si="999"/>
        <v>20209</v>
      </c>
      <c r="AQ3382" s="28" t="str">
        <f t="shared" si="1000"/>
        <v/>
      </c>
      <c r="AR3382" s="206" t="str">
        <f t="shared" si="1001"/>
        <v>C66 SERVICE</v>
      </c>
      <c r="AS3382" s="22" t="str">
        <f t="shared" si="1002"/>
        <v/>
      </c>
      <c r="AT3382" s="24" t="str">
        <f t="shared" si="1003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4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5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1"/>
        <v>37969334.083628319</v>
      </c>
      <c r="AJ3383" s="19">
        <f t="shared" si="992"/>
        <v>5097226.4551657084</v>
      </c>
      <c r="AK3383" s="20">
        <f t="shared" si="998"/>
        <v>0.13424587441904964</v>
      </c>
      <c r="AL3383" s="55"/>
      <c r="AM3383" s="55"/>
      <c r="AN3383" s="55"/>
      <c r="AO3383" s="55"/>
      <c r="AP3383" s="28" t="str">
        <f t="shared" si="999"/>
        <v>20208</v>
      </c>
      <c r="AQ3383" s="28" t="str">
        <f t="shared" si="1000"/>
        <v/>
      </c>
      <c r="AR3383" s="206" t="str">
        <f t="shared" si="1001"/>
        <v>C66 SERVICE</v>
      </c>
      <c r="AS3383" s="22" t="str">
        <f t="shared" si="1002"/>
        <v/>
      </c>
      <c r="AT3383" s="24" t="str">
        <f t="shared" si="1003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4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5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1"/>
        <v>37969334.083628319</v>
      </c>
      <c r="AJ3384" s="19">
        <f t="shared" si="992"/>
        <v>5097226.4551657084</v>
      </c>
      <c r="AK3384" s="20">
        <f t="shared" si="998"/>
        <v>0.13424587441904964</v>
      </c>
      <c r="AL3384" s="55"/>
      <c r="AM3384" s="55"/>
      <c r="AN3384" s="55"/>
      <c r="AO3384" s="55"/>
      <c r="AP3384" s="28" t="str">
        <f t="shared" si="999"/>
        <v>20208</v>
      </c>
      <c r="AQ3384" s="28" t="str">
        <f t="shared" si="1000"/>
        <v/>
      </c>
      <c r="AR3384" s="206" t="str">
        <f t="shared" si="1001"/>
        <v>C66 SERVICE</v>
      </c>
      <c r="AS3384" s="22" t="str">
        <f t="shared" si="1002"/>
        <v/>
      </c>
      <c r="AT3384" s="24" t="str">
        <f t="shared" si="1003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4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5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1"/>
        <v>37969334.083628319</v>
      </c>
      <c r="AJ3385" s="19">
        <f t="shared" si="992"/>
        <v>5097226.4551657084</v>
      </c>
      <c r="AK3385" s="20">
        <f t="shared" si="998"/>
        <v>0.13424587441904964</v>
      </c>
      <c r="AL3385" s="55"/>
      <c r="AM3385" s="55"/>
      <c r="AN3385" s="55"/>
      <c r="AO3385" s="55"/>
      <c r="AP3385" s="28" t="str">
        <f t="shared" si="999"/>
        <v>20208</v>
      </c>
      <c r="AQ3385" s="28" t="str">
        <f t="shared" si="1000"/>
        <v/>
      </c>
      <c r="AR3385" s="206" t="str">
        <f t="shared" si="1001"/>
        <v>C66 SERVICE</v>
      </c>
      <c r="AS3385" s="22" t="str">
        <f t="shared" si="1002"/>
        <v/>
      </c>
      <c r="AT3385" s="24" t="str">
        <f t="shared" si="1003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4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5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1"/>
        <v>37969334.083628319</v>
      </c>
      <c r="AJ3386" s="19">
        <f t="shared" si="992"/>
        <v>5097226.4551657084</v>
      </c>
      <c r="AK3386" s="20">
        <f t="shared" si="998"/>
        <v>0.13424587441904964</v>
      </c>
      <c r="AL3386" s="55"/>
      <c r="AM3386" s="55"/>
      <c r="AN3386" s="55"/>
      <c r="AO3386" s="55"/>
      <c r="AP3386" s="28" t="str">
        <f t="shared" si="999"/>
        <v>20208</v>
      </c>
      <c r="AQ3386" s="28" t="str">
        <f t="shared" si="1000"/>
        <v/>
      </c>
      <c r="AR3386" s="206" t="str">
        <f t="shared" si="1001"/>
        <v>C66 SERVICE</v>
      </c>
      <c r="AS3386" s="22" t="str">
        <f t="shared" si="1002"/>
        <v/>
      </c>
      <c r="AT3386" s="24" t="str">
        <f t="shared" si="1003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4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5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1"/>
        <v>35384300.169380538</v>
      </c>
      <c r="AJ3387" s="19">
        <f t="shared" si="992"/>
        <v>5044538.8896988509</v>
      </c>
      <c r="AK3387" s="20">
        <f t="shared" si="998"/>
        <v>0.14256432557804533</v>
      </c>
      <c r="AL3387" s="55"/>
      <c r="AM3387" s="55"/>
      <c r="AN3387" s="55"/>
      <c r="AO3387" s="55"/>
      <c r="AP3387" s="28" t="str">
        <f t="shared" si="999"/>
        <v>20207</v>
      </c>
      <c r="AQ3387" s="28" t="str">
        <f t="shared" si="1000"/>
        <v/>
      </c>
      <c r="AR3387" s="206" t="str">
        <f t="shared" si="1001"/>
        <v>C66 SERVICE</v>
      </c>
      <c r="AS3387" s="22" t="str">
        <f t="shared" si="1002"/>
        <v/>
      </c>
      <c r="AT3387" s="24" t="str">
        <f t="shared" si="1003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4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5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1"/>
        <v>35384300.169380538</v>
      </c>
      <c r="AJ3388" s="19">
        <f t="shared" si="992"/>
        <v>5044538.8896988509</v>
      </c>
      <c r="AK3388" s="20">
        <f t="shared" si="998"/>
        <v>0.14256432557804533</v>
      </c>
      <c r="AL3388" s="55"/>
      <c r="AM3388" s="55"/>
      <c r="AN3388" s="55"/>
      <c r="AO3388" s="55"/>
      <c r="AP3388" s="28" t="str">
        <f t="shared" si="999"/>
        <v>20207</v>
      </c>
      <c r="AQ3388" s="28" t="str">
        <f t="shared" si="1000"/>
        <v/>
      </c>
      <c r="AR3388" s="206" t="str">
        <f t="shared" si="1001"/>
        <v>C66 SERVICE</v>
      </c>
      <c r="AS3388" s="22" t="str">
        <f t="shared" si="1002"/>
        <v/>
      </c>
      <c r="AT3388" s="24" t="str">
        <f t="shared" si="1003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4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5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1"/>
        <v>35384300.169380538</v>
      </c>
      <c r="AJ3389" s="19">
        <f t="shared" si="992"/>
        <v>5044538.8896988509</v>
      </c>
      <c r="AK3389" s="20">
        <f t="shared" si="998"/>
        <v>0.14256432557804533</v>
      </c>
      <c r="AL3389" s="55"/>
      <c r="AM3389" s="55"/>
      <c r="AN3389" s="55"/>
      <c r="AO3389" s="55"/>
      <c r="AP3389" s="28" t="str">
        <f t="shared" si="999"/>
        <v>20207</v>
      </c>
      <c r="AQ3389" s="28" t="str">
        <f t="shared" si="1000"/>
        <v/>
      </c>
      <c r="AR3389" s="206" t="str">
        <f t="shared" si="1001"/>
        <v>C66 SERVICE</v>
      </c>
      <c r="AS3389" s="22" t="str">
        <f t="shared" si="1002"/>
        <v/>
      </c>
      <c r="AT3389" s="24" t="str">
        <f t="shared" si="1003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4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5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1"/>
        <v>35384300.169380538</v>
      </c>
      <c r="AJ3390" s="19">
        <f t="shared" si="992"/>
        <v>5044538.8896988509</v>
      </c>
      <c r="AK3390" s="20">
        <f t="shared" si="998"/>
        <v>0.14256432557804533</v>
      </c>
      <c r="AL3390" s="55"/>
      <c r="AM3390" s="55"/>
      <c r="AN3390" s="55"/>
      <c r="AO3390" s="55"/>
      <c r="AP3390" s="28" t="str">
        <f t="shared" si="999"/>
        <v>20207</v>
      </c>
      <c r="AQ3390" s="28" t="str">
        <f t="shared" si="1000"/>
        <v/>
      </c>
      <c r="AR3390" s="206" t="str">
        <f t="shared" si="1001"/>
        <v>C66 SERVICE</v>
      </c>
      <c r="AS3390" s="22" t="str">
        <f t="shared" si="1002"/>
        <v/>
      </c>
      <c r="AT3390" s="24" t="str">
        <f t="shared" si="1003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4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5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1"/>
        <v>29183109.05575221</v>
      </c>
      <c r="AJ3391" s="19">
        <f t="shared" si="992"/>
        <v>3741266.5648721238</v>
      </c>
      <c r="AK3391" s="20">
        <f t="shared" si="998"/>
        <v>0.12819972531798121</v>
      </c>
      <c r="AL3391" s="55"/>
      <c r="AM3391" s="55"/>
      <c r="AN3391" s="55"/>
      <c r="AO3391" s="55"/>
      <c r="AP3391" s="28" t="str">
        <f t="shared" si="999"/>
        <v>20206</v>
      </c>
      <c r="AQ3391" s="28" t="str">
        <f t="shared" si="1000"/>
        <v/>
      </c>
      <c r="AR3391" s="206" t="str">
        <f t="shared" si="1001"/>
        <v>C66 SERVICE</v>
      </c>
      <c r="AS3391" s="22" t="str">
        <f t="shared" si="1002"/>
        <v/>
      </c>
      <c r="AT3391" s="24" t="str">
        <f t="shared" si="1003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4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5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1"/>
        <v>29183109.05575221</v>
      </c>
      <c r="AJ3392" s="19">
        <f t="shared" si="992"/>
        <v>3741266.5648721238</v>
      </c>
      <c r="AK3392" s="20">
        <f t="shared" si="998"/>
        <v>0.12819972531798121</v>
      </c>
      <c r="AL3392" s="55"/>
      <c r="AM3392" s="55"/>
      <c r="AN3392" s="55"/>
      <c r="AO3392" s="55"/>
      <c r="AP3392" s="28" t="str">
        <f t="shared" si="999"/>
        <v>20206</v>
      </c>
      <c r="AQ3392" s="28" t="str">
        <f t="shared" si="1000"/>
        <v/>
      </c>
      <c r="AR3392" s="206" t="str">
        <f t="shared" si="1001"/>
        <v>C66 SERVICE</v>
      </c>
      <c r="AS3392" s="22" t="str">
        <f t="shared" si="1002"/>
        <v/>
      </c>
      <c r="AT3392" s="24" t="str">
        <f t="shared" si="1003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4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5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1"/>
        <v>29183109.05575221</v>
      </c>
      <c r="AJ3393" s="19">
        <f t="shared" si="992"/>
        <v>3741266.5648721238</v>
      </c>
      <c r="AK3393" s="20">
        <f t="shared" si="998"/>
        <v>0.12819972531798121</v>
      </c>
      <c r="AL3393" s="55"/>
      <c r="AM3393" s="55"/>
      <c r="AN3393" s="55"/>
      <c r="AO3393" s="55"/>
      <c r="AP3393" s="28" t="str">
        <f t="shared" si="999"/>
        <v>20206</v>
      </c>
      <c r="AQ3393" s="28" t="str">
        <f t="shared" si="1000"/>
        <v/>
      </c>
      <c r="AR3393" s="206" t="str">
        <f t="shared" si="1001"/>
        <v>C66 SERVICE</v>
      </c>
      <c r="AS3393" s="22" t="str">
        <f t="shared" si="1002"/>
        <v/>
      </c>
      <c r="AT3393" s="24" t="str">
        <f t="shared" si="1003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4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5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06">IF(P3394="C66 SERVICE","",SUMIFS(AB:AB,F:F,F3394,G:G,G3394,E:E,E3394))</f>
        <v>29183109.05575221</v>
      </c>
      <c r="AJ3394" s="19">
        <f t="shared" ref="AJ3394:AJ3457" si="1007">IF(P3394="C66 SERVICE","",SUMIFS(AC:AC,F:F,F3394,G:G,G3394,E:E,E3394))</f>
        <v>3741266.5648721238</v>
      </c>
      <c r="AK3394" s="20">
        <f t="shared" si="998"/>
        <v>0.12819972531798121</v>
      </c>
      <c r="AL3394" s="55"/>
      <c r="AM3394" s="55"/>
      <c r="AN3394" s="55"/>
      <c r="AO3394" s="55"/>
      <c r="AP3394" s="28" t="str">
        <f t="shared" si="999"/>
        <v>20206</v>
      </c>
      <c r="AQ3394" s="28" t="str">
        <f t="shared" si="1000"/>
        <v/>
      </c>
      <c r="AR3394" s="206" t="str">
        <f t="shared" si="1001"/>
        <v>C66 SERVICE</v>
      </c>
      <c r="AS3394" s="22" t="str">
        <f t="shared" si="1002"/>
        <v/>
      </c>
      <c r="AT3394" s="24" t="str">
        <f t="shared" si="1003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4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5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06"/>
        <v>28065694.408805311</v>
      </c>
      <c r="AJ3395" s="19">
        <f t="shared" si="1007"/>
        <v>4157433.2906989697</v>
      </c>
      <c r="AK3395" s="20">
        <f t="shared" si="998"/>
        <v>0.14813220831602228</v>
      </c>
      <c r="AL3395" s="55"/>
      <c r="AM3395" s="55"/>
      <c r="AN3395" s="55"/>
      <c r="AO3395" s="55"/>
      <c r="AP3395" s="28" t="str">
        <f t="shared" si="999"/>
        <v>20205</v>
      </c>
      <c r="AQ3395" s="28" t="str">
        <f t="shared" si="1000"/>
        <v/>
      </c>
      <c r="AR3395" s="206" t="str">
        <f t="shared" si="1001"/>
        <v>C66 SERVICE</v>
      </c>
      <c r="AS3395" s="22" t="str">
        <f t="shared" si="1002"/>
        <v/>
      </c>
      <c r="AT3395" s="24" t="str">
        <f t="shared" si="1003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4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5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06"/>
        <v>28065694.408805311</v>
      </c>
      <c r="AJ3396" s="19">
        <f t="shared" si="1007"/>
        <v>4157433.2906989697</v>
      </c>
      <c r="AK3396" s="20">
        <f t="shared" si="998"/>
        <v>0.14813220831602228</v>
      </c>
      <c r="AL3396" s="55"/>
      <c r="AM3396" s="55"/>
      <c r="AN3396" s="55"/>
      <c r="AO3396" s="55"/>
      <c r="AP3396" s="28" t="str">
        <f t="shared" si="999"/>
        <v>20205</v>
      </c>
      <c r="AQ3396" s="28" t="str">
        <f t="shared" si="1000"/>
        <v/>
      </c>
      <c r="AR3396" s="206" t="str">
        <f t="shared" si="1001"/>
        <v>C66 SERVICE</v>
      </c>
      <c r="AS3396" s="22" t="str">
        <f t="shared" si="1002"/>
        <v/>
      </c>
      <c r="AT3396" s="24" t="str">
        <f t="shared" si="1003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4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5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06"/>
        <v>28065694.408805311</v>
      </c>
      <c r="AJ3397" s="19">
        <f t="shared" si="1007"/>
        <v>4157433.2906989697</v>
      </c>
      <c r="AK3397" s="20">
        <f t="shared" si="998"/>
        <v>0.14813220831602228</v>
      </c>
      <c r="AL3397" s="55"/>
      <c r="AM3397" s="55"/>
      <c r="AN3397" s="55"/>
      <c r="AO3397" s="55"/>
      <c r="AP3397" s="28" t="str">
        <f t="shared" si="999"/>
        <v>20205</v>
      </c>
      <c r="AQ3397" s="28" t="str">
        <f t="shared" si="1000"/>
        <v/>
      </c>
      <c r="AR3397" s="206" t="str">
        <f t="shared" si="1001"/>
        <v>C66 SERVICE</v>
      </c>
      <c r="AS3397" s="22" t="str">
        <f t="shared" si="1002"/>
        <v/>
      </c>
      <c r="AT3397" s="24" t="str">
        <f t="shared" si="1003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4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5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06"/>
        <v>28065694.408805311</v>
      </c>
      <c r="AJ3398" s="19">
        <f t="shared" si="1007"/>
        <v>4157433.2906989697</v>
      </c>
      <c r="AK3398" s="20">
        <f t="shared" ref="AK3398:AK3461" si="1013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4">IF(F3398="","",F3398&amp;G3398)</f>
        <v>20205</v>
      </c>
      <c r="AQ3398" s="28" t="str">
        <f t="shared" ref="AQ3398:AQ3461" si="1015">IF(W3398="","",F3398&amp;G3398&amp;W3398)</f>
        <v/>
      </c>
      <c r="AR3398" s="206" t="str">
        <f t="shared" ref="AR3398:AR3461" si="1016">IFERROR(IF(AND(M3398="YAMAHA", R3398="C28"), "YAMAHA_Non_Mounter", IF(AND(M3398="YAMAHA", R3398="C49"), "YAMAHA_Mounter", M3398)),"")</f>
        <v>C66 SERVICE</v>
      </c>
      <c r="AS3398" s="22" t="str">
        <f t="shared" ref="AS3398:AS3461" si="1017">IFERROR(IF(OR(G3398="TBA", G3398=""), "", DATEDIF(DATE(B3398, C3398, 1), DATE(F3398, G3398, 1), "M")),"")</f>
        <v/>
      </c>
      <c r="AT3398" s="24" t="str">
        <f t="shared" ref="AT3398:AT3461" si="1018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4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5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06"/>
        <v>33477255.428389374</v>
      </c>
      <c r="AJ3399" s="19">
        <f t="shared" si="1007"/>
        <v>4578663.362915583</v>
      </c>
      <c r="AK3399" s="20">
        <f t="shared" si="1013"/>
        <v>0.13676937682988152</v>
      </c>
      <c r="AL3399" s="55"/>
      <c r="AM3399" s="55"/>
      <c r="AN3399" s="55"/>
      <c r="AO3399" s="55"/>
      <c r="AP3399" s="28" t="str">
        <f t="shared" si="1014"/>
        <v>20204</v>
      </c>
      <c r="AQ3399" s="28" t="str">
        <f t="shared" si="1015"/>
        <v/>
      </c>
      <c r="AR3399" s="206" t="str">
        <f t="shared" si="1016"/>
        <v>C66 SERVICE</v>
      </c>
      <c r="AS3399" s="22" t="str">
        <f t="shared" si="1017"/>
        <v/>
      </c>
      <c r="AT3399" s="24" t="str">
        <f t="shared" si="1018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4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5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06"/>
        <v>33477255.428389374</v>
      </c>
      <c r="AJ3400" s="19">
        <f t="shared" si="1007"/>
        <v>4578663.362915583</v>
      </c>
      <c r="AK3400" s="20">
        <f t="shared" si="1013"/>
        <v>0.13676937682988152</v>
      </c>
      <c r="AL3400" s="55"/>
      <c r="AM3400" s="55"/>
      <c r="AN3400" s="55"/>
      <c r="AO3400" s="55"/>
      <c r="AP3400" s="28" t="str">
        <f t="shared" si="1014"/>
        <v>20204</v>
      </c>
      <c r="AQ3400" s="28" t="str">
        <f t="shared" si="1015"/>
        <v/>
      </c>
      <c r="AR3400" s="206" t="str">
        <f t="shared" si="1016"/>
        <v>C66 SERVICE</v>
      </c>
      <c r="AS3400" s="22" t="str">
        <f t="shared" si="1017"/>
        <v/>
      </c>
      <c r="AT3400" s="24" t="str">
        <f t="shared" si="1018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4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5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06"/>
        <v>33477255.428389374</v>
      </c>
      <c r="AJ3401" s="19">
        <f t="shared" si="1007"/>
        <v>4578663.362915583</v>
      </c>
      <c r="AK3401" s="20">
        <f t="shared" si="1013"/>
        <v>0.13676937682988152</v>
      </c>
      <c r="AL3401" s="55"/>
      <c r="AM3401" s="55"/>
      <c r="AN3401" s="55"/>
      <c r="AO3401" s="55"/>
      <c r="AP3401" s="28" t="str">
        <f t="shared" si="1014"/>
        <v>20204</v>
      </c>
      <c r="AQ3401" s="28" t="str">
        <f t="shared" si="1015"/>
        <v/>
      </c>
      <c r="AR3401" s="206" t="str">
        <f t="shared" si="1016"/>
        <v>C66 SERVICE</v>
      </c>
      <c r="AS3401" s="22" t="str">
        <f t="shared" si="1017"/>
        <v/>
      </c>
      <c r="AT3401" s="24" t="str">
        <f t="shared" si="1018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4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5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06"/>
        <v>33477255.428389374</v>
      </c>
      <c r="AJ3402" s="19">
        <f t="shared" si="1007"/>
        <v>4578663.362915583</v>
      </c>
      <c r="AK3402" s="20">
        <f t="shared" si="1013"/>
        <v>0.13676937682988152</v>
      </c>
      <c r="AL3402" s="55"/>
      <c r="AM3402" s="55"/>
      <c r="AN3402" s="55"/>
      <c r="AO3402" s="55"/>
      <c r="AP3402" s="28" t="str">
        <f t="shared" si="1014"/>
        <v>20204</v>
      </c>
      <c r="AQ3402" s="28" t="str">
        <f t="shared" si="1015"/>
        <v/>
      </c>
      <c r="AR3402" s="206" t="str">
        <f t="shared" si="1016"/>
        <v>C66 SERVICE</v>
      </c>
      <c r="AS3402" s="22" t="str">
        <f t="shared" si="1017"/>
        <v/>
      </c>
      <c r="AT3402" s="24" t="str">
        <f t="shared" si="1018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4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5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06"/>
        <v>23168285.927433632</v>
      </c>
      <c r="AJ3403" s="19">
        <f t="shared" si="1007"/>
        <v>2764878.916878053</v>
      </c>
      <c r="AK3403" s="20">
        <f t="shared" si="1013"/>
        <v>0.11933895004309111</v>
      </c>
      <c r="AL3403" s="55"/>
      <c r="AM3403" s="55"/>
      <c r="AN3403" s="55"/>
      <c r="AO3403" s="55"/>
      <c r="AP3403" s="28" t="str">
        <f t="shared" si="1014"/>
        <v>20203</v>
      </c>
      <c r="AQ3403" s="28" t="str">
        <f t="shared" si="1015"/>
        <v/>
      </c>
      <c r="AR3403" s="206" t="str">
        <f t="shared" si="1016"/>
        <v>C66 SERVICE</v>
      </c>
      <c r="AS3403" s="22" t="str">
        <f t="shared" si="1017"/>
        <v/>
      </c>
      <c r="AT3403" s="24" t="str">
        <f t="shared" si="1018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4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5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06"/>
        <v>14005204.685000001</v>
      </c>
      <c r="AJ3404" s="19">
        <f t="shared" si="1007"/>
        <v>1436995.246084</v>
      </c>
      <c r="AK3404" s="20">
        <f t="shared" si="1013"/>
        <v>0.10260437304590525</v>
      </c>
      <c r="AL3404" s="55"/>
      <c r="AM3404" s="55"/>
      <c r="AN3404" s="55"/>
      <c r="AO3404" s="55"/>
      <c r="AP3404" s="28" t="str">
        <f t="shared" si="1014"/>
        <v>20202</v>
      </c>
      <c r="AQ3404" s="28" t="str">
        <f t="shared" si="1015"/>
        <v/>
      </c>
      <c r="AR3404" s="206" t="str">
        <f t="shared" si="1016"/>
        <v>C66 SERVICE</v>
      </c>
      <c r="AS3404" s="22" t="str">
        <f t="shared" si="1017"/>
        <v/>
      </c>
      <c r="AT3404" s="24" t="str">
        <f t="shared" si="1018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4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5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06"/>
        <v>11620538.477876106</v>
      </c>
      <c r="AJ3405" s="19">
        <f t="shared" si="1007"/>
        <v>1598596.3145221241</v>
      </c>
      <c r="AK3405" s="20">
        <f t="shared" si="1013"/>
        <v>0.13756645766163331</v>
      </c>
      <c r="AL3405" s="55"/>
      <c r="AM3405" s="55"/>
      <c r="AN3405" s="55"/>
      <c r="AO3405" s="55"/>
      <c r="AP3405" s="28" t="str">
        <f t="shared" si="1014"/>
        <v>20201</v>
      </c>
      <c r="AQ3405" s="28" t="str">
        <f t="shared" si="1015"/>
        <v/>
      </c>
      <c r="AR3405" s="206" t="str">
        <f t="shared" si="1016"/>
        <v>C66 SERVICE</v>
      </c>
      <c r="AS3405" s="22" t="str">
        <f t="shared" si="1017"/>
        <v/>
      </c>
      <c r="AT3405" s="24" t="str">
        <f t="shared" si="1018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4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5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06"/>
        <v>57778307.282035396</v>
      </c>
      <c r="AJ3406" s="19">
        <f t="shared" si="1007"/>
        <v>7259860.7225420559</v>
      </c>
      <c r="AK3406" s="20">
        <f t="shared" si="1013"/>
        <v>0.12565028406083667</v>
      </c>
      <c r="AL3406" s="55"/>
      <c r="AM3406" s="55"/>
      <c r="AN3406" s="55"/>
      <c r="AO3406" s="55"/>
      <c r="AP3406" s="28" t="str">
        <f t="shared" si="1014"/>
        <v>20213</v>
      </c>
      <c r="AQ3406" s="28" t="str">
        <f t="shared" si="1015"/>
        <v/>
      </c>
      <c r="AR3406" s="206" t="str">
        <f t="shared" si="1016"/>
        <v>C66 SERVICE</v>
      </c>
      <c r="AS3406" s="22" t="str">
        <f t="shared" si="1017"/>
        <v/>
      </c>
      <c r="AT3406" s="24" t="str">
        <f t="shared" si="1018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4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5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06"/>
        <v>57778307.282035396</v>
      </c>
      <c r="AJ3407" s="19">
        <f t="shared" si="1007"/>
        <v>7259860.7225420559</v>
      </c>
      <c r="AK3407" s="20">
        <f t="shared" si="1013"/>
        <v>0.12565028406083667</v>
      </c>
      <c r="AL3407" s="55"/>
      <c r="AM3407" s="55"/>
      <c r="AN3407" s="55"/>
      <c r="AO3407" s="55"/>
      <c r="AP3407" s="28" t="str">
        <f t="shared" si="1014"/>
        <v>20213</v>
      </c>
      <c r="AQ3407" s="28" t="str">
        <f t="shared" si="1015"/>
        <v/>
      </c>
      <c r="AR3407" s="206" t="str">
        <f t="shared" si="1016"/>
        <v>C66 SERVICE</v>
      </c>
      <c r="AS3407" s="22" t="str">
        <f t="shared" si="1017"/>
        <v/>
      </c>
      <c r="AT3407" s="24" t="str">
        <f t="shared" si="1018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4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5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06"/>
        <v>57778307.282035396</v>
      </c>
      <c r="AJ3408" s="19">
        <f t="shared" si="1007"/>
        <v>7259860.7225420559</v>
      </c>
      <c r="AK3408" s="20">
        <f t="shared" si="1013"/>
        <v>0.12565028406083667</v>
      </c>
      <c r="AL3408" s="55"/>
      <c r="AM3408" s="55"/>
      <c r="AN3408" s="55"/>
      <c r="AO3408" s="55"/>
      <c r="AP3408" s="28" t="str">
        <f t="shared" si="1014"/>
        <v>20213</v>
      </c>
      <c r="AQ3408" s="28" t="str">
        <f t="shared" si="1015"/>
        <v/>
      </c>
      <c r="AR3408" s="206" t="str">
        <f t="shared" si="1016"/>
        <v>C66 SERVICE</v>
      </c>
      <c r="AS3408" s="22" t="str">
        <f t="shared" si="1017"/>
        <v/>
      </c>
      <c r="AT3408" s="24" t="str">
        <f t="shared" si="1018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4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5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06"/>
        <v>57778307.282035396</v>
      </c>
      <c r="AJ3409" s="19">
        <f t="shared" si="1007"/>
        <v>7259860.7225420559</v>
      </c>
      <c r="AK3409" s="20">
        <f t="shared" si="1013"/>
        <v>0.12565028406083667</v>
      </c>
      <c r="AL3409" s="55"/>
      <c r="AM3409" s="55"/>
      <c r="AN3409" s="55"/>
      <c r="AO3409" s="55"/>
      <c r="AP3409" s="28" t="str">
        <f t="shared" si="1014"/>
        <v>20213</v>
      </c>
      <c r="AQ3409" s="28" t="str">
        <f t="shared" si="1015"/>
        <v/>
      </c>
      <c r="AR3409" s="206" t="str">
        <f t="shared" si="1016"/>
        <v>C66 SERVICE</v>
      </c>
      <c r="AS3409" s="22" t="str">
        <f t="shared" si="1017"/>
        <v/>
      </c>
      <c r="AT3409" s="24" t="str">
        <f t="shared" si="1018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4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5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06"/>
        <v>31097187.02948761</v>
      </c>
      <c r="AJ3410" s="19">
        <f t="shared" si="1007"/>
        <v>3892353.6644401965</v>
      </c>
      <c r="AK3410" s="20">
        <f t="shared" si="1013"/>
        <v>0.12516738767237401</v>
      </c>
      <c r="AL3410" s="55"/>
      <c r="AM3410" s="55"/>
      <c r="AN3410" s="55"/>
      <c r="AO3410" s="55"/>
      <c r="AP3410" s="28" t="str">
        <f t="shared" si="1014"/>
        <v>20212</v>
      </c>
      <c r="AQ3410" s="28" t="str">
        <f t="shared" si="1015"/>
        <v/>
      </c>
      <c r="AR3410" s="206" t="str">
        <f t="shared" si="1016"/>
        <v>C66 SERVICE</v>
      </c>
      <c r="AS3410" s="22" t="str">
        <f t="shared" si="1017"/>
        <v/>
      </c>
      <c r="AT3410" s="24" t="str">
        <f t="shared" si="1018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4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5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06"/>
        <v>31097187.02948761</v>
      </c>
      <c r="AJ3411" s="19">
        <f t="shared" si="1007"/>
        <v>3892353.6644401965</v>
      </c>
      <c r="AK3411" s="20">
        <f t="shared" si="1013"/>
        <v>0.12516738767237401</v>
      </c>
      <c r="AL3411" s="55"/>
      <c r="AM3411" s="55"/>
      <c r="AN3411" s="55"/>
      <c r="AO3411" s="55"/>
      <c r="AP3411" s="28" t="str">
        <f t="shared" si="1014"/>
        <v>20212</v>
      </c>
      <c r="AQ3411" s="28" t="str">
        <f t="shared" si="1015"/>
        <v/>
      </c>
      <c r="AR3411" s="206" t="str">
        <f t="shared" si="1016"/>
        <v>C66 SERVICE</v>
      </c>
      <c r="AS3411" s="22" t="str">
        <f t="shared" si="1017"/>
        <v/>
      </c>
      <c r="AT3411" s="24" t="str">
        <f t="shared" si="1018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4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5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06"/>
        <v>31097187.02948761</v>
      </c>
      <c r="AJ3412" s="19">
        <f t="shared" si="1007"/>
        <v>3892353.6644401965</v>
      </c>
      <c r="AK3412" s="20">
        <f t="shared" si="1013"/>
        <v>0.12516738767237401</v>
      </c>
      <c r="AL3412" s="55"/>
      <c r="AM3412" s="55"/>
      <c r="AN3412" s="55"/>
      <c r="AO3412" s="55"/>
      <c r="AP3412" s="28" t="str">
        <f t="shared" si="1014"/>
        <v>20212</v>
      </c>
      <c r="AQ3412" s="28" t="str">
        <f t="shared" si="1015"/>
        <v/>
      </c>
      <c r="AR3412" s="206" t="str">
        <f t="shared" si="1016"/>
        <v>C66 SERVICE</v>
      </c>
      <c r="AS3412" s="22" t="str">
        <f t="shared" si="1017"/>
        <v/>
      </c>
      <c r="AT3412" s="24" t="str">
        <f t="shared" si="1018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4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5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06"/>
        <v>31097187.02948761</v>
      </c>
      <c r="AJ3413" s="19">
        <f t="shared" si="1007"/>
        <v>3892353.6644401965</v>
      </c>
      <c r="AK3413" s="20">
        <f t="shared" si="1013"/>
        <v>0.12516738767237401</v>
      </c>
      <c r="AL3413" s="55"/>
      <c r="AM3413" s="55"/>
      <c r="AN3413" s="55"/>
      <c r="AO3413" s="55"/>
      <c r="AP3413" s="28" t="str">
        <f t="shared" si="1014"/>
        <v>20212</v>
      </c>
      <c r="AQ3413" s="28" t="str">
        <f t="shared" si="1015"/>
        <v/>
      </c>
      <c r="AR3413" s="206" t="str">
        <f t="shared" si="1016"/>
        <v>C66 SERVICE</v>
      </c>
      <c r="AS3413" s="22" t="str">
        <f t="shared" si="1017"/>
        <v/>
      </c>
      <c r="AT3413" s="24" t="str">
        <f t="shared" si="1018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19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5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06"/>
        <v>45803245.025628321</v>
      </c>
      <c r="AJ3414" s="19">
        <f t="shared" si="1007"/>
        <v>5664636.2584379362</v>
      </c>
      <c r="AK3414" s="20">
        <f t="shared" si="1013"/>
        <v>0.12367325186825515</v>
      </c>
      <c r="AL3414" s="55"/>
      <c r="AM3414" s="55"/>
      <c r="AN3414" s="55"/>
      <c r="AO3414" s="55"/>
      <c r="AP3414" s="28" t="str">
        <f t="shared" si="1014"/>
        <v>20211</v>
      </c>
      <c r="AQ3414" s="28" t="str">
        <f t="shared" si="1015"/>
        <v/>
      </c>
      <c r="AR3414" s="206" t="str">
        <f t="shared" si="1016"/>
        <v>C66 SERVICE</v>
      </c>
      <c r="AS3414" s="22" t="str">
        <f t="shared" si="1017"/>
        <v/>
      </c>
      <c r="AT3414" s="24" t="str">
        <f t="shared" si="1018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19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5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06"/>
        <v>45803245.025628321</v>
      </c>
      <c r="AJ3415" s="19">
        <f t="shared" si="1007"/>
        <v>5664636.2584379362</v>
      </c>
      <c r="AK3415" s="20">
        <f t="shared" si="1013"/>
        <v>0.12367325186825515</v>
      </c>
      <c r="AL3415" s="55"/>
      <c r="AM3415" s="55"/>
      <c r="AN3415" s="55"/>
      <c r="AO3415" s="55"/>
      <c r="AP3415" s="28" t="str">
        <f t="shared" si="1014"/>
        <v>20211</v>
      </c>
      <c r="AQ3415" s="28" t="str">
        <f t="shared" si="1015"/>
        <v/>
      </c>
      <c r="AR3415" s="206" t="str">
        <f t="shared" si="1016"/>
        <v>C66 SERVICE</v>
      </c>
      <c r="AS3415" s="22" t="str">
        <f t="shared" si="1017"/>
        <v/>
      </c>
      <c r="AT3415" s="24" t="str">
        <f t="shared" si="1018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19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5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06"/>
        <v>45803245.025628321</v>
      </c>
      <c r="AJ3416" s="19">
        <f t="shared" si="1007"/>
        <v>5664636.2584379362</v>
      </c>
      <c r="AK3416" s="20">
        <f t="shared" si="1013"/>
        <v>0.12367325186825515</v>
      </c>
      <c r="AL3416" s="55"/>
      <c r="AM3416" s="55"/>
      <c r="AN3416" s="55"/>
      <c r="AO3416" s="55"/>
      <c r="AP3416" s="28" t="str">
        <f t="shared" si="1014"/>
        <v>20211</v>
      </c>
      <c r="AQ3416" s="28" t="str">
        <f t="shared" si="1015"/>
        <v/>
      </c>
      <c r="AR3416" s="206" t="str">
        <f t="shared" si="1016"/>
        <v>C66 SERVICE</v>
      </c>
      <c r="AS3416" s="22" t="str">
        <f t="shared" si="1017"/>
        <v/>
      </c>
      <c r="AT3416" s="24" t="str">
        <f t="shared" si="1018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19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5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06"/>
        <v>45803245.025628321</v>
      </c>
      <c r="AJ3417" s="19">
        <f t="shared" si="1007"/>
        <v>5664636.2584379362</v>
      </c>
      <c r="AK3417" s="20">
        <f t="shared" si="1013"/>
        <v>0.12367325186825515</v>
      </c>
      <c r="AL3417" s="55"/>
      <c r="AM3417" s="55"/>
      <c r="AN3417" s="55"/>
      <c r="AO3417" s="55"/>
      <c r="AP3417" s="28" t="str">
        <f t="shared" si="1014"/>
        <v>20211</v>
      </c>
      <c r="AQ3417" s="28" t="str">
        <f t="shared" si="1015"/>
        <v/>
      </c>
      <c r="AR3417" s="206" t="str">
        <f t="shared" si="1016"/>
        <v>C66 SERVICE</v>
      </c>
      <c r="AS3417" s="22" t="str">
        <f t="shared" si="1017"/>
        <v/>
      </c>
      <c r="AT3417" s="24" t="str">
        <f t="shared" si="1018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19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5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06"/>
        <v>43684091.636631854</v>
      </c>
      <c r="AJ3418" s="19">
        <f t="shared" si="1007"/>
        <v>6483951.8242071122</v>
      </c>
      <c r="AK3418" s="20">
        <f t="shared" si="1013"/>
        <v>0.14842821680123736</v>
      </c>
      <c r="AL3418" s="55"/>
      <c r="AM3418" s="55"/>
      <c r="AN3418" s="55"/>
      <c r="AO3418" s="55"/>
      <c r="AP3418" s="28" t="str">
        <f t="shared" si="1014"/>
        <v>20214</v>
      </c>
      <c r="AQ3418" s="28" t="str">
        <f t="shared" si="1015"/>
        <v/>
      </c>
      <c r="AR3418" s="206" t="str">
        <f t="shared" si="1016"/>
        <v>C66 SERVICE</v>
      </c>
      <c r="AS3418" s="22" t="str">
        <f t="shared" si="1017"/>
        <v/>
      </c>
      <c r="AT3418" s="24" t="str">
        <f t="shared" si="1018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19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5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06"/>
        <v>43684091.636631854</v>
      </c>
      <c r="AJ3419" s="19">
        <f t="shared" si="1007"/>
        <v>6483951.8242071122</v>
      </c>
      <c r="AK3419" s="20">
        <f t="shared" si="1013"/>
        <v>0.14842821680123736</v>
      </c>
      <c r="AL3419" s="55"/>
      <c r="AM3419" s="55"/>
      <c r="AN3419" s="55"/>
      <c r="AO3419" s="55"/>
      <c r="AP3419" s="28" t="str">
        <f t="shared" si="1014"/>
        <v>20214</v>
      </c>
      <c r="AQ3419" s="28" t="str">
        <f t="shared" si="1015"/>
        <v/>
      </c>
      <c r="AR3419" s="206" t="str">
        <f t="shared" si="1016"/>
        <v>C66 SERVICE</v>
      </c>
      <c r="AS3419" s="22" t="str">
        <f t="shared" si="1017"/>
        <v/>
      </c>
      <c r="AT3419" s="24" t="str">
        <f t="shared" si="1018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19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5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06"/>
        <v>43684091.636631854</v>
      </c>
      <c r="AJ3420" s="19">
        <f t="shared" si="1007"/>
        <v>6483951.8242071122</v>
      </c>
      <c r="AK3420" s="20">
        <f t="shared" si="1013"/>
        <v>0.14842821680123736</v>
      </c>
      <c r="AL3420" s="55"/>
      <c r="AM3420" s="55"/>
      <c r="AN3420" s="55"/>
      <c r="AO3420" s="55"/>
      <c r="AP3420" s="28" t="str">
        <f t="shared" si="1014"/>
        <v>20214</v>
      </c>
      <c r="AQ3420" s="28" t="str">
        <f t="shared" si="1015"/>
        <v/>
      </c>
      <c r="AR3420" s="206" t="str">
        <f t="shared" si="1016"/>
        <v>C66 SERVICE</v>
      </c>
      <c r="AS3420" s="22" t="str">
        <f t="shared" si="1017"/>
        <v/>
      </c>
      <c r="AT3420" s="24" t="str">
        <f t="shared" si="1018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19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5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06"/>
        <v>43684091.636631854</v>
      </c>
      <c r="AJ3421" s="19">
        <f t="shared" si="1007"/>
        <v>6483951.8242071122</v>
      </c>
      <c r="AK3421" s="20">
        <f t="shared" si="1013"/>
        <v>0.14842821680123736</v>
      </c>
      <c r="AL3421" s="55"/>
      <c r="AM3421" s="55"/>
      <c r="AN3421" s="55"/>
      <c r="AO3421" s="55"/>
      <c r="AP3421" s="28" t="str">
        <f t="shared" si="1014"/>
        <v>20214</v>
      </c>
      <c r="AQ3421" s="28" t="str">
        <f t="shared" si="1015"/>
        <v/>
      </c>
      <c r="AR3421" s="206" t="str">
        <f t="shared" si="1016"/>
        <v>C66 SERVICE</v>
      </c>
      <c r="AS3421" s="22" t="str">
        <f t="shared" si="1017"/>
        <v/>
      </c>
      <c r="AT3421" s="24" t="str">
        <f t="shared" si="1018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19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0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06"/>
        <v>63006605.696460173</v>
      </c>
      <c r="AJ3422" s="19">
        <f t="shared" si="1007"/>
        <v>8897485.660753984</v>
      </c>
      <c r="AK3422" s="20">
        <f t="shared" si="1013"/>
        <v>0.141215124388995</v>
      </c>
      <c r="AL3422" s="55"/>
      <c r="AM3422" s="55"/>
      <c r="AN3422" s="55"/>
      <c r="AO3422" s="55"/>
      <c r="AP3422" s="28" t="str">
        <f t="shared" si="1014"/>
        <v>20215</v>
      </c>
      <c r="AQ3422" s="28" t="str">
        <f t="shared" si="1015"/>
        <v/>
      </c>
      <c r="AR3422" s="206" t="str">
        <f t="shared" si="1016"/>
        <v>C66 SERVICE</v>
      </c>
      <c r="AS3422" s="22" t="str">
        <f t="shared" si="1017"/>
        <v/>
      </c>
      <c r="AT3422" s="24" t="str">
        <f t="shared" si="1018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19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0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06"/>
        <v>63006605.696460173</v>
      </c>
      <c r="AJ3423" s="19">
        <f t="shared" si="1007"/>
        <v>8897485.660753984</v>
      </c>
      <c r="AK3423" s="20">
        <f t="shared" si="1013"/>
        <v>0.141215124388995</v>
      </c>
      <c r="AL3423" s="55"/>
      <c r="AM3423" s="55"/>
      <c r="AN3423" s="55"/>
      <c r="AO3423" s="55"/>
      <c r="AP3423" s="28" t="str">
        <f t="shared" si="1014"/>
        <v>20215</v>
      </c>
      <c r="AQ3423" s="28" t="str">
        <f t="shared" si="1015"/>
        <v/>
      </c>
      <c r="AR3423" s="206" t="str">
        <f t="shared" si="1016"/>
        <v>C66 SERVICE</v>
      </c>
      <c r="AS3423" s="22" t="str">
        <f t="shared" si="1017"/>
        <v/>
      </c>
      <c r="AT3423" s="24" t="str">
        <f t="shared" si="1018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19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0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06"/>
        <v>63006605.696460173</v>
      </c>
      <c r="AJ3424" s="19">
        <f t="shared" si="1007"/>
        <v>8897485.660753984</v>
      </c>
      <c r="AK3424" s="20">
        <f t="shared" si="1013"/>
        <v>0.141215124388995</v>
      </c>
      <c r="AL3424" s="55"/>
      <c r="AM3424" s="55"/>
      <c r="AN3424" s="55"/>
      <c r="AO3424" s="55"/>
      <c r="AP3424" s="28" t="str">
        <f t="shared" si="1014"/>
        <v>20215</v>
      </c>
      <c r="AQ3424" s="28" t="str">
        <f t="shared" si="1015"/>
        <v/>
      </c>
      <c r="AR3424" s="206" t="str">
        <f t="shared" si="1016"/>
        <v>C66 SERVICE</v>
      </c>
      <c r="AS3424" s="22" t="str">
        <f t="shared" si="1017"/>
        <v/>
      </c>
      <c r="AT3424" s="24" t="str">
        <f t="shared" si="1018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19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0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06"/>
        <v>63006605.696460173</v>
      </c>
      <c r="AJ3425" s="19">
        <f t="shared" si="1007"/>
        <v>8897485.660753984</v>
      </c>
      <c r="AK3425" s="20">
        <f t="shared" si="1013"/>
        <v>0.141215124388995</v>
      </c>
      <c r="AL3425" s="55"/>
      <c r="AM3425" s="55"/>
      <c r="AN3425" s="55"/>
      <c r="AO3425" s="55"/>
      <c r="AP3425" s="28" t="str">
        <f t="shared" si="1014"/>
        <v>20215</v>
      </c>
      <c r="AQ3425" s="28" t="str">
        <f t="shared" si="1015"/>
        <v/>
      </c>
      <c r="AR3425" s="206" t="str">
        <f t="shared" si="1016"/>
        <v>C66 SERVICE</v>
      </c>
      <c r="AS3425" s="22" t="str">
        <f t="shared" si="1017"/>
        <v/>
      </c>
      <c r="AT3425" s="24" t="str">
        <f t="shared" si="1018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19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0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06"/>
        <v>54700260.692079648</v>
      </c>
      <c r="AJ3426" s="19">
        <f t="shared" si="1007"/>
        <v>7482899.5749188727</v>
      </c>
      <c r="AK3426" s="20">
        <f t="shared" si="1013"/>
        <v>0.13679824337660537</v>
      </c>
      <c r="AL3426" s="55"/>
      <c r="AM3426" s="55"/>
      <c r="AN3426" s="55"/>
      <c r="AO3426" s="55"/>
      <c r="AP3426" s="28" t="str">
        <f t="shared" si="1014"/>
        <v>20216</v>
      </c>
      <c r="AQ3426" s="28" t="str">
        <f t="shared" si="1015"/>
        <v/>
      </c>
      <c r="AR3426" s="206" t="str">
        <f t="shared" si="1016"/>
        <v>C66 SERVICE</v>
      </c>
      <c r="AS3426" s="22" t="str">
        <f t="shared" si="1017"/>
        <v/>
      </c>
      <c r="AT3426" s="24" t="str">
        <f t="shared" si="1018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19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0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06"/>
        <v>54700260.692079648</v>
      </c>
      <c r="AJ3427" s="19">
        <f t="shared" si="1007"/>
        <v>7482899.5749188727</v>
      </c>
      <c r="AK3427" s="20">
        <f t="shared" si="1013"/>
        <v>0.13679824337660537</v>
      </c>
      <c r="AL3427" s="55"/>
      <c r="AM3427" s="55"/>
      <c r="AN3427" s="55"/>
      <c r="AO3427" s="55"/>
      <c r="AP3427" s="28" t="str">
        <f t="shared" si="1014"/>
        <v>20216</v>
      </c>
      <c r="AQ3427" s="28" t="str">
        <f t="shared" si="1015"/>
        <v/>
      </c>
      <c r="AR3427" s="206" t="str">
        <f t="shared" si="1016"/>
        <v>C66 SERVICE</v>
      </c>
      <c r="AS3427" s="22" t="str">
        <f t="shared" si="1017"/>
        <v/>
      </c>
      <c r="AT3427" s="24" t="str">
        <f t="shared" si="1018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19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0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06"/>
        <v>54700260.692079648</v>
      </c>
      <c r="AJ3428" s="19">
        <f t="shared" si="1007"/>
        <v>7482899.5749188727</v>
      </c>
      <c r="AK3428" s="20">
        <f t="shared" si="1013"/>
        <v>0.13679824337660537</v>
      </c>
      <c r="AL3428" s="55"/>
      <c r="AM3428" s="55"/>
      <c r="AN3428" s="55"/>
      <c r="AO3428" s="55"/>
      <c r="AP3428" s="28" t="str">
        <f t="shared" si="1014"/>
        <v>20216</v>
      </c>
      <c r="AQ3428" s="28" t="str">
        <f t="shared" si="1015"/>
        <v/>
      </c>
      <c r="AR3428" s="206" t="str">
        <f t="shared" si="1016"/>
        <v>C66 SERVICE</v>
      </c>
      <c r="AS3428" s="22" t="str">
        <f t="shared" si="1017"/>
        <v/>
      </c>
      <c r="AT3428" s="24" t="str">
        <f t="shared" si="1018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19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0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06"/>
        <v>54700260.692079648</v>
      </c>
      <c r="AJ3429" s="19">
        <f t="shared" si="1007"/>
        <v>7482899.5749188727</v>
      </c>
      <c r="AK3429" s="20">
        <f t="shared" si="1013"/>
        <v>0.13679824337660537</v>
      </c>
      <c r="AL3429" s="55"/>
      <c r="AM3429" s="55"/>
      <c r="AN3429" s="55"/>
      <c r="AO3429" s="55"/>
      <c r="AP3429" s="28" t="str">
        <f t="shared" si="1014"/>
        <v>20216</v>
      </c>
      <c r="AQ3429" s="28" t="str">
        <f t="shared" si="1015"/>
        <v/>
      </c>
      <c r="AR3429" s="206" t="str">
        <f t="shared" si="1016"/>
        <v>C66 SERVICE</v>
      </c>
      <c r="AS3429" s="22" t="str">
        <f t="shared" si="1017"/>
        <v/>
      </c>
      <c r="AT3429" s="24" t="str">
        <f t="shared" si="1018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19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0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06"/>
        <v>41443303.53761062</v>
      </c>
      <c r="AJ3430" s="19">
        <f t="shared" si="1007"/>
        <v>6194988.76643031</v>
      </c>
      <c r="AK3430" s="20">
        <f t="shared" si="1013"/>
        <v>0.1494810557466355</v>
      </c>
      <c r="AL3430" s="55"/>
      <c r="AM3430" s="55"/>
      <c r="AN3430" s="55"/>
      <c r="AO3430" s="55"/>
      <c r="AP3430" s="28" t="str">
        <f t="shared" si="1014"/>
        <v>20217</v>
      </c>
      <c r="AQ3430" s="28" t="str">
        <f t="shared" si="1015"/>
        <v/>
      </c>
      <c r="AR3430" s="206" t="str">
        <f t="shared" si="1016"/>
        <v>C66 SERVICE</v>
      </c>
      <c r="AS3430" s="22" t="str">
        <f t="shared" si="1017"/>
        <v/>
      </c>
      <c r="AT3430" s="24" t="str">
        <f t="shared" si="1018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19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0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06"/>
        <v>41443303.53761062</v>
      </c>
      <c r="AJ3431" s="19">
        <f t="shared" si="1007"/>
        <v>6194988.76643031</v>
      </c>
      <c r="AK3431" s="20">
        <f t="shared" si="1013"/>
        <v>0.1494810557466355</v>
      </c>
      <c r="AL3431" s="55"/>
      <c r="AM3431" s="55"/>
      <c r="AN3431" s="55"/>
      <c r="AO3431" s="55"/>
      <c r="AP3431" s="28" t="str">
        <f t="shared" si="1014"/>
        <v>20217</v>
      </c>
      <c r="AQ3431" s="28" t="str">
        <f t="shared" si="1015"/>
        <v/>
      </c>
      <c r="AR3431" s="206" t="str">
        <f t="shared" si="1016"/>
        <v>C66 SERVICE</v>
      </c>
      <c r="AS3431" s="22" t="str">
        <f t="shared" si="1017"/>
        <v/>
      </c>
      <c r="AT3431" s="24" t="str">
        <f t="shared" si="1018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19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0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06"/>
        <v>41443303.53761062</v>
      </c>
      <c r="AJ3432" s="19">
        <f t="shared" si="1007"/>
        <v>6194988.76643031</v>
      </c>
      <c r="AK3432" s="20">
        <f t="shared" si="1013"/>
        <v>0.1494810557466355</v>
      </c>
      <c r="AL3432" s="55"/>
      <c r="AM3432" s="55"/>
      <c r="AN3432" s="55"/>
      <c r="AO3432" s="55"/>
      <c r="AP3432" s="28" t="str">
        <f t="shared" si="1014"/>
        <v>20217</v>
      </c>
      <c r="AQ3432" s="28" t="str">
        <f t="shared" si="1015"/>
        <v/>
      </c>
      <c r="AR3432" s="206" t="str">
        <f t="shared" si="1016"/>
        <v>C66 SERVICE</v>
      </c>
      <c r="AS3432" s="22" t="str">
        <f t="shared" si="1017"/>
        <v/>
      </c>
      <c r="AT3432" s="24" t="str">
        <f t="shared" si="1018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19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0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06"/>
        <v>41443303.53761062</v>
      </c>
      <c r="AJ3433" s="19">
        <f t="shared" si="1007"/>
        <v>6194988.76643031</v>
      </c>
      <c r="AK3433" s="20">
        <f t="shared" si="1013"/>
        <v>0.1494810557466355</v>
      </c>
      <c r="AL3433" s="55"/>
      <c r="AM3433" s="55"/>
      <c r="AN3433" s="55"/>
      <c r="AO3433" s="55"/>
      <c r="AP3433" s="28" t="str">
        <f t="shared" si="1014"/>
        <v>20217</v>
      </c>
      <c r="AQ3433" s="28" t="str">
        <f t="shared" si="1015"/>
        <v/>
      </c>
      <c r="AR3433" s="206" t="str">
        <f t="shared" si="1016"/>
        <v>C66 SERVICE</v>
      </c>
      <c r="AS3433" s="22" t="str">
        <f t="shared" si="1017"/>
        <v/>
      </c>
      <c r="AT3433" s="24" t="str">
        <f t="shared" si="1018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19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0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06"/>
        <v>47458373.787610628</v>
      </c>
      <c r="AJ3434" s="19">
        <f t="shared" si="1007"/>
        <v>7436880.1411522133</v>
      </c>
      <c r="AK3434" s="20">
        <f t="shared" si="1013"/>
        <v>0.15670322321692506</v>
      </c>
      <c r="AL3434" s="55"/>
      <c r="AM3434" s="55"/>
      <c r="AN3434" s="55"/>
      <c r="AO3434" s="55"/>
      <c r="AP3434" s="28" t="str">
        <f t="shared" si="1014"/>
        <v>20218</v>
      </c>
      <c r="AQ3434" s="28" t="str">
        <f t="shared" si="1015"/>
        <v/>
      </c>
      <c r="AR3434" s="206" t="str">
        <f t="shared" si="1016"/>
        <v>C66 SERVICE</v>
      </c>
      <c r="AS3434" s="22" t="str">
        <f t="shared" si="1017"/>
        <v/>
      </c>
      <c r="AT3434" s="24" t="str">
        <f t="shared" si="1018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19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0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06"/>
        <v>47458373.787610628</v>
      </c>
      <c r="AJ3435" s="19">
        <f t="shared" si="1007"/>
        <v>7436880.1411522133</v>
      </c>
      <c r="AK3435" s="20">
        <f t="shared" si="1013"/>
        <v>0.15670322321692506</v>
      </c>
      <c r="AL3435" s="55"/>
      <c r="AM3435" s="55"/>
      <c r="AN3435" s="55"/>
      <c r="AO3435" s="55"/>
      <c r="AP3435" s="28" t="str">
        <f t="shared" si="1014"/>
        <v>20218</v>
      </c>
      <c r="AQ3435" s="28" t="str">
        <f t="shared" si="1015"/>
        <v/>
      </c>
      <c r="AR3435" s="206" t="str">
        <f t="shared" si="1016"/>
        <v>C66 SERVICE</v>
      </c>
      <c r="AS3435" s="22" t="str">
        <f t="shared" si="1017"/>
        <v/>
      </c>
      <c r="AT3435" s="24" t="str">
        <f t="shared" si="1018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19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0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06"/>
        <v>47458373.787610628</v>
      </c>
      <c r="AJ3436" s="19">
        <f t="shared" si="1007"/>
        <v>7436880.1411522133</v>
      </c>
      <c r="AK3436" s="20">
        <f t="shared" si="1013"/>
        <v>0.15670322321692506</v>
      </c>
      <c r="AL3436" s="55"/>
      <c r="AM3436" s="55"/>
      <c r="AN3436" s="55"/>
      <c r="AO3436" s="55"/>
      <c r="AP3436" s="28" t="str">
        <f t="shared" si="1014"/>
        <v>20218</v>
      </c>
      <c r="AQ3436" s="28" t="str">
        <f t="shared" si="1015"/>
        <v/>
      </c>
      <c r="AR3436" s="206" t="str">
        <f t="shared" si="1016"/>
        <v>C66 SERVICE</v>
      </c>
      <c r="AS3436" s="22" t="str">
        <f t="shared" si="1017"/>
        <v/>
      </c>
      <c r="AT3436" s="24" t="str">
        <f t="shared" si="1018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19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0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06"/>
        <v>47458373.787610628</v>
      </c>
      <c r="AJ3437" s="19">
        <f t="shared" si="1007"/>
        <v>7436880.1411522133</v>
      </c>
      <c r="AK3437" s="20">
        <f t="shared" si="1013"/>
        <v>0.15670322321692506</v>
      </c>
      <c r="AL3437" s="55"/>
      <c r="AM3437" s="55"/>
      <c r="AN3437" s="55"/>
      <c r="AO3437" s="55"/>
      <c r="AP3437" s="28" t="str">
        <f t="shared" si="1014"/>
        <v>20218</v>
      </c>
      <c r="AQ3437" s="28" t="str">
        <f t="shared" si="1015"/>
        <v/>
      </c>
      <c r="AR3437" s="206" t="str">
        <f t="shared" si="1016"/>
        <v>C66 SERVICE</v>
      </c>
      <c r="AS3437" s="22" t="str">
        <f t="shared" si="1017"/>
        <v/>
      </c>
      <c r="AT3437" s="24" t="str">
        <f t="shared" si="1018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19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0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06"/>
        <v>10844605.840707963</v>
      </c>
      <c r="AJ3438" s="19">
        <f t="shared" si="1007"/>
        <v>1523130.9860707966</v>
      </c>
      <c r="AK3438" s="20">
        <f t="shared" si="1013"/>
        <v>0.14045056209911663</v>
      </c>
      <c r="AL3438" s="55"/>
      <c r="AM3438" s="55"/>
      <c r="AN3438" s="55"/>
      <c r="AO3438" s="55"/>
      <c r="AP3438" s="28" t="str">
        <f t="shared" si="1014"/>
        <v>20219</v>
      </c>
      <c r="AQ3438" s="28" t="str">
        <f t="shared" si="1015"/>
        <v/>
      </c>
      <c r="AR3438" s="206" t="str">
        <f t="shared" si="1016"/>
        <v>C66 SERVICE</v>
      </c>
      <c r="AS3438" s="22" t="str">
        <f t="shared" si="1017"/>
        <v/>
      </c>
      <c r="AT3438" s="24" t="str">
        <f t="shared" si="1018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19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0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06"/>
        <v>10844605.840707963</v>
      </c>
      <c r="AJ3439" s="19">
        <f t="shared" si="1007"/>
        <v>1523130.9860707966</v>
      </c>
      <c r="AK3439" s="20">
        <f t="shared" si="1013"/>
        <v>0.14045056209911663</v>
      </c>
      <c r="AL3439" s="55"/>
      <c r="AM3439" s="55"/>
      <c r="AN3439" s="55"/>
      <c r="AO3439" s="55"/>
      <c r="AP3439" s="28" t="str">
        <f t="shared" si="1014"/>
        <v>20219</v>
      </c>
      <c r="AQ3439" s="28" t="str">
        <f t="shared" si="1015"/>
        <v/>
      </c>
      <c r="AR3439" s="206" t="str">
        <f t="shared" si="1016"/>
        <v>C66 SERVICE</v>
      </c>
      <c r="AS3439" s="22" t="str">
        <f t="shared" si="1017"/>
        <v/>
      </c>
      <c r="AT3439" s="24" t="str">
        <f t="shared" si="1018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19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0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06"/>
        <v>10844605.840707963</v>
      </c>
      <c r="AJ3440" s="19">
        <f t="shared" si="1007"/>
        <v>1523130.9860707966</v>
      </c>
      <c r="AK3440" s="20">
        <f t="shared" si="1013"/>
        <v>0.14045056209911663</v>
      </c>
      <c r="AL3440" s="55"/>
      <c r="AM3440" s="55"/>
      <c r="AN3440" s="55"/>
      <c r="AO3440" s="55"/>
      <c r="AP3440" s="28" t="str">
        <f t="shared" si="1014"/>
        <v>20219</v>
      </c>
      <c r="AQ3440" s="28" t="str">
        <f t="shared" si="1015"/>
        <v/>
      </c>
      <c r="AR3440" s="206" t="str">
        <f t="shared" si="1016"/>
        <v>C66 SERVICE</v>
      </c>
      <c r="AS3440" s="22" t="str">
        <f t="shared" si="1017"/>
        <v/>
      </c>
      <c r="AT3440" s="24" t="str">
        <f t="shared" si="1018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19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0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06"/>
        <v>10844605.840707963</v>
      </c>
      <c r="AJ3441" s="19">
        <f t="shared" si="1007"/>
        <v>1523130.9860707966</v>
      </c>
      <c r="AK3441" s="20">
        <f t="shared" si="1013"/>
        <v>0.14045056209911663</v>
      </c>
      <c r="AL3441" s="55"/>
      <c r="AM3441" s="55"/>
      <c r="AN3441" s="55"/>
      <c r="AO3441" s="55"/>
      <c r="AP3441" s="28" t="str">
        <f t="shared" si="1014"/>
        <v>20219</v>
      </c>
      <c r="AQ3441" s="28" t="str">
        <f t="shared" si="1015"/>
        <v/>
      </c>
      <c r="AR3441" s="206" t="str">
        <f t="shared" si="1016"/>
        <v>C66 SERVICE</v>
      </c>
      <c r="AS3441" s="22" t="str">
        <f t="shared" si="1017"/>
        <v/>
      </c>
      <c r="AT3441" s="24" t="str">
        <f t="shared" si="1018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19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0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06"/>
        <v>15533177.71460177</v>
      </c>
      <c r="AJ3442" s="19">
        <f t="shared" si="1007"/>
        <v>1819298.5437526547</v>
      </c>
      <c r="AK3442" s="20">
        <f t="shared" si="1013"/>
        <v>0.11712339723265033</v>
      </c>
      <c r="AL3442" s="55"/>
      <c r="AM3442" s="55"/>
      <c r="AN3442" s="55"/>
      <c r="AO3442" s="55"/>
      <c r="AP3442" s="28" t="str">
        <f t="shared" si="1014"/>
        <v>202110</v>
      </c>
      <c r="AQ3442" s="28" t="str">
        <f t="shared" si="1015"/>
        <v/>
      </c>
      <c r="AR3442" s="206" t="str">
        <f t="shared" si="1016"/>
        <v>C66 SERVICE</v>
      </c>
      <c r="AS3442" s="22" t="str">
        <f t="shared" si="1017"/>
        <v/>
      </c>
      <c r="AT3442" s="24" t="str">
        <f t="shared" si="1018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19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0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06"/>
        <v>15533177.71460177</v>
      </c>
      <c r="AJ3443" s="19">
        <f t="shared" si="1007"/>
        <v>1819298.5437526547</v>
      </c>
      <c r="AK3443" s="20">
        <f t="shared" si="1013"/>
        <v>0.11712339723265033</v>
      </c>
      <c r="AL3443" s="55"/>
      <c r="AM3443" s="55"/>
      <c r="AN3443" s="55"/>
      <c r="AO3443" s="55"/>
      <c r="AP3443" s="28" t="str">
        <f t="shared" si="1014"/>
        <v>202110</v>
      </c>
      <c r="AQ3443" s="28" t="str">
        <f t="shared" si="1015"/>
        <v/>
      </c>
      <c r="AR3443" s="206" t="str">
        <f t="shared" si="1016"/>
        <v>C66 SERVICE</v>
      </c>
      <c r="AS3443" s="22" t="str">
        <f t="shared" si="1017"/>
        <v/>
      </c>
      <c r="AT3443" s="24" t="str">
        <f t="shared" si="1018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19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0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06"/>
        <v>15533177.71460177</v>
      </c>
      <c r="AJ3444" s="19">
        <f t="shared" si="1007"/>
        <v>1819298.5437526547</v>
      </c>
      <c r="AK3444" s="20">
        <f t="shared" si="1013"/>
        <v>0.11712339723265033</v>
      </c>
      <c r="AL3444" s="55"/>
      <c r="AM3444" s="55"/>
      <c r="AN3444" s="55"/>
      <c r="AO3444" s="55"/>
      <c r="AP3444" s="28" t="str">
        <f t="shared" si="1014"/>
        <v>202110</v>
      </c>
      <c r="AQ3444" s="28" t="str">
        <f t="shared" si="1015"/>
        <v/>
      </c>
      <c r="AR3444" s="206" t="str">
        <f t="shared" si="1016"/>
        <v>C66 SERVICE</v>
      </c>
      <c r="AS3444" s="22" t="str">
        <f t="shared" si="1017"/>
        <v/>
      </c>
      <c r="AT3444" s="24" t="str">
        <f t="shared" si="1018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19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0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06"/>
        <v>15533177.71460177</v>
      </c>
      <c r="AJ3445" s="19">
        <f t="shared" si="1007"/>
        <v>1819298.5437526547</v>
      </c>
      <c r="AK3445" s="20">
        <f t="shared" si="1013"/>
        <v>0.11712339723265033</v>
      </c>
      <c r="AL3445" s="55"/>
      <c r="AM3445" s="55"/>
      <c r="AN3445" s="55"/>
      <c r="AO3445" s="55"/>
      <c r="AP3445" s="28" t="str">
        <f t="shared" si="1014"/>
        <v>202110</v>
      </c>
      <c r="AQ3445" s="28" t="str">
        <f t="shared" si="1015"/>
        <v/>
      </c>
      <c r="AR3445" s="206" t="str">
        <f t="shared" si="1016"/>
        <v>C66 SERVICE</v>
      </c>
      <c r="AS3445" s="22" t="str">
        <f t="shared" si="1017"/>
        <v/>
      </c>
      <c r="AT3445" s="24" t="str">
        <f t="shared" si="1018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19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0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06"/>
        <v>29500529.005044252</v>
      </c>
      <c r="AJ3446" s="19">
        <f t="shared" si="1007"/>
        <v>3253064.846231177</v>
      </c>
      <c r="AK3446" s="20">
        <f t="shared" si="1013"/>
        <v>0.11027140718984871</v>
      </c>
      <c r="AL3446" s="55"/>
      <c r="AM3446" s="55"/>
      <c r="AN3446" s="55"/>
      <c r="AO3446" s="55"/>
      <c r="AP3446" s="28" t="str">
        <f t="shared" si="1014"/>
        <v>202111</v>
      </c>
      <c r="AQ3446" s="28" t="str">
        <f t="shared" si="1015"/>
        <v/>
      </c>
      <c r="AR3446" s="206" t="str">
        <f t="shared" si="1016"/>
        <v>C66 SERVICE</v>
      </c>
      <c r="AS3446" s="22" t="str">
        <f t="shared" si="1017"/>
        <v/>
      </c>
      <c r="AT3446" s="24" t="str">
        <f t="shared" si="1018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19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0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06"/>
        <v>29500529.005044252</v>
      </c>
      <c r="AJ3447" s="19">
        <f t="shared" si="1007"/>
        <v>3253064.846231177</v>
      </c>
      <c r="AK3447" s="20">
        <f t="shared" si="1013"/>
        <v>0.11027140718984871</v>
      </c>
      <c r="AL3447" s="55"/>
      <c r="AM3447" s="55"/>
      <c r="AN3447" s="55"/>
      <c r="AO3447" s="55"/>
      <c r="AP3447" s="28" t="str">
        <f t="shared" si="1014"/>
        <v>202111</v>
      </c>
      <c r="AQ3447" s="28" t="str">
        <f t="shared" si="1015"/>
        <v/>
      </c>
      <c r="AR3447" s="206" t="str">
        <f t="shared" si="1016"/>
        <v>C66 SERVICE</v>
      </c>
      <c r="AS3447" s="22" t="str">
        <f t="shared" si="1017"/>
        <v/>
      </c>
      <c r="AT3447" s="24" t="str">
        <f t="shared" si="1018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19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0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06"/>
        <v>29500529.005044252</v>
      </c>
      <c r="AJ3448" s="19">
        <f t="shared" si="1007"/>
        <v>3253064.846231177</v>
      </c>
      <c r="AK3448" s="20">
        <f t="shared" si="1013"/>
        <v>0.11027140718984871</v>
      </c>
      <c r="AL3448" s="55"/>
      <c r="AM3448" s="55"/>
      <c r="AN3448" s="55"/>
      <c r="AO3448" s="55"/>
      <c r="AP3448" s="28" t="str">
        <f t="shared" si="1014"/>
        <v>202111</v>
      </c>
      <c r="AQ3448" s="28" t="str">
        <f t="shared" si="1015"/>
        <v/>
      </c>
      <c r="AR3448" s="206" t="str">
        <f t="shared" si="1016"/>
        <v>C66 SERVICE</v>
      </c>
      <c r="AS3448" s="22" t="str">
        <f t="shared" si="1017"/>
        <v/>
      </c>
      <c r="AT3448" s="24" t="str">
        <f t="shared" si="1018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19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0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06"/>
        <v>29500529.005044252</v>
      </c>
      <c r="AJ3449" s="19">
        <f t="shared" si="1007"/>
        <v>3253064.846231177</v>
      </c>
      <c r="AK3449" s="20">
        <f t="shared" si="1013"/>
        <v>0.11027140718984871</v>
      </c>
      <c r="AL3449" s="55"/>
      <c r="AM3449" s="55"/>
      <c r="AN3449" s="55"/>
      <c r="AO3449" s="55"/>
      <c r="AP3449" s="28" t="str">
        <f t="shared" si="1014"/>
        <v>202111</v>
      </c>
      <c r="AQ3449" s="28" t="str">
        <f t="shared" si="1015"/>
        <v/>
      </c>
      <c r="AR3449" s="206" t="str">
        <f t="shared" si="1016"/>
        <v>C66 SERVICE</v>
      </c>
      <c r="AS3449" s="22" t="str">
        <f t="shared" si="1017"/>
        <v/>
      </c>
      <c r="AT3449" s="24" t="str">
        <f t="shared" si="1018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19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0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06"/>
        <v>25380121.402654871</v>
      </c>
      <c r="AJ3450" s="19">
        <f t="shared" si="1007"/>
        <v>3850343.1237796471</v>
      </c>
      <c r="AK3450" s="20">
        <f t="shared" si="1013"/>
        <v>0.1517070412191521</v>
      </c>
      <c r="AL3450" s="55"/>
      <c r="AM3450" s="55"/>
      <c r="AN3450" s="55"/>
      <c r="AO3450" s="55"/>
      <c r="AP3450" s="28" t="str">
        <f t="shared" si="1014"/>
        <v>202112</v>
      </c>
      <c r="AQ3450" s="28" t="str">
        <f t="shared" si="1015"/>
        <v/>
      </c>
      <c r="AR3450" s="206" t="str">
        <f t="shared" si="1016"/>
        <v>C66 SERVICE</v>
      </c>
      <c r="AS3450" s="22" t="str">
        <f t="shared" si="1017"/>
        <v/>
      </c>
      <c r="AT3450" s="24" t="str">
        <f t="shared" si="1018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19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0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06"/>
        <v>25380121.402654871</v>
      </c>
      <c r="AJ3451" s="19">
        <f t="shared" si="1007"/>
        <v>3850343.1237796471</v>
      </c>
      <c r="AK3451" s="20">
        <f t="shared" si="1013"/>
        <v>0.1517070412191521</v>
      </c>
      <c r="AL3451" s="55"/>
      <c r="AM3451" s="55"/>
      <c r="AN3451" s="55"/>
      <c r="AO3451" s="55"/>
      <c r="AP3451" s="28" t="str">
        <f t="shared" si="1014"/>
        <v>202112</v>
      </c>
      <c r="AQ3451" s="28" t="str">
        <f t="shared" si="1015"/>
        <v/>
      </c>
      <c r="AR3451" s="206" t="str">
        <f t="shared" si="1016"/>
        <v>C66 SERVICE</v>
      </c>
      <c r="AS3451" s="22" t="str">
        <f t="shared" si="1017"/>
        <v/>
      </c>
      <c r="AT3451" s="24" t="str">
        <f t="shared" si="1018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19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0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06"/>
        <v>25380121.402654871</v>
      </c>
      <c r="AJ3452" s="19">
        <f t="shared" si="1007"/>
        <v>3850343.1237796471</v>
      </c>
      <c r="AK3452" s="20">
        <f t="shared" si="1013"/>
        <v>0.1517070412191521</v>
      </c>
      <c r="AL3452" s="55"/>
      <c r="AM3452" s="55"/>
      <c r="AN3452" s="55"/>
      <c r="AO3452" s="55"/>
      <c r="AP3452" s="28" t="str">
        <f t="shared" si="1014"/>
        <v>202112</v>
      </c>
      <c r="AQ3452" s="28" t="str">
        <f t="shared" si="1015"/>
        <v/>
      </c>
      <c r="AR3452" s="206" t="str">
        <f t="shared" si="1016"/>
        <v>C66 SERVICE</v>
      </c>
      <c r="AS3452" s="22" t="str">
        <f t="shared" si="1017"/>
        <v/>
      </c>
      <c r="AT3452" s="24" t="str">
        <f t="shared" si="1018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19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0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06"/>
        <v>25380121.402654871</v>
      </c>
      <c r="AJ3453" s="19">
        <f t="shared" si="1007"/>
        <v>3850343.1237796471</v>
      </c>
      <c r="AK3453" s="20">
        <f t="shared" si="1013"/>
        <v>0.1517070412191521</v>
      </c>
      <c r="AL3453" s="55"/>
      <c r="AM3453" s="55"/>
      <c r="AN3453" s="55"/>
      <c r="AO3453" s="55"/>
      <c r="AP3453" s="28" t="str">
        <f t="shared" si="1014"/>
        <v>202112</v>
      </c>
      <c r="AQ3453" s="28" t="str">
        <f t="shared" si="1015"/>
        <v/>
      </c>
      <c r="AR3453" s="206" t="str">
        <f t="shared" si="1016"/>
        <v>C66 SERVICE</v>
      </c>
      <c r="AS3453" s="22" t="str">
        <f t="shared" si="1017"/>
        <v/>
      </c>
      <c r="AT3453" s="24" t="str">
        <f t="shared" si="1018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19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0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06"/>
        <v>26407088.359292038</v>
      </c>
      <c r="AJ3454" s="19">
        <f t="shared" si="1007"/>
        <v>3424510.6998470789</v>
      </c>
      <c r="AK3454" s="20">
        <f t="shared" si="1013"/>
        <v>0.12968149510667554</v>
      </c>
      <c r="AL3454" s="55"/>
      <c r="AM3454" s="55"/>
      <c r="AN3454" s="55"/>
      <c r="AO3454" s="55"/>
      <c r="AP3454" s="28" t="str">
        <f t="shared" si="1014"/>
        <v>20221</v>
      </c>
      <c r="AQ3454" s="28" t="str">
        <f t="shared" si="1015"/>
        <v/>
      </c>
      <c r="AR3454" s="206" t="str">
        <f t="shared" si="1016"/>
        <v>C66 SERVICE</v>
      </c>
      <c r="AS3454" s="22" t="str">
        <f t="shared" si="1017"/>
        <v/>
      </c>
      <c r="AT3454" s="24" t="str">
        <f t="shared" si="1018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19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0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06"/>
        <v>26407088.359292038</v>
      </c>
      <c r="AJ3455" s="19">
        <f t="shared" si="1007"/>
        <v>3424510.6998470789</v>
      </c>
      <c r="AK3455" s="20">
        <f t="shared" si="1013"/>
        <v>0.12968149510667554</v>
      </c>
      <c r="AL3455" s="55"/>
      <c r="AM3455" s="55"/>
      <c r="AN3455" s="55"/>
      <c r="AO3455" s="55"/>
      <c r="AP3455" s="28" t="str">
        <f t="shared" si="1014"/>
        <v>20221</v>
      </c>
      <c r="AQ3455" s="28" t="str">
        <f t="shared" si="1015"/>
        <v/>
      </c>
      <c r="AR3455" s="206" t="str">
        <f t="shared" si="1016"/>
        <v>C66 SERVICE</v>
      </c>
      <c r="AS3455" s="22" t="str">
        <f t="shared" si="1017"/>
        <v/>
      </c>
      <c r="AT3455" s="24" t="str">
        <f t="shared" si="1018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19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0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06"/>
        <v>26407088.359292038</v>
      </c>
      <c r="AJ3456" s="19">
        <f t="shared" si="1007"/>
        <v>3424510.6998470789</v>
      </c>
      <c r="AK3456" s="20">
        <f t="shared" si="1013"/>
        <v>0.12968149510667554</v>
      </c>
      <c r="AL3456" s="55"/>
      <c r="AM3456" s="55"/>
      <c r="AN3456" s="55"/>
      <c r="AO3456" s="55"/>
      <c r="AP3456" s="28" t="str">
        <f t="shared" si="1014"/>
        <v>20221</v>
      </c>
      <c r="AQ3456" s="28" t="str">
        <f t="shared" si="1015"/>
        <v/>
      </c>
      <c r="AR3456" s="206" t="str">
        <f t="shared" si="1016"/>
        <v>C66 SERVICE</v>
      </c>
      <c r="AS3456" s="22" t="str">
        <f t="shared" si="1017"/>
        <v/>
      </c>
      <c r="AT3456" s="24" t="str">
        <f t="shared" si="1018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19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0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06"/>
        <v>26407088.359292038</v>
      </c>
      <c r="AJ3457" s="19">
        <f t="shared" si="1007"/>
        <v>3424510.6998470789</v>
      </c>
      <c r="AK3457" s="20">
        <f t="shared" si="1013"/>
        <v>0.12968149510667554</v>
      </c>
      <c r="AL3457" s="55"/>
      <c r="AM3457" s="55"/>
      <c r="AN3457" s="55"/>
      <c r="AO3457" s="55"/>
      <c r="AP3457" s="28" t="str">
        <f t="shared" si="1014"/>
        <v>20221</v>
      </c>
      <c r="AQ3457" s="28" t="str">
        <f t="shared" si="1015"/>
        <v/>
      </c>
      <c r="AR3457" s="206" t="str">
        <f t="shared" si="1016"/>
        <v>C66 SERVICE</v>
      </c>
      <c r="AS3457" s="22" t="str">
        <f t="shared" si="1017"/>
        <v/>
      </c>
      <c r="AT3457" s="24" t="str">
        <f t="shared" si="1018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19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0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1">IF(P3458="C66 SERVICE","",SUMIFS(AB:AB,F:F,F3458,G:G,G3458,E:E,E3458))</f>
        <v>31750699.113741599</v>
      </c>
      <c r="AJ3458" s="19">
        <f t="shared" ref="AJ3458:AJ3521" si="1022">IF(P3458="C66 SERVICE","",SUMIFS(AC:AC,F:F,F3458,G:G,G3458,E:E,E3458))</f>
        <v>4396077.3195289988</v>
      </c>
      <c r="AK3458" s="20">
        <f t="shared" si="1013"/>
        <v>0.13845607946397598</v>
      </c>
      <c r="AL3458" s="55"/>
      <c r="AM3458" s="55"/>
      <c r="AN3458" s="55"/>
      <c r="AO3458" s="55"/>
      <c r="AP3458" s="28" t="str">
        <f t="shared" si="1014"/>
        <v>20222</v>
      </c>
      <c r="AQ3458" s="28" t="str">
        <f t="shared" si="1015"/>
        <v/>
      </c>
      <c r="AR3458" s="206" t="str">
        <f t="shared" si="1016"/>
        <v>C66 SERVICE</v>
      </c>
      <c r="AS3458" s="22" t="str">
        <f t="shared" si="1017"/>
        <v/>
      </c>
      <c r="AT3458" s="24" t="str">
        <f t="shared" si="1018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19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0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1"/>
        <v>31750699.113741599</v>
      </c>
      <c r="AJ3459" s="19">
        <f t="shared" si="1022"/>
        <v>4396077.3195289988</v>
      </c>
      <c r="AK3459" s="20">
        <f t="shared" si="1013"/>
        <v>0.13845607946397598</v>
      </c>
      <c r="AL3459" s="55"/>
      <c r="AM3459" s="55"/>
      <c r="AN3459" s="55"/>
      <c r="AO3459" s="55"/>
      <c r="AP3459" s="28" t="str">
        <f t="shared" si="1014"/>
        <v>20222</v>
      </c>
      <c r="AQ3459" s="28" t="str">
        <f t="shared" si="1015"/>
        <v/>
      </c>
      <c r="AR3459" s="206" t="str">
        <f t="shared" si="1016"/>
        <v>C66 SERVICE</v>
      </c>
      <c r="AS3459" s="22" t="str">
        <f t="shared" si="1017"/>
        <v/>
      </c>
      <c r="AT3459" s="24" t="str">
        <f t="shared" si="1018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19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0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1"/>
        <v>31750699.113741599</v>
      </c>
      <c r="AJ3460" s="19">
        <f t="shared" si="1022"/>
        <v>4396077.3195289988</v>
      </c>
      <c r="AK3460" s="20">
        <f t="shared" si="1013"/>
        <v>0.13845607946397598</v>
      </c>
      <c r="AL3460" s="55"/>
      <c r="AM3460" s="55"/>
      <c r="AN3460" s="55"/>
      <c r="AO3460" s="55"/>
      <c r="AP3460" s="28" t="str">
        <f t="shared" si="1014"/>
        <v>20222</v>
      </c>
      <c r="AQ3460" s="28" t="str">
        <f t="shared" si="1015"/>
        <v/>
      </c>
      <c r="AR3460" s="206" t="str">
        <f t="shared" si="1016"/>
        <v>C66 SERVICE</v>
      </c>
      <c r="AS3460" s="22" t="str">
        <f t="shared" si="1017"/>
        <v/>
      </c>
      <c r="AT3460" s="24" t="str">
        <f t="shared" si="1018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19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0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1"/>
        <v>31750699.113741599</v>
      </c>
      <c r="AJ3461" s="19">
        <f t="shared" si="1022"/>
        <v>4396077.3195289988</v>
      </c>
      <c r="AK3461" s="20">
        <f t="shared" si="1013"/>
        <v>0.13845607946397598</v>
      </c>
      <c r="AL3461" s="55"/>
      <c r="AM3461" s="55"/>
      <c r="AN3461" s="55"/>
      <c r="AO3461" s="55"/>
      <c r="AP3461" s="28" t="str">
        <f t="shared" si="1014"/>
        <v>20222</v>
      </c>
      <c r="AQ3461" s="28" t="str">
        <f t="shared" si="1015"/>
        <v/>
      </c>
      <c r="AR3461" s="206" t="str">
        <f t="shared" si="1016"/>
        <v>C66 SERVICE</v>
      </c>
      <c r="AS3461" s="22" t="str">
        <f t="shared" si="1017"/>
        <v/>
      </c>
      <c r="AT3461" s="24" t="str">
        <f t="shared" si="1018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19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0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1"/>
        <v>28726768.133805312</v>
      </c>
      <c r="AJ3462" s="19">
        <f t="shared" si="1022"/>
        <v>3853638.1988864429</v>
      </c>
      <c r="AK3462" s="20">
        <f t="shared" ref="AK3462:AK3525" si="102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29">IF(F3462="","",F3462&amp;G3462)</f>
        <v>20223</v>
      </c>
      <c r="AQ3462" s="28" t="str">
        <f t="shared" ref="AQ3462:AQ3525" si="1030">IF(W3462="","",F3462&amp;G3462&amp;W3462)</f>
        <v/>
      </c>
      <c r="AR3462" s="206" t="str">
        <f t="shared" ref="AR3462:AR3525" si="1031">IFERROR(IF(AND(M3462="YAMAHA", R3462="C28"), "YAMAHA_Non_Mounter", IF(AND(M3462="YAMAHA", R3462="C49"), "YAMAHA_Mounter", M3462)),"")</f>
        <v>C66 SERVICE</v>
      </c>
      <c r="AS3462" s="22" t="str">
        <f t="shared" ref="AS3462:AS3525" si="1032">IFERROR(IF(OR(G3462="TBA", G3462=""), "", DATEDIF(DATE(B3462, C3462, 1), DATE(F3462, G3462, 1), "M")),"")</f>
        <v/>
      </c>
      <c r="AT3462" s="24" t="str">
        <f t="shared" ref="AT3462:AT3525" si="103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19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0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1"/>
        <v>28726768.133805312</v>
      </c>
      <c r="AJ3463" s="19">
        <f t="shared" si="1022"/>
        <v>3853638.1988864429</v>
      </c>
      <c r="AK3463" s="20">
        <f t="shared" si="1028"/>
        <v>0.1341479898099476</v>
      </c>
      <c r="AL3463" s="55"/>
      <c r="AM3463" s="55"/>
      <c r="AN3463" s="55"/>
      <c r="AO3463" s="55"/>
      <c r="AP3463" s="28" t="str">
        <f t="shared" si="1029"/>
        <v>20223</v>
      </c>
      <c r="AQ3463" s="28" t="str">
        <f t="shared" si="1030"/>
        <v/>
      </c>
      <c r="AR3463" s="206" t="str">
        <f t="shared" si="1031"/>
        <v>C66 SERVICE</v>
      </c>
      <c r="AS3463" s="22" t="str">
        <f t="shared" si="1032"/>
        <v/>
      </c>
      <c r="AT3463" s="24" t="str">
        <f t="shared" si="1033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19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0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1"/>
        <v>28726768.133805312</v>
      </c>
      <c r="AJ3464" s="19">
        <f t="shared" si="1022"/>
        <v>3853638.1988864429</v>
      </c>
      <c r="AK3464" s="20">
        <f t="shared" si="1028"/>
        <v>0.1341479898099476</v>
      </c>
      <c r="AL3464" s="55"/>
      <c r="AM3464" s="55"/>
      <c r="AN3464" s="55"/>
      <c r="AO3464" s="55"/>
      <c r="AP3464" s="28" t="str">
        <f t="shared" si="1029"/>
        <v>20223</v>
      </c>
      <c r="AQ3464" s="28" t="str">
        <f t="shared" si="1030"/>
        <v/>
      </c>
      <c r="AR3464" s="206" t="str">
        <f t="shared" si="1031"/>
        <v>C66 SERVICE</v>
      </c>
      <c r="AS3464" s="22" t="str">
        <f t="shared" si="1032"/>
        <v/>
      </c>
      <c r="AT3464" s="24" t="str">
        <f t="shared" si="1033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19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0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1"/>
        <v>28726768.133805312</v>
      </c>
      <c r="AJ3465" s="19">
        <f t="shared" si="1022"/>
        <v>3853638.1988864429</v>
      </c>
      <c r="AK3465" s="20">
        <f t="shared" si="1028"/>
        <v>0.1341479898099476</v>
      </c>
      <c r="AL3465" s="55"/>
      <c r="AM3465" s="55"/>
      <c r="AN3465" s="55"/>
      <c r="AO3465" s="55"/>
      <c r="AP3465" s="28" t="str">
        <f t="shared" si="1029"/>
        <v>20223</v>
      </c>
      <c r="AQ3465" s="28" t="str">
        <f t="shared" si="1030"/>
        <v/>
      </c>
      <c r="AR3465" s="206" t="str">
        <f t="shared" si="1031"/>
        <v>C66 SERVICE</v>
      </c>
      <c r="AS3465" s="22" t="str">
        <f t="shared" si="1032"/>
        <v/>
      </c>
      <c r="AT3465" s="24" t="str">
        <f t="shared" si="1033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19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0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1"/>
        <v>7502645.9971681423</v>
      </c>
      <c r="AJ3466" s="19">
        <f t="shared" si="1022"/>
        <v>664841.72044240718</v>
      </c>
      <c r="AK3466" s="20">
        <f t="shared" si="1028"/>
        <v>8.861429963420242E-2</v>
      </c>
      <c r="AL3466" s="55"/>
      <c r="AM3466" s="55"/>
      <c r="AN3466" s="55"/>
      <c r="AO3466" s="55"/>
      <c r="AP3466" s="28" t="str">
        <f t="shared" si="1029"/>
        <v>20231</v>
      </c>
      <c r="AQ3466" s="28" t="str">
        <f t="shared" si="1030"/>
        <v/>
      </c>
      <c r="AR3466" s="206" t="str">
        <f t="shared" si="1031"/>
        <v>C66 SERVICE</v>
      </c>
      <c r="AS3466" s="22" t="str">
        <f t="shared" si="1032"/>
        <v/>
      </c>
      <c r="AT3466" s="24" t="str">
        <f t="shared" si="1033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19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0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1"/>
        <v>7502645.9971681423</v>
      </c>
      <c r="AJ3467" s="19">
        <f t="shared" si="1022"/>
        <v>664841.72044240718</v>
      </c>
      <c r="AK3467" s="20">
        <f t="shared" si="1028"/>
        <v>8.861429963420242E-2</v>
      </c>
      <c r="AL3467" s="55"/>
      <c r="AM3467" s="55"/>
      <c r="AN3467" s="55"/>
      <c r="AO3467" s="55"/>
      <c r="AP3467" s="28" t="str">
        <f t="shared" si="1029"/>
        <v>20231</v>
      </c>
      <c r="AQ3467" s="28" t="str">
        <f t="shared" si="1030"/>
        <v/>
      </c>
      <c r="AR3467" s="206" t="str">
        <f t="shared" si="1031"/>
        <v>C66 SERVICE</v>
      </c>
      <c r="AS3467" s="22" t="str">
        <f t="shared" si="1032"/>
        <v/>
      </c>
      <c r="AT3467" s="24" t="str">
        <f t="shared" si="1033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19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0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1"/>
        <v>7502645.9971681423</v>
      </c>
      <c r="AJ3468" s="19">
        <f t="shared" si="1022"/>
        <v>664841.72044240718</v>
      </c>
      <c r="AK3468" s="20">
        <f t="shared" si="1028"/>
        <v>8.861429963420242E-2</v>
      </c>
      <c r="AL3468" s="55"/>
      <c r="AM3468" s="55"/>
      <c r="AN3468" s="55"/>
      <c r="AO3468" s="55"/>
      <c r="AP3468" s="28" t="str">
        <f t="shared" si="1029"/>
        <v>20231</v>
      </c>
      <c r="AQ3468" s="28" t="str">
        <f t="shared" si="1030"/>
        <v/>
      </c>
      <c r="AR3468" s="206" t="str">
        <f t="shared" si="1031"/>
        <v>C66 SERVICE</v>
      </c>
      <c r="AS3468" s="22" t="str">
        <f t="shared" si="1032"/>
        <v/>
      </c>
      <c r="AT3468" s="24" t="str">
        <f t="shared" si="1033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19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0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1"/>
        <v>7502645.9971681423</v>
      </c>
      <c r="AJ3469" s="19">
        <f t="shared" si="1022"/>
        <v>664841.72044240718</v>
      </c>
      <c r="AK3469" s="20">
        <f t="shared" si="1028"/>
        <v>8.861429963420242E-2</v>
      </c>
      <c r="AL3469" s="55"/>
      <c r="AM3469" s="55"/>
      <c r="AN3469" s="55"/>
      <c r="AO3469" s="55"/>
      <c r="AP3469" s="28" t="str">
        <f t="shared" si="1029"/>
        <v>20231</v>
      </c>
      <c r="AQ3469" s="28" t="str">
        <f t="shared" si="1030"/>
        <v/>
      </c>
      <c r="AR3469" s="206" t="str">
        <f t="shared" si="1031"/>
        <v>C66 SERVICE</v>
      </c>
      <c r="AS3469" s="22" t="str">
        <f t="shared" si="1032"/>
        <v/>
      </c>
      <c r="AT3469" s="24" t="str">
        <f t="shared" si="1033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19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0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1"/>
        <v>21045012.884955753</v>
      </c>
      <c r="AJ3470" s="19">
        <f t="shared" si="1022"/>
        <v>2650260.9603327443</v>
      </c>
      <c r="AK3470" s="20">
        <f t="shared" si="1028"/>
        <v>0.12593296924172048</v>
      </c>
      <c r="AL3470" s="55"/>
      <c r="AM3470" s="55"/>
      <c r="AN3470" s="55"/>
      <c r="AO3470" s="55"/>
      <c r="AP3470" s="28" t="str">
        <f t="shared" si="1029"/>
        <v>20232</v>
      </c>
      <c r="AQ3470" s="28" t="str">
        <f t="shared" si="1030"/>
        <v/>
      </c>
      <c r="AR3470" s="206" t="str">
        <f t="shared" si="1031"/>
        <v>C66 SERVICE</v>
      </c>
      <c r="AS3470" s="22" t="str">
        <f t="shared" si="1032"/>
        <v/>
      </c>
      <c r="AT3470" s="24" t="str">
        <f t="shared" si="1033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19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0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1"/>
        <v>21045012.884955753</v>
      </c>
      <c r="AJ3471" s="19">
        <f t="shared" si="1022"/>
        <v>2650260.9603327443</v>
      </c>
      <c r="AK3471" s="20">
        <f t="shared" si="1028"/>
        <v>0.12593296924172048</v>
      </c>
      <c r="AL3471" s="55"/>
      <c r="AM3471" s="55"/>
      <c r="AN3471" s="55"/>
      <c r="AO3471" s="55"/>
      <c r="AP3471" s="28" t="str">
        <f t="shared" si="1029"/>
        <v>20232</v>
      </c>
      <c r="AQ3471" s="28" t="str">
        <f t="shared" si="1030"/>
        <v/>
      </c>
      <c r="AR3471" s="206" t="str">
        <f t="shared" si="1031"/>
        <v>C66 SERVICE</v>
      </c>
      <c r="AS3471" s="22" t="str">
        <f t="shared" si="1032"/>
        <v/>
      </c>
      <c r="AT3471" s="24" t="str">
        <f t="shared" si="1033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19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0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1"/>
        <v>21045012.884955753</v>
      </c>
      <c r="AJ3472" s="19">
        <f t="shared" si="1022"/>
        <v>2650260.9603327443</v>
      </c>
      <c r="AK3472" s="20">
        <f t="shared" si="1028"/>
        <v>0.12593296924172048</v>
      </c>
      <c r="AL3472" s="55"/>
      <c r="AM3472" s="55"/>
      <c r="AN3472" s="55"/>
      <c r="AO3472" s="55"/>
      <c r="AP3472" s="28" t="str">
        <f t="shared" si="1029"/>
        <v>20232</v>
      </c>
      <c r="AQ3472" s="28" t="str">
        <f t="shared" si="1030"/>
        <v/>
      </c>
      <c r="AR3472" s="206" t="str">
        <f t="shared" si="1031"/>
        <v>C66 SERVICE</v>
      </c>
      <c r="AS3472" s="22" t="str">
        <f t="shared" si="1032"/>
        <v/>
      </c>
      <c r="AT3472" s="24" t="str">
        <f t="shared" si="1033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19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0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1"/>
        <v>21045012.884955753</v>
      </c>
      <c r="AJ3473" s="19">
        <f t="shared" si="1022"/>
        <v>2650260.9603327443</v>
      </c>
      <c r="AK3473" s="20">
        <f t="shared" si="1028"/>
        <v>0.12593296924172048</v>
      </c>
      <c r="AL3473" s="55"/>
      <c r="AM3473" s="55"/>
      <c r="AN3473" s="55"/>
      <c r="AO3473" s="55"/>
      <c r="AP3473" s="28" t="str">
        <f t="shared" si="1029"/>
        <v>20232</v>
      </c>
      <c r="AQ3473" s="28" t="str">
        <f t="shared" si="1030"/>
        <v/>
      </c>
      <c r="AR3473" s="206" t="str">
        <f t="shared" si="1031"/>
        <v>C66 SERVICE</v>
      </c>
      <c r="AS3473" s="22" t="str">
        <f t="shared" si="1032"/>
        <v/>
      </c>
      <c r="AT3473" s="24" t="str">
        <f t="shared" si="1033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19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0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1"/>
        <v>30573205.452778768</v>
      </c>
      <c r="AJ3474" s="19">
        <f t="shared" si="1022"/>
        <v>3790930.1683151261</v>
      </c>
      <c r="AK3474" s="20">
        <f t="shared" si="1028"/>
        <v>0.12399518179964254</v>
      </c>
      <c r="AL3474" s="55"/>
      <c r="AM3474" s="55"/>
      <c r="AN3474" s="55"/>
      <c r="AO3474" s="55"/>
      <c r="AP3474" s="28" t="str">
        <f t="shared" si="1029"/>
        <v>20234</v>
      </c>
      <c r="AQ3474" s="28" t="str">
        <f t="shared" si="1030"/>
        <v/>
      </c>
      <c r="AR3474" s="206" t="str">
        <f t="shared" si="1031"/>
        <v>C66 SERVICE</v>
      </c>
      <c r="AS3474" s="22" t="str">
        <f t="shared" si="1032"/>
        <v/>
      </c>
      <c r="AT3474" s="24" t="str">
        <f t="shared" si="1033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19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0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1"/>
        <v>30573205.452778768</v>
      </c>
      <c r="AJ3475" s="19">
        <f t="shared" si="1022"/>
        <v>3790930.1683151261</v>
      </c>
      <c r="AK3475" s="20">
        <f t="shared" si="1028"/>
        <v>0.12399518179964254</v>
      </c>
      <c r="AL3475" s="55"/>
      <c r="AM3475" s="55"/>
      <c r="AN3475" s="55"/>
      <c r="AO3475" s="55"/>
      <c r="AP3475" s="28" t="str">
        <f t="shared" si="1029"/>
        <v>20234</v>
      </c>
      <c r="AQ3475" s="28" t="str">
        <f t="shared" si="1030"/>
        <v/>
      </c>
      <c r="AR3475" s="206" t="str">
        <f t="shared" si="1031"/>
        <v>C66 SERVICE</v>
      </c>
      <c r="AS3475" s="22" t="str">
        <f t="shared" si="1032"/>
        <v/>
      </c>
      <c r="AT3475" s="24" t="str">
        <f t="shared" si="1033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19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0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1"/>
        <v>30573205.452778768</v>
      </c>
      <c r="AJ3476" s="19">
        <f t="shared" si="1022"/>
        <v>3790930.1683151261</v>
      </c>
      <c r="AK3476" s="20">
        <f t="shared" si="1028"/>
        <v>0.12399518179964254</v>
      </c>
      <c r="AL3476" s="55"/>
      <c r="AM3476" s="55"/>
      <c r="AN3476" s="55"/>
      <c r="AO3476" s="55"/>
      <c r="AP3476" s="28" t="str">
        <f t="shared" si="1029"/>
        <v>20234</v>
      </c>
      <c r="AQ3476" s="28" t="str">
        <f t="shared" si="1030"/>
        <v/>
      </c>
      <c r="AR3476" s="206" t="str">
        <f t="shared" si="1031"/>
        <v>C66 SERVICE</v>
      </c>
      <c r="AS3476" s="22" t="str">
        <f t="shared" si="1032"/>
        <v/>
      </c>
      <c r="AT3476" s="24" t="str">
        <f t="shared" si="1033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19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0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1"/>
        <v>30573205.452778768</v>
      </c>
      <c r="AJ3477" s="19">
        <f t="shared" si="1022"/>
        <v>3790930.1683151261</v>
      </c>
      <c r="AK3477" s="20">
        <f t="shared" si="1028"/>
        <v>0.12399518179964254</v>
      </c>
      <c r="AL3477" s="55"/>
      <c r="AM3477" s="55"/>
      <c r="AN3477" s="55"/>
      <c r="AO3477" s="55"/>
      <c r="AP3477" s="28" t="str">
        <f t="shared" si="1029"/>
        <v>20234</v>
      </c>
      <c r="AQ3477" s="28" t="str">
        <f t="shared" si="1030"/>
        <v/>
      </c>
      <c r="AR3477" s="206" t="str">
        <f t="shared" si="1031"/>
        <v>C66 SERVICE</v>
      </c>
      <c r="AS3477" s="22" t="str">
        <f t="shared" si="1032"/>
        <v/>
      </c>
      <c r="AT3477" s="24" t="str">
        <f t="shared" si="1033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0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1"/>
        <v>28177779.013274338</v>
      </c>
      <c r="AJ3478" s="19">
        <f t="shared" si="1022"/>
        <v>4727216.6376190251</v>
      </c>
      <c r="AK3478" s="20">
        <f t="shared" si="1028"/>
        <v>0.1677639900359808</v>
      </c>
      <c r="AL3478" s="55"/>
      <c r="AM3478" s="55"/>
      <c r="AN3478" s="55"/>
      <c r="AO3478" s="55"/>
      <c r="AP3478" s="28" t="str">
        <f t="shared" si="1029"/>
        <v>20235</v>
      </c>
      <c r="AQ3478" s="28" t="str">
        <f t="shared" si="1030"/>
        <v/>
      </c>
      <c r="AR3478" s="206" t="str">
        <f t="shared" si="1031"/>
        <v>C66 SERVICE</v>
      </c>
      <c r="AS3478" s="22" t="str">
        <f t="shared" si="1032"/>
        <v/>
      </c>
      <c r="AT3478" s="24" t="str">
        <f t="shared" si="1033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0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1"/>
        <v>28177779.013274338</v>
      </c>
      <c r="AJ3479" s="19">
        <f t="shared" si="1022"/>
        <v>4727216.6376190251</v>
      </c>
      <c r="AK3479" s="20">
        <f t="shared" si="1028"/>
        <v>0.1677639900359808</v>
      </c>
      <c r="AL3479" s="55"/>
      <c r="AM3479" s="55"/>
      <c r="AN3479" s="55"/>
      <c r="AO3479" s="55"/>
      <c r="AP3479" s="28" t="str">
        <f t="shared" si="1029"/>
        <v>20235</v>
      </c>
      <c r="AQ3479" s="28" t="str">
        <f t="shared" si="1030"/>
        <v/>
      </c>
      <c r="AR3479" s="206" t="str">
        <f t="shared" si="1031"/>
        <v>C66 SERVICE</v>
      </c>
      <c r="AS3479" s="22" t="str">
        <f t="shared" si="1032"/>
        <v/>
      </c>
      <c r="AT3479" s="24" t="str">
        <f t="shared" si="1033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0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1"/>
        <v>28177779.013274338</v>
      </c>
      <c r="AJ3480" s="19">
        <f t="shared" si="1022"/>
        <v>4727216.6376190251</v>
      </c>
      <c r="AK3480" s="20">
        <f t="shared" si="1028"/>
        <v>0.1677639900359808</v>
      </c>
      <c r="AL3480" s="55"/>
      <c r="AM3480" s="55"/>
      <c r="AN3480" s="55"/>
      <c r="AO3480" s="55"/>
      <c r="AP3480" s="28" t="str">
        <f t="shared" si="1029"/>
        <v>20235</v>
      </c>
      <c r="AQ3480" s="28" t="str">
        <f t="shared" si="1030"/>
        <v/>
      </c>
      <c r="AR3480" s="206" t="str">
        <f t="shared" si="1031"/>
        <v>C66 SERVICE</v>
      </c>
      <c r="AS3480" s="22" t="str">
        <f t="shared" si="1032"/>
        <v/>
      </c>
      <c r="AT3480" s="24" t="str">
        <f t="shared" si="1033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0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1"/>
        <v>28177779.013274338</v>
      </c>
      <c r="AJ3481" s="19">
        <f t="shared" si="1022"/>
        <v>4727216.6376190251</v>
      </c>
      <c r="AK3481" s="20">
        <f t="shared" si="1028"/>
        <v>0.1677639900359808</v>
      </c>
      <c r="AL3481" s="55"/>
      <c r="AM3481" s="55"/>
      <c r="AN3481" s="55"/>
      <c r="AO3481" s="55"/>
      <c r="AP3481" s="28" t="str">
        <f t="shared" si="1029"/>
        <v>20235</v>
      </c>
      <c r="AQ3481" s="28" t="str">
        <f t="shared" si="1030"/>
        <v/>
      </c>
      <c r="AR3481" s="206" t="str">
        <f t="shared" si="1031"/>
        <v>C66 SERVICE</v>
      </c>
      <c r="AS3481" s="22" t="str">
        <f t="shared" si="1032"/>
        <v/>
      </c>
      <c r="AT3481" s="24" t="str">
        <f t="shared" si="1033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0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1"/>
        <v>13640480.497522123</v>
      </c>
      <c r="AJ3482" s="19">
        <f t="shared" si="1022"/>
        <v>1928605.8020906283</v>
      </c>
      <c r="AK3482" s="20">
        <f t="shared" si="1028"/>
        <v>0.1413884065477731</v>
      </c>
      <c r="AL3482" s="55"/>
      <c r="AM3482" s="55"/>
      <c r="AN3482" s="55"/>
      <c r="AO3482" s="55"/>
      <c r="AP3482" s="28" t="str">
        <f t="shared" si="1029"/>
        <v>20236</v>
      </c>
      <c r="AQ3482" s="28" t="str">
        <f t="shared" si="1030"/>
        <v/>
      </c>
      <c r="AR3482" s="206" t="str">
        <f t="shared" si="1031"/>
        <v>C66 SERVICE</v>
      </c>
      <c r="AS3482" s="22" t="str">
        <f t="shared" si="1032"/>
        <v/>
      </c>
      <c r="AT3482" s="24" t="str">
        <f t="shared" si="1033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0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1"/>
        <v>13640480.497522123</v>
      </c>
      <c r="AJ3483" s="19">
        <f t="shared" si="1022"/>
        <v>1928605.8020906283</v>
      </c>
      <c r="AK3483" s="20">
        <f t="shared" si="1028"/>
        <v>0.1413884065477731</v>
      </c>
      <c r="AL3483" s="55"/>
      <c r="AM3483" s="55"/>
      <c r="AN3483" s="55"/>
      <c r="AO3483" s="55"/>
      <c r="AP3483" s="28" t="str">
        <f t="shared" si="1029"/>
        <v>20236</v>
      </c>
      <c r="AQ3483" s="28" t="str">
        <f t="shared" si="1030"/>
        <v/>
      </c>
      <c r="AR3483" s="206" t="str">
        <f t="shared" si="1031"/>
        <v>C66 SERVICE</v>
      </c>
      <c r="AS3483" s="22" t="str">
        <f t="shared" si="1032"/>
        <v/>
      </c>
      <c r="AT3483" s="24" t="str">
        <f t="shared" si="1033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0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1"/>
        <v>13640480.497522123</v>
      </c>
      <c r="AJ3484" s="19">
        <f t="shared" si="1022"/>
        <v>1928605.8020906283</v>
      </c>
      <c r="AK3484" s="20">
        <f t="shared" si="1028"/>
        <v>0.1413884065477731</v>
      </c>
      <c r="AL3484" s="55"/>
      <c r="AM3484" s="55"/>
      <c r="AN3484" s="55"/>
      <c r="AO3484" s="55"/>
      <c r="AP3484" s="28" t="str">
        <f t="shared" si="1029"/>
        <v>20236</v>
      </c>
      <c r="AQ3484" s="28" t="str">
        <f t="shared" si="1030"/>
        <v/>
      </c>
      <c r="AR3484" s="206" t="str">
        <f t="shared" si="1031"/>
        <v>C66 SERVICE</v>
      </c>
      <c r="AS3484" s="22" t="str">
        <f t="shared" si="1032"/>
        <v/>
      </c>
      <c r="AT3484" s="24" t="str">
        <f t="shared" si="1033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0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1"/>
        <v>13640480.497522123</v>
      </c>
      <c r="AJ3485" s="19">
        <f t="shared" si="1022"/>
        <v>1928605.8020906283</v>
      </c>
      <c r="AK3485" s="20">
        <f t="shared" si="1028"/>
        <v>0.1413884065477731</v>
      </c>
      <c r="AL3485" s="55"/>
      <c r="AM3485" s="55"/>
      <c r="AN3485" s="55"/>
      <c r="AO3485" s="55"/>
      <c r="AP3485" s="28" t="str">
        <f t="shared" si="1029"/>
        <v>20236</v>
      </c>
      <c r="AQ3485" s="28" t="str">
        <f t="shared" si="1030"/>
        <v/>
      </c>
      <c r="AR3485" s="206" t="str">
        <f t="shared" si="1031"/>
        <v>C66 SERVICE</v>
      </c>
      <c r="AS3485" s="22" t="str">
        <f t="shared" si="1032"/>
        <v/>
      </c>
      <c r="AT3485" s="24" t="str">
        <f t="shared" si="1033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5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1"/>
        <v>15951056.41591504</v>
      </c>
      <c r="AJ3486" s="19">
        <f t="shared" si="1022"/>
        <v>1966354.6022462982</v>
      </c>
      <c r="AK3486" s="20">
        <f t="shared" si="1028"/>
        <v>0.12327425538313459</v>
      </c>
      <c r="AL3486" s="55"/>
      <c r="AM3486" s="55"/>
      <c r="AN3486" s="55"/>
      <c r="AO3486" s="55"/>
      <c r="AP3486" s="28" t="str">
        <f t="shared" si="1029"/>
        <v>20237</v>
      </c>
      <c r="AQ3486" s="28" t="str">
        <f t="shared" si="1030"/>
        <v/>
      </c>
      <c r="AR3486" s="206" t="str">
        <f t="shared" si="1031"/>
        <v>C66 SERVICE</v>
      </c>
      <c r="AS3486" s="22" t="str">
        <f t="shared" si="1032"/>
        <v/>
      </c>
      <c r="AT3486" s="24" t="str">
        <f t="shared" si="1033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5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1"/>
        <v>15951056.41591504</v>
      </c>
      <c r="AJ3487" s="19">
        <f t="shared" si="1022"/>
        <v>1966354.6022462982</v>
      </c>
      <c r="AK3487" s="20">
        <f t="shared" si="1028"/>
        <v>0.12327425538313459</v>
      </c>
      <c r="AL3487" s="55"/>
      <c r="AM3487" s="55"/>
      <c r="AN3487" s="55"/>
      <c r="AO3487" s="55"/>
      <c r="AP3487" s="28" t="str">
        <f t="shared" si="1029"/>
        <v>20237</v>
      </c>
      <c r="AQ3487" s="28" t="str">
        <f t="shared" si="1030"/>
        <v/>
      </c>
      <c r="AR3487" s="206" t="str">
        <f t="shared" si="1031"/>
        <v>C66 SERVICE</v>
      </c>
      <c r="AS3487" s="22" t="str">
        <f t="shared" si="1032"/>
        <v/>
      </c>
      <c r="AT3487" s="24" t="str">
        <f t="shared" si="1033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5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1"/>
        <v>15951056.41591504</v>
      </c>
      <c r="AJ3488" s="19">
        <f t="shared" si="1022"/>
        <v>1966354.6022462982</v>
      </c>
      <c r="AK3488" s="20">
        <f t="shared" si="1028"/>
        <v>0.12327425538313459</v>
      </c>
      <c r="AL3488" s="55"/>
      <c r="AM3488" s="55"/>
      <c r="AN3488" s="55"/>
      <c r="AO3488" s="55"/>
      <c r="AP3488" s="28" t="str">
        <f t="shared" si="1029"/>
        <v>20237</v>
      </c>
      <c r="AQ3488" s="28" t="str">
        <f t="shared" si="1030"/>
        <v/>
      </c>
      <c r="AR3488" s="206" t="str">
        <f t="shared" si="1031"/>
        <v>C66 SERVICE</v>
      </c>
      <c r="AS3488" s="22" t="str">
        <f t="shared" si="1032"/>
        <v/>
      </c>
      <c r="AT3488" s="24" t="str">
        <f t="shared" si="1033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5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1"/>
        <v>15951056.41591504</v>
      </c>
      <c r="AJ3489" s="19">
        <f t="shared" si="1022"/>
        <v>1966354.6022462982</v>
      </c>
      <c r="AK3489" s="20">
        <f t="shared" si="1028"/>
        <v>0.12327425538313459</v>
      </c>
      <c r="AL3489" s="55"/>
      <c r="AM3489" s="55"/>
      <c r="AN3489" s="55"/>
      <c r="AO3489" s="55"/>
      <c r="AP3489" s="28" t="str">
        <f t="shared" si="1029"/>
        <v>20237</v>
      </c>
      <c r="AQ3489" s="28" t="str">
        <f t="shared" si="1030"/>
        <v/>
      </c>
      <c r="AR3489" s="206" t="str">
        <f t="shared" si="1031"/>
        <v>C66 SERVICE</v>
      </c>
      <c r="AS3489" s="22" t="str">
        <f t="shared" si="1032"/>
        <v/>
      </c>
      <c r="AT3489" s="24" t="str">
        <f t="shared" si="1033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5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1"/>
        <v>22953677.784070797</v>
      </c>
      <c r="AJ3490" s="19">
        <f t="shared" si="1022"/>
        <v>4168706.6744155753</v>
      </c>
      <c r="AK3490" s="20">
        <f t="shared" si="1028"/>
        <v>0.18161388835511752</v>
      </c>
      <c r="AL3490" s="55"/>
      <c r="AM3490" s="55"/>
      <c r="AN3490" s="55"/>
      <c r="AO3490" s="55"/>
      <c r="AP3490" s="28" t="str">
        <f t="shared" si="1029"/>
        <v>20238</v>
      </c>
      <c r="AQ3490" s="28" t="str">
        <f t="shared" si="1030"/>
        <v/>
      </c>
      <c r="AR3490" s="206" t="str">
        <f t="shared" si="1031"/>
        <v>C66 SERVICE</v>
      </c>
      <c r="AS3490" s="22" t="str">
        <f t="shared" si="1032"/>
        <v/>
      </c>
      <c r="AT3490" s="24" t="str">
        <f t="shared" si="1033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5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1"/>
        <v>22953677.784070797</v>
      </c>
      <c r="AJ3491" s="19">
        <f t="shared" si="1022"/>
        <v>4168706.6744155753</v>
      </c>
      <c r="AK3491" s="20">
        <f t="shared" si="1028"/>
        <v>0.18161388835511752</v>
      </c>
      <c r="AL3491" s="55"/>
      <c r="AM3491" s="55"/>
      <c r="AN3491" s="55"/>
      <c r="AO3491" s="55"/>
      <c r="AP3491" s="28" t="str">
        <f t="shared" si="1029"/>
        <v>20238</v>
      </c>
      <c r="AQ3491" s="28" t="str">
        <f t="shared" si="1030"/>
        <v/>
      </c>
      <c r="AR3491" s="206" t="str">
        <f t="shared" si="1031"/>
        <v>C66 SERVICE</v>
      </c>
      <c r="AS3491" s="22" t="str">
        <f t="shared" si="1032"/>
        <v/>
      </c>
      <c r="AT3491" s="24" t="str">
        <f t="shared" si="1033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5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1"/>
        <v>22953677.784070797</v>
      </c>
      <c r="AJ3492" s="19">
        <f t="shared" si="1022"/>
        <v>4168706.6744155753</v>
      </c>
      <c r="AK3492" s="20">
        <f t="shared" si="1028"/>
        <v>0.18161388835511752</v>
      </c>
      <c r="AL3492" s="55"/>
      <c r="AM3492" s="55"/>
      <c r="AN3492" s="55"/>
      <c r="AO3492" s="55"/>
      <c r="AP3492" s="28" t="str">
        <f t="shared" si="1029"/>
        <v>20238</v>
      </c>
      <c r="AQ3492" s="28" t="str">
        <f t="shared" si="1030"/>
        <v/>
      </c>
      <c r="AR3492" s="206" t="str">
        <f t="shared" si="1031"/>
        <v>C66 SERVICE</v>
      </c>
      <c r="AS3492" s="22" t="str">
        <f t="shared" si="1032"/>
        <v/>
      </c>
      <c r="AT3492" s="24" t="str">
        <f t="shared" si="1033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5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1"/>
        <v>22953677.784070797</v>
      </c>
      <c r="AJ3493" s="19">
        <f t="shared" si="1022"/>
        <v>4168706.6744155753</v>
      </c>
      <c r="AK3493" s="20">
        <f t="shared" si="1028"/>
        <v>0.18161388835511752</v>
      </c>
      <c r="AL3493" s="55"/>
      <c r="AM3493" s="55"/>
      <c r="AN3493" s="55"/>
      <c r="AO3493" s="55"/>
      <c r="AP3493" s="28" t="str">
        <f t="shared" si="1029"/>
        <v>20238</v>
      </c>
      <c r="AQ3493" s="28" t="str">
        <f t="shared" si="1030"/>
        <v/>
      </c>
      <c r="AR3493" s="206" t="str">
        <f t="shared" si="1031"/>
        <v>C66 SERVICE</v>
      </c>
      <c r="AS3493" s="22" t="str">
        <f t="shared" si="1032"/>
        <v/>
      </c>
      <c r="AT3493" s="24" t="str">
        <f t="shared" si="1033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5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1"/>
        <v>26078226.463097349</v>
      </c>
      <c r="AJ3494" s="19">
        <f t="shared" si="1022"/>
        <v>3137870.4427774516</v>
      </c>
      <c r="AK3494" s="20">
        <f t="shared" si="1028"/>
        <v>0.12032530077218917</v>
      </c>
      <c r="AL3494" s="55"/>
      <c r="AM3494" s="55"/>
      <c r="AN3494" s="55"/>
      <c r="AO3494" s="55"/>
      <c r="AP3494" s="28" t="str">
        <f t="shared" si="1029"/>
        <v>20239</v>
      </c>
      <c r="AQ3494" s="28" t="str">
        <f t="shared" si="1030"/>
        <v/>
      </c>
      <c r="AR3494" s="206" t="str">
        <f t="shared" si="1031"/>
        <v>C66 SERVICE</v>
      </c>
      <c r="AS3494" s="22" t="str">
        <f t="shared" si="1032"/>
        <v/>
      </c>
      <c r="AT3494" s="24" t="str">
        <f t="shared" si="1033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5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1"/>
        <v>26078226.463097349</v>
      </c>
      <c r="AJ3495" s="19">
        <f t="shared" si="1022"/>
        <v>3137870.4427774516</v>
      </c>
      <c r="AK3495" s="20">
        <f t="shared" si="1028"/>
        <v>0.12032530077218917</v>
      </c>
      <c r="AL3495" s="55"/>
      <c r="AM3495" s="55"/>
      <c r="AN3495" s="55"/>
      <c r="AO3495" s="55"/>
      <c r="AP3495" s="28" t="str">
        <f t="shared" si="1029"/>
        <v>20239</v>
      </c>
      <c r="AQ3495" s="28" t="str">
        <f t="shared" si="1030"/>
        <v/>
      </c>
      <c r="AR3495" s="206" t="str">
        <f t="shared" si="1031"/>
        <v>C66 SERVICE</v>
      </c>
      <c r="AS3495" s="22" t="str">
        <f t="shared" si="1032"/>
        <v/>
      </c>
      <c r="AT3495" s="24" t="str">
        <f t="shared" si="1033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5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1"/>
        <v>26078226.463097349</v>
      </c>
      <c r="AJ3496" s="19">
        <f t="shared" si="1022"/>
        <v>3137870.4427774516</v>
      </c>
      <c r="AK3496" s="20">
        <f t="shared" si="1028"/>
        <v>0.12032530077218917</v>
      </c>
      <c r="AL3496" s="55"/>
      <c r="AM3496" s="55"/>
      <c r="AN3496" s="55"/>
      <c r="AO3496" s="55"/>
      <c r="AP3496" s="28" t="str">
        <f t="shared" si="1029"/>
        <v>20239</v>
      </c>
      <c r="AQ3496" s="28" t="str">
        <f t="shared" si="1030"/>
        <v/>
      </c>
      <c r="AR3496" s="206" t="str">
        <f t="shared" si="1031"/>
        <v>C66 SERVICE</v>
      </c>
      <c r="AS3496" s="22" t="str">
        <f t="shared" si="1032"/>
        <v/>
      </c>
      <c r="AT3496" s="24" t="str">
        <f t="shared" si="1033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5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1"/>
        <v>26078226.463097349</v>
      </c>
      <c r="AJ3497" s="19">
        <f t="shared" si="1022"/>
        <v>3137870.4427774516</v>
      </c>
      <c r="AK3497" s="20">
        <f t="shared" si="1028"/>
        <v>0.12032530077218917</v>
      </c>
      <c r="AL3497" s="55"/>
      <c r="AM3497" s="55"/>
      <c r="AN3497" s="55"/>
      <c r="AO3497" s="55"/>
      <c r="AP3497" s="28" t="str">
        <f t="shared" si="1029"/>
        <v>20239</v>
      </c>
      <c r="AQ3497" s="28" t="str">
        <f t="shared" si="1030"/>
        <v/>
      </c>
      <c r="AR3497" s="206" t="str">
        <f t="shared" si="1031"/>
        <v>C66 SERVICE</v>
      </c>
      <c r="AS3497" s="22" t="str">
        <f t="shared" si="1032"/>
        <v/>
      </c>
      <c r="AT3497" s="24" t="str">
        <f t="shared" si="1033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1"/>
        <v>5219988.5752212387</v>
      </c>
      <c r="AJ3498" s="19">
        <f t="shared" si="1022"/>
        <v>631627.0013460177</v>
      </c>
      <c r="AK3498" s="20">
        <f t="shared" si="1028"/>
        <v>0.12100160608478869</v>
      </c>
      <c r="AL3498" s="55"/>
      <c r="AM3498" s="55"/>
      <c r="AN3498" s="55"/>
      <c r="AO3498" s="55"/>
      <c r="AP3498" s="28" t="str">
        <f t="shared" si="1029"/>
        <v>202310</v>
      </c>
      <c r="AQ3498" s="28" t="str">
        <f t="shared" si="1030"/>
        <v/>
      </c>
      <c r="AR3498" s="206" t="str">
        <f t="shared" si="1031"/>
        <v>C66 SERVICE</v>
      </c>
      <c r="AS3498" s="22" t="str">
        <f t="shared" si="1032"/>
        <v/>
      </c>
      <c r="AT3498" s="24" t="str">
        <f t="shared" si="1033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1"/>
        <v>5219988.5752212387</v>
      </c>
      <c r="AJ3499" s="19">
        <f t="shared" si="1022"/>
        <v>631627.0013460177</v>
      </c>
      <c r="AK3499" s="20">
        <f t="shared" si="1028"/>
        <v>0.12100160608478869</v>
      </c>
      <c r="AL3499" s="55"/>
      <c r="AM3499" s="55"/>
      <c r="AN3499" s="55"/>
      <c r="AO3499" s="55"/>
      <c r="AP3499" s="28" t="str">
        <f t="shared" si="1029"/>
        <v>202310</v>
      </c>
      <c r="AQ3499" s="28" t="str">
        <f t="shared" si="1030"/>
        <v/>
      </c>
      <c r="AR3499" s="206" t="str">
        <f t="shared" si="1031"/>
        <v>C66 SERVICE</v>
      </c>
      <c r="AS3499" s="22" t="str">
        <f t="shared" si="1032"/>
        <v/>
      </c>
      <c r="AT3499" s="24" t="str">
        <f t="shared" si="1033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1"/>
        <v>5219988.5752212387</v>
      </c>
      <c r="AJ3500" s="19">
        <f t="shared" si="1022"/>
        <v>631627.0013460177</v>
      </c>
      <c r="AK3500" s="20">
        <f t="shared" si="1028"/>
        <v>0.12100160608478869</v>
      </c>
      <c r="AL3500" s="55"/>
      <c r="AM3500" s="55"/>
      <c r="AN3500" s="55"/>
      <c r="AO3500" s="55"/>
      <c r="AP3500" s="28" t="str">
        <f t="shared" si="1029"/>
        <v>202310</v>
      </c>
      <c r="AQ3500" s="28" t="str">
        <f t="shared" si="1030"/>
        <v/>
      </c>
      <c r="AR3500" s="206" t="str">
        <f t="shared" si="1031"/>
        <v>C66 SERVICE</v>
      </c>
      <c r="AS3500" s="22" t="str">
        <f t="shared" si="1032"/>
        <v/>
      </c>
      <c r="AT3500" s="24" t="str">
        <f t="shared" si="1033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1"/>
        <v>5219988.5752212387</v>
      </c>
      <c r="AJ3501" s="19">
        <f t="shared" si="1022"/>
        <v>631627.0013460177</v>
      </c>
      <c r="AK3501" s="20">
        <f t="shared" si="1028"/>
        <v>0.12100160608478869</v>
      </c>
      <c r="AL3501" s="55"/>
      <c r="AM3501" s="55"/>
      <c r="AN3501" s="55"/>
      <c r="AO3501" s="55"/>
      <c r="AP3501" s="28" t="str">
        <f t="shared" si="1029"/>
        <v>202310</v>
      </c>
      <c r="AQ3501" s="28" t="str">
        <f t="shared" si="1030"/>
        <v/>
      </c>
      <c r="AR3501" s="206" t="str">
        <f t="shared" si="1031"/>
        <v>C66 SERVICE</v>
      </c>
      <c r="AS3501" s="22" t="str">
        <f t="shared" si="1032"/>
        <v/>
      </c>
      <c r="AT3501" s="24" t="str">
        <f t="shared" si="1033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1"/>
        <v>11730565.00042478</v>
      </c>
      <c r="AJ3502" s="19">
        <f t="shared" si="1022"/>
        <v>1439625.5685810833</v>
      </c>
      <c r="AK3502" s="20">
        <f t="shared" si="1028"/>
        <v>0.12272431622253084</v>
      </c>
      <c r="AL3502" s="55"/>
      <c r="AM3502" s="55"/>
      <c r="AN3502" s="55"/>
      <c r="AO3502" s="55"/>
      <c r="AP3502" s="28" t="str">
        <f t="shared" si="1029"/>
        <v>202311</v>
      </c>
      <c r="AQ3502" s="28" t="str">
        <f t="shared" si="1030"/>
        <v/>
      </c>
      <c r="AR3502" s="206" t="str">
        <f t="shared" si="1031"/>
        <v>C66 SERVICE</v>
      </c>
      <c r="AS3502" s="22" t="str">
        <f t="shared" si="1032"/>
        <v/>
      </c>
      <c r="AT3502" s="24" t="str">
        <f t="shared" si="1033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1"/>
        <v>11730565.00042478</v>
      </c>
      <c r="AJ3503" s="19">
        <f t="shared" si="1022"/>
        <v>1439625.5685810833</v>
      </c>
      <c r="AK3503" s="20">
        <f t="shared" si="1028"/>
        <v>0.12272431622253084</v>
      </c>
      <c r="AL3503" s="55"/>
      <c r="AM3503" s="55"/>
      <c r="AN3503" s="55"/>
      <c r="AO3503" s="55"/>
      <c r="AP3503" s="28" t="str">
        <f t="shared" si="1029"/>
        <v>202311</v>
      </c>
      <c r="AQ3503" s="28" t="str">
        <f t="shared" si="1030"/>
        <v/>
      </c>
      <c r="AR3503" s="206" t="str">
        <f t="shared" si="1031"/>
        <v>C66 SERVICE</v>
      </c>
      <c r="AS3503" s="22" t="str">
        <f t="shared" si="1032"/>
        <v/>
      </c>
      <c r="AT3503" s="24" t="str">
        <f t="shared" si="1033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1"/>
        <v>11730565.00042478</v>
      </c>
      <c r="AJ3504" s="19">
        <f t="shared" si="1022"/>
        <v>1439625.5685810833</v>
      </c>
      <c r="AK3504" s="20">
        <f t="shared" si="1028"/>
        <v>0.12272431622253084</v>
      </c>
      <c r="AL3504" s="55"/>
      <c r="AM3504" s="55"/>
      <c r="AN3504" s="55"/>
      <c r="AO3504" s="55"/>
      <c r="AP3504" s="28" t="str">
        <f t="shared" si="1029"/>
        <v>202311</v>
      </c>
      <c r="AQ3504" s="28" t="str">
        <f t="shared" si="1030"/>
        <v/>
      </c>
      <c r="AR3504" s="206" t="str">
        <f t="shared" si="1031"/>
        <v>C66 SERVICE</v>
      </c>
      <c r="AS3504" s="22" t="str">
        <f t="shared" si="1032"/>
        <v/>
      </c>
      <c r="AT3504" s="24" t="str">
        <f t="shared" si="1033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1"/>
        <v>11730565.00042478</v>
      </c>
      <c r="AJ3505" s="19">
        <f t="shared" si="1022"/>
        <v>1439625.5685810833</v>
      </c>
      <c r="AK3505" s="20">
        <f t="shared" si="1028"/>
        <v>0.12272431622253084</v>
      </c>
      <c r="AL3505" s="55"/>
      <c r="AM3505" s="55"/>
      <c r="AN3505" s="55"/>
      <c r="AO3505" s="55"/>
      <c r="AP3505" s="28" t="str">
        <f t="shared" si="1029"/>
        <v>202311</v>
      </c>
      <c r="AQ3505" s="28" t="str">
        <f t="shared" si="1030"/>
        <v/>
      </c>
      <c r="AR3505" s="206" t="str">
        <f t="shared" si="1031"/>
        <v>C66 SERVICE</v>
      </c>
      <c r="AS3505" s="22" t="str">
        <f t="shared" si="1032"/>
        <v/>
      </c>
      <c r="AT3505" s="24" t="str">
        <f t="shared" si="1033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7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1"/>
        <v>33543315.897345133</v>
      </c>
      <c r="AJ3506" s="19">
        <f t="shared" si="1022"/>
        <v>4706169.3252984071</v>
      </c>
      <c r="AK3506" s="20">
        <f t="shared" si="1028"/>
        <v>0.14030125523967318</v>
      </c>
      <c r="AL3506" s="55"/>
      <c r="AM3506" s="55"/>
      <c r="AN3506" s="55"/>
      <c r="AO3506" s="55"/>
      <c r="AP3506" s="28" t="str">
        <f t="shared" si="1029"/>
        <v>20233</v>
      </c>
      <c r="AQ3506" s="28" t="str">
        <f t="shared" si="1030"/>
        <v/>
      </c>
      <c r="AR3506" s="206" t="str">
        <f t="shared" si="1031"/>
        <v>C66 SERVICE</v>
      </c>
      <c r="AS3506" s="22" t="str">
        <f t="shared" si="1032"/>
        <v/>
      </c>
      <c r="AT3506" s="24" t="str">
        <f t="shared" si="1033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7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1"/>
        <v>33543315.897345133</v>
      </c>
      <c r="AJ3507" s="19">
        <f t="shared" si="1022"/>
        <v>4706169.3252984071</v>
      </c>
      <c r="AK3507" s="20">
        <f t="shared" si="1028"/>
        <v>0.14030125523967318</v>
      </c>
      <c r="AL3507" s="55"/>
      <c r="AM3507" s="55"/>
      <c r="AN3507" s="55"/>
      <c r="AO3507" s="55"/>
      <c r="AP3507" s="28" t="str">
        <f t="shared" si="1029"/>
        <v>20233</v>
      </c>
      <c r="AQ3507" s="28" t="str">
        <f t="shared" si="1030"/>
        <v/>
      </c>
      <c r="AR3507" s="206" t="str">
        <f t="shared" si="1031"/>
        <v>C66 SERVICE</v>
      </c>
      <c r="AS3507" s="22" t="str">
        <f t="shared" si="1032"/>
        <v/>
      </c>
      <c r="AT3507" s="24" t="str">
        <f t="shared" si="1033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7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1"/>
        <v>33543315.897345133</v>
      </c>
      <c r="AJ3508" s="19">
        <f t="shared" si="1022"/>
        <v>4706169.3252984071</v>
      </c>
      <c r="AK3508" s="20">
        <f t="shared" si="1028"/>
        <v>0.14030125523967318</v>
      </c>
      <c r="AL3508" s="55"/>
      <c r="AM3508" s="55"/>
      <c r="AN3508" s="55"/>
      <c r="AO3508" s="55"/>
      <c r="AP3508" s="28" t="str">
        <f t="shared" si="1029"/>
        <v>20233</v>
      </c>
      <c r="AQ3508" s="28" t="str">
        <f t="shared" si="1030"/>
        <v/>
      </c>
      <c r="AR3508" s="206" t="str">
        <f t="shared" si="1031"/>
        <v>C66 SERVICE</v>
      </c>
      <c r="AS3508" s="22" t="str">
        <f t="shared" si="1032"/>
        <v/>
      </c>
      <c r="AT3508" s="24" t="str">
        <f t="shared" si="1033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7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1"/>
        <v>33543315.897345133</v>
      </c>
      <c r="AJ3509" s="19">
        <f t="shared" si="1022"/>
        <v>4706169.3252984071</v>
      </c>
      <c r="AK3509" s="20">
        <f t="shared" si="1028"/>
        <v>0.14030125523967318</v>
      </c>
      <c r="AL3509" s="55"/>
      <c r="AM3509" s="55"/>
      <c r="AN3509" s="55"/>
      <c r="AO3509" s="55"/>
      <c r="AP3509" s="28" t="str">
        <f t="shared" si="1029"/>
        <v>20233</v>
      </c>
      <c r="AQ3509" s="28" t="str">
        <f t="shared" si="1030"/>
        <v/>
      </c>
      <c r="AR3509" s="206" t="str">
        <f t="shared" si="1031"/>
        <v>C66 SERVICE</v>
      </c>
      <c r="AS3509" s="22" t="str">
        <f t="shared" si="1032"/>
        <v/>
      </c>
      <c r="AT3509" s="24" t="str">
        <f t="shared" si="1033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7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1"/>
        <v>46600814.041769907</v>
      </c>
      <c r="AJ3510" s="19">
        <f t="shared" si="1022"/>
        <v>5956366.3435927071</v>
      </c>
      <c r="AK3510" s="20">
        <f t="shared" si="1028"/>
        <v>0.1278167874546958</v>
      </c>
      <c r="AL3510" s="55"/>
      <c r="AM3510" s="55"/>
      <c r="AN3510" s="55"/>
      <c r="AO3510" s="55"/>
      <c r="AP3510" s="95" t="str">
        <f t="shared" si="1029"/>
        <v>20224</v>
      </c>
      <c r="AQ3510" s="95" t="str">
        <f t="shared" si="1030"/>
        <v/>
      </c>
      <c r="AR3510" s="206" t="str">
        <f t="shared" si="1031"/>
        <v>C66 SERVICE</v>
      </c>
      <c r="AS3510" s="22" t="str">
        <f t="shared" si="1032"/>
        <v/>
      </c>
      <c r="AT3510" s="24" t="str">
        <f t="shared" si="1033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7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1"/>
        <v>46600814.041769907</v>
      </c>
      <c r="AJ3511" s="19">
        <f t="shared" si="1022"/>
        <v>5956366.3435927071</v>
      </c>
      <c r="AK3511" s="20">
        <f t="shared" si="1028"/>
        <v>0.1278167874546958</v>
      </c>
      <c r="AL3511" s="55"/>
      <c r="AM3511" s="55"/>
      <c r="AN3511" s="55"/>
      <c r="AO3511" s="55"/>
      <c r="AP3511" s="95" t="str">
        <f t="shared" si="1029"/>
        <v>20224</v>
      </c>
      <c r="AQ3511" s="95" t="str">
        <f t="shared" si="1030"/>
        <v/>
      </c>
      <c r="AR3511" s="206" t="str">
        <f t="shared" si="1031"/>
        <v>C66 SERVICE</v>
      </c>
      <c r="AS3511" s="22" t="str">
        <f t="shared" si="1032"/>
        <v/>
      </c>
      <c r="AT3511" s="24" t="str">
        <f t="shared" si="1033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7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1"/>
        <v>46600814.041769907</v>
      </c>
      <c r="AJ3512" s="19">
        <f t="shared" si="1022"/>
        <v>5956366.3435927071</v>
      </c>
      <c r="AK3512" s="20">
        <f t="shared" si="1028"/>
        <v>0.1278167874546958</v>
      </c>
      <c r="AL3512" s="55"/>
      <c r="AM3512" s="55"/>
      <c r="AN3512" s="55"/>
      <c r="AO3512" s="55"/>
      <c r="AP3512" s="95" t="str">
        <f t="shared" si="1029"/>
        <v>20224</v>
      </c>
      <c r="AQ3512" s="95" t="str">
        <f t="shared" si="1030"/>
        <v/>
      </c>
      <c r="AR3512" s="206" t="str">
        <f t="shared" si="1031"/>
        <v>C66 SERVICE</v>
      </c>
      <c r="AS3512" s="22" t="str">
        <f t="shared" si="1032"/>
        <v/>
      </c>
      <c r="AT3512" s="24" t="str">
        <f t="shared" si="1033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7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1"/>
        <v>46600814.041769907</v>
      </c>
      <c r="AJ3513" s="19">
        <f t="shared" si="1022"/>
        <v>5956366.3435927071</v>
      </c>
      <c r="AK3513" s="20">
        <f t="shared" si="1028"/>
        <v>0.1278167874546958</v>
      </c>
      <c r="AL3513" s="55"/>
      <c r="AM3513" s="55"/>
      <c r="AN3513" s="55"/>
      <c r="AO3513" s="55"/>
      <c r="AP3513" s="95" t="str">
        <f t="shared" si="1029"/>
        <v>20224</v>
      </c>
      <c r="AQ3513" s="95" t="str">
        <f t="shared" si="1030"/>
        <v/>
      </c>
      <c r="AR3513" s="206" t="str">
        <f t="shared" si="1031"/>
        <v>C66 SERVICE</v>
      </c>
      <c r="AS3513" s="22" t="str">
        <f t="shared" si="1032"/>
        <v/>
      </c>
      <c r="AT3513" s="24" t="str">
        <f t="shared" si="1033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7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1"/>
        <v>44014086.982070789</v>
      </c>
      <c r="AJ3514" s="19">
        <f t="shared" si="1022"/>
        <v>6419974.0221889298</v>
      </c>
      <c r="AK3514" s="20">
        <f t="shared" si="1028"/>
        <v>0.14586180158193709</v>
      </c>
      <c r="AL3514" s="55"/>
      <c r="AM3514" s="55"/>
      <c r="AN3514" s="55"/>
      <c r="AO3514" s="55"/>
      <c r="AP3514" s="95" t="str">
        <f t="shared" si="1029"/>
        <v>20225</v>
      </c>
      <c r="AQ3514" s="166" t="str">
        <f t="shared" si="1030"/>
        <v/>
      </c>
      <c r="AR3514" s="206" t="str">
        <f t="shared" si="1031"/>
        <v>C66 SERVICE</v>
      </c>
      <c r="AS3514" s="22" t="str">
        <f t="shared" si="1032"/>
        <v/>
      </c>
      <c r="AT3514" s="24" t="str">
        <f t="shared" si="1033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7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1"/>
        <v>44014086.982070789</v>
      </c>
      <c r="AJ3515" s="19">
        <f t="shared" si="1022"/>
        <v>6419974.0221889298</v>
      </c>
      <c r="AK3515" s="20">
        <f t="shared" si="1028"/>
        <v>0.14586180158193709</v>
      </c>
      <c r="AL3515" s="55"/>
      <c r="AM3515" s="55"/>
      <c r="AN3515" s="55"/>
      <c r="AO3515" s="55"/>
      <c r="AP3515" s="95" t="str">
        <f t="shared" si="1029"/>
        <v>20225</v>
      </c>
      <c r="AQ3515" s="203" t="str">
        <f t="shared" si="1030"/>
        <v/>
      </c>
      <c r="AR3515" s="206" t="str">
        <f t="shared" si="1031"/>
        <v>C66 SERVICE</v>
      </c>
      <c r="AS3515" s="22" t="str">
        <f t="shared" si="1032"/>
        <v/>
      </c>
      <c r="AT3515" s="24" t="str">
        <f t="shared" si="1033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7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1"/>
        <v>44014086.982070789</v>
      </c>
      <c r="AJ3516" s="19">
        <f t="shared" si="1022"/>
        <v>6419974.0221889298</v>
      </c>
      <c r="AK3516" s="20">
        <f t="shared" si="1028"/>
        <v>0.14586180158193709</v>
      </c>
      <c r="AL3516" s="55"/>
      <c r="AM3516" s="55"/>
      <c r="AN3516" s="55"/>
      <c r="AO3516" s="55"/>
      <c r="AP3516" s="95" t="str">
        <f t="shared" si="1029"/>
        <v>20225</v>
      </c>
      <c r="AQ3516" s="203" t="str">
        <f t="shared" si="1030"/>
        <v/>
      </c>
      <c r="AR3516" s="206" t="str">
        <f t="shared" si="1031"/>
        <v>C66 SERVICE</v>
      </c>
      <c r="AS3516" s="22" t="str">
        <f t="shared" si="1032"/>
        <v/>
      </c>
      <c r="AT3516" s="24" t="str">
        <f t="shared" si="1033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7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1"/>
        <v>44014086.982070789</v>
      </c>
      <c r="AJ3517" s="19">
        <f t="shared" si="1022"/>
        <v>6419974.0221889298</v>
      </c>
      <c r="AK3517" s="20">
        <f t="shared" si="1028"/>
        <v>0.14586180158193709</v>
      </c>
      <c r="AL3517" s="55"/>
      <c r="AM3517" s="55"/>
      <c r="AN3517" s="55"/>
      <c r="AO3517" s="55"/>
      <c r="AP3517" s="95" t="str">
        <f t="shared" si="1029"/>
        <v>20225</v>
      </c>
      <c r="AQ3517" s="203" t="str">
        <f t="shared" si="1030"/>
        <v/>
      </c>
      <c r="AR3517" s="206" t="str">
        <f t="shared" si="1031"/>
        <v>C66 SERVICE</v>
      </c>
      <c r="AS3517" s="22" t="str">
        <f t="shared" si="1032"/>
        <v/>
      </c>
      <c r="AT3517" s="24" t="str">
        <f t="shared" si="1033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7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1"/>
        <v>35682787.057522126</v>
      </c>
      <c r="AJ3518" s="19">
        <f t="shared" si="1022"/>
        <v>5833368.3789623892</v>
      </c>
      <c r="AK3518" s="20">
        <f t="shared" si="1028"/>
        <v>0.16347849649632912</v>
      </c>
      <c r="AL3518" s="55"/>
      <c r="AM3518" s="55"/>
      <c r="AN3518" s="55"/>
      <c r="AO3518" s="55"/>
      <c r="AP3518" s="95" t="str">
        <f t="shared" si="1029"/>
        <v>20226</v>
      </c>
      <c r="AQ3518" s="203" t="str">
        <f t="shared" si="1030"/>
        <v/>
      </c>
      <c r="AR3518" s="206" t="str">
        <f t="shared" si="1031"/>
        <v>C66 SERVICE</v>
      </c>
      <c r="AS3518" s="22" t="str">
        <f t="shared" si="1032"/>
        <v/>
      </c>
      <c r="AT3518" s="24" t="str">
        <f t="shared" si="1033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7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1"/>
        <v>35682787.057522126</v>
      </c>
      <c r="AJ3519" s="19">
        <f t="shared" si="1022"/>
        <v>5833368.3789623892</v>
      </c>
      <c r="AK3519" s="20">
        <f t="shared" si="1028"/>
        <v>0.16347849649632912</v>
      </c>
      <c r="AL3519" s="55"/>
      <c r="AM3519" s="55"/>
      <c r="AN3519" s="55"/>
      <c r="AO3519" s="55"/>
      <c r="AP3519" s="95" t="str">
        <f t="shared" si="1029"/>
        <v>20226</v>
      </c>
      <c r="AQ3519" s="203" t="str">
        <f t="shared" si="1030"/>
        <v/>
      </c>
      <c r="AR3519" s="206" t="str">
        <f t="shared" si="1031"/>
        <v>C66 SERVICE</v>
      </c>
      <c r="AS3519" s="22" t="str">
        <f t="shared" si="1032"/>
        <v/>
      </c>
      <c r="AT3519" s="24" t="str">
        <f t="shared" si="1033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7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1"/>
        <v>35682787.057522126</v>
      </c>
      <c r="AJ3520" s="19">
        <f t="shared" si="1022"/>
        <v>5833368.3789623892</v>
      </c>
      <c r="AK3520" s="20">
        <f t="shared" si="1028"/>
        <v>0.16347849649632912</v>
      </c>
      <c r="AL3520" s="55"/>
      <c r="AM3520" s="55"/>
      <c r="AN3520" s="55"/>
      <c r="AO3520" s="55"/>
      <c r="AP3520" s="95" t="str">
        <f t="shared" si="1029"/>
        <v>20226</v>
      </c>
      <c r="AQ3520" s="203" t="str">
        <f t="shared" si="1030"/>
        <v/>
      </c>
      <c r="AR3520" s="206" t="str">
        <f t="shared" si="1031"/>
        <v>C66 SERVICE</v>
      </c>
      <c r="AS3520" s="22" t="str">
        <f t="shared" si="1032"/>
        <v/>
      </c>
      <c r="AT3520" s="24" t="str">
        <f t="shared" si="1033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7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1"/>
        <v>35682787.057522126</v>
      </c>
      <c r="AJ3521" s="19">
        <f t="shared" si="1022"/>
        <v>5833368.3789623892</v>
      </c>
      <c r="AK3521" s="20">
        <f t="shared" si="1028"/>
        <v>0.16347849649632912</v>
      </c>
      <c r="AL3521" s="55"/>
      <c r="AM3521" s="55"/>
      <c r="AN3521" s="55"/>
      <c r="AO3521" s="55"/>
      <c r="AP3521" s="95" t="str">
        <f t="shared" si="1029"/>
        <v>20226</v>
      </c>
      <c r="AQ3521" s="203" t="str">
        <f t="shared" si="1030"/>
        <v/>
      </c>
      <c r="AR3521" s="206" t="str">
        <f t="shared" si="1031"/>
        <v>C66 SERVICE</v>
      </c>
      <c r="AS3521" s="22" t="str">
        <f t="shared" si="1032"/>
        <v/>
      </c>
      <c r="AT3521" s="24" t="str">
        <f t="shared" si="1033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7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38">IF(P3522="C66 SERVICE","",SUMIFS(AB:AB,F:F,F3522,G:G,G3522,E:E,E3522))</f>
        <v>36480247.665929198</v>
      </c>
      <c r="AJ3522" s="19">
        <f t="shared" ref="AJ3522:AJ3585" si="1039">IF(P3522="C66 SERVICE","",SUMIFS(AC:AC,F:F,F3522,G:G,G3522,E:E,E3522))</f>
        <v>5330996.6372757526</v>
      </c>
      <c r="AK3522" s="20">
        <f t="shared" si="1028"/>
        <v>0.14613378412599562</v>
      </c>
      <c r="AL3522" s="55"/>
      <c r="AM3522" s="55"/>
      <c r="AN3522" s="55"/>
      <c r="AO3522" s="55"/>
      <c r="AP3522" s="95" t="str">
        <f t="shared" si="1029"/>
        <v>20227</v>
      </c>
      <c r="AQ3522" s="203" t="str">
        <f t="shared" si="1030"/>
        <v/>
      </c>
      <c r="AR3522" s="206" t="str">
        <f t="shared" si="1031"/>
        <v>C66 SERVICE</v>
      </c>
      <c r="AS3522" s="22" t="str">
        <f t="shared" si="1032"/>
        <v/>
      </c>
      <c r="AT3522" s="24" t="str">
        <f t="shared" si="1033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7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38"/>
        <v>36480247.665929198</v>
      </c>
      <c r="AJ3523" s="19">
        <f t="shared" si="1039"/>
        <v>5330996.6372757526</v>
      </c>
      <c r="AK3523" s="20">
        <f t="shared" si="1028"/>
        <v>0.14613378412599562</v>
      </c>
      <c r="AL3523" s="55"/>
      <c r="AM3523" s="55"/>
      <c r="AN3523" s="55"/>
      <c r="AO3523" s="55"/>
      <c r="AP3523" s="95" t="str">
        <f t="shared" si="1029"/>
        <v>20227</v>
      </c>
      <c r="AQ3523" s="203" t="str">
        <f t="shared" si="1030"/>
        <v/>
      </c>
      <c r="AR3523" s="206" t="str">
        <f t="shared" si="1031"/>
        <v>C66 SERVICE</v>
      </c>
      <c r="AS3523" s="22" t="str">
        <f t="shared" si="1032"/>
        <v/>
      </c>
      <c r="AT3523" s="24" t="str">
        <f t="shared" si="1033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7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38"/>
        <v>36480247.665929198</v>
      </c>
      <c r="AJ3524" s="19">
        <f t="shared" si="1039"/>
        <v>5330996.6372757526</v>
      </c>
      <c r="AK3524" s="20">
        <f t="shared" si="1028"/>
        <v>0.14613378412599562</v>
      </c>
      <c r="AL3524" s="55"/>
      <c r="AM3524" s="55"/>
      <c r="AN3524" s="55"/>
      <c r="AO3524" s="55"/>
      <c r="AP3524" s="95" t="str">
        <f t="shared" si="1029"/>
        <v>20227</v>
      </c>
      <c r="AQ3524" s="203" t="str">
        <f t="shared" si="1030"/>
        <v/>
      </c>
      <c r="AR3524" s="206" t="str">
        <f t="shared" si="1031"/>
        <v>C66 SERVICE</v>
      </c>
      <c r="AS3524" s="22" t="str">
        <f t="shared" si="1032"/>
        <v/>
      </c>
      <c r="AT3524" s="24" t="str">
        <f t="shared" si="1033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7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38"/>
        <v>36480247.665929198</v>
      </c>
      <c r="AJ3525" s="19">
        <f t="shared" si="1039"/>
        <v>5330996.6372757526</v>
      </c>
      <c r="AK3525" s="20">
        <f t="shared" si="1028"/>
        <v>0.14613378412599562</v>
      </c>
      <c r="AL3525" s="55"/>
      <c r="AM3525" s="55"/>
      <c r="AN3525" s="55"/>
      <c r="AO3525" s="55"/>
      <c r="AP3525" s="95" t="str">
        <f t="shared" si="1029"/>
        <v>20227</v>
      </c>
      <c r="AQ3525" s="203" t="str">
        <f t="shared" si="1030"/>
        <v/>
      </c>
      <c r="AR3525" s="206" t="str">
        <f t="shared" si="1031"/>
        <v>C66 SERVICE</v>
      </c>
      <c r="AS3525" s="22" t="str">
        <f t="shared" si="1032"/>
        <v/>
      </c>
      <c r="AT3525" s="24" t="str">
        <f t="shared" si="1033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7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38"/>
        <v>35073581.838938057</v>
      </c>
      <c r="AJ3526" s="19">
        <f t="shared" si="1039"/>
        <v>5034113.9728989396</v>
      </c>
      <c r="AK3526" s="20">
        <f t="shared" ref="AK3526:AK3589" si="1044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5">IF(F3526="","",F3526&amp;G3526)</f>
        <v>20228</v>
      </c>
      <c r="AQ3526" s="203" t="str">
        <f t="shared" ref="AQ3526:AQ3589" si="1046">IF(W3526="","",F3526&amp;G3526&amp;W3526)</f>
        <v/>
      </c>
      <c r="AR3526" s="206" t="str">
        <f t="shared" ref="AR3526:AR3589" si="1047">IFERROR(IF(AND(M3526="YAMAHA", R3526="C28"), "YAMAHA_Non_Mounter", IF(AND(M3526="YAMAHA", R3526="C49"), "YAMAHA_Mounter", M3526)),"")</f>
        <v>C66 SERVICE</v>
      </c>
      <c r="AS3526" s="22" t="str">
        <f t="shared" ref="AS3526:AS3589" si="1048">IFERROR(IF(OR(G3526="TBA", G3526=""), "", DATEDIF(DATE(B3526, C3526, 1), DATE(F3526, G3526, 1), "M")),"")</f>
        <v/>
      </c>
      <c r="AT3526" s="24" t="str">
        <f t="shared" ref="AT3526:AT3589" si="1049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7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38"/>
        <v>35073581.838938057</v>
      </c>
      <c r="AJ3527" s="19">
        <f t="shared" si="1039"/>
        <v>5034113.9728989396</v>
      </c>
      <c r="AK3527" s="20">
        <f t="shared" si="1044"/>
        <v>0.14353007902118958</v>
      </c>
      <c r="AL3527" s="55"/>
      <c r="AM3527" s="55"/>
      <c r="AN3527" s="55"/>
      <c r="AO3527" s="55"/>
      <c r="AP3527" s="95" t="str">
        <f t="shared" si="1045"/>
        <v>20228</v>
      </c>
      <c r="AQ3527" s="203" t="str">
        <f t="shared" si="1046"/>
        <v/>
      </c>
      <c r="AR3527" s="206" t="str">
        <f t="shared" si="1047"/>
        <v>C66 SERVICE</v>
      </c>
      <c r="AS3527" s="22" t="str">
        <f t="shared" si="1048"/>
        <v/>
      </c>
      <c r="AT3527" s="24" t="str">
        <f t="shared" si="1049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7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38"/>
        <v>35073581.838938057</v>
      </c>
      <c r="AJ3528" s="19">
        <f t="shared" si="1039"/>
        <v>5034113.9728989396</v>
      </c>
      <c r="AK3528" s="20">
        <f t="shared" si="1044"/>
        <v>0.14353007902118958</v>
      </c>
      <c r="AL3528" s="55"/>
      <c r="AM3528" s="55"/>
      <c r="AN3528" s="55"/>
      <c r="AO3528" s="55"/>
      <c r="AP3528" s="95" t="str">
        <f t="shared" si="1045"/>
        <v>20228</v>
      </c>
      <c r="AQ3528" s="203" t="str">
        <f t="shared" si="1046"/>
        <v/>
      </c>
      <c r="AR3528" s="206" t="str">
        <f t="shared" si="1047"/>
        <v>C66 SERVICE</v>
      </c>
      <c r="AS3528" s="22" t="str">
        <f t="shared" si="1048"/>
        <v/>
      </c>
      <c r="AT3528" s="24" t="str">
        <f t="shared" si="1049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7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38"/>
        <v>35073581.838938057</v>
      </c>
      <c r="AJ3529" s="19">
        <f t="shared" si="1039"/>
        <v>5034113.9728989396</v>
      </c>
      <c r="AK3529" s="20">
        <f t="shared" si="1044"/>
        <v>0.14353007902118958</v>
      </c>
      <c r="AL3529" s="55"/>
      <c r="AM3529" s="55"/>
      <c r="AN3529" s="55"/>
      <c r="AO3529" s="55"/>
      <c r="AP3529" s="95" t="str">
        <f t="shared" si="1045"/>
        <v>20228</v>
      </c>
      <c r="AQ3529" s="203" t="str">
        <f t="shared" si="1046"/>
        <v/>
      </c>
      <c r="AR3529" s="206" t="str">
        <f t="shared" si="1047"/>
        <v>C66 SERVICE</v>
      </c>
      <c r="AS3529" s="22" t="str">
        <f t="shared" si="1048"/>
        <v/>
      </c>
      <c r="AT3529" s="24" t="str">
        <f t="shared" si="1049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7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38"/>
        <v>15948576.102654871</v>
      </c>
      <c r="AJ3530" s="19">
        <f t="shared" si="1039"/>
        <v>2739848.7004853105</v>
      </c>
      <c r="AK3530" s="20">
        <f t="shared" si="1044"/>
        <v>0.17179268436567344</v>
      </c>
      <c r="AL3530" s="55"/>
      <c r="AM3530" s="55"/>
      <c r="AN3530" s="55"/>
      <c r="AO3530" s="55"/>
      <c r="AP3530" s="95" t="str">
        <f t="shared" si="1045"/>
        <v>20229</v>
      </c>
      <c r="AQ3530" s="203" t="str">
        <f t="shared" si="1046"/>
        <v/>
      </c>
      <c r="AR3530" s="206" t="str">
        <f t="shared" si="1047"/>
        <v>C66 SERVICE</v>
      </c>
      <c r="AS3530" s="22" t="str">
        <f t="shared" si="1048"/>
        <v/>
      </c>
      <c r="AT3530" s="24" t="str">
        <f t="shared" si="1049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7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38"/>
        <v>15948576.102654871</v>
      </c>
      <c r="AJ3531" s="19">
        <f t="shared" si="1039"/>
        <v>2739848.7004853105</v>
      </c>
      <c r="AK3531" s="20">
        <f t="shared" si="1044"/>
        <v>0.17179268436567344</v>
      </c>
      <c r="AL3531" s="55"/>
      <c r="AM3531" s="55"/>
      <c r="AN3531" s="55"/>
      <c r="AO3531" s="55"/>
      <c r="AP3531" s="95" t="str">
        <f t="shared" si="1045"/>
        <v>20229</v>
      </c>
      <c r="AQ3531" s="203" t="str">
        <f t="shared" si="1046"/>
        <v/>
      </c>
      <c r="AR3531" s="206" t="str">
        <f t="shared" si="1047"/>
        <v>C66 SERVICE</v>
      </c>
      <c r="AS3531" s="22" t="str">
        <f t="shared" si="1048"/>
        <v/>
      </c>
      <c r="AT3531" s="24" t="str">
        <f t="shared" si="1049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7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38"/>
        <v>15948576.102654871</v>
      </c>
      <c r="AJ3532" s="19">
        <f t="shared" si="1039"/>
        <v>2739848.7004853105</v>
      </c>
      <c r="AK3532" s="20">
        <f t="shared" si="1044"/>
        <v>0.17179268436567344</v>
      </c>
      <c r="AL3532" s="55"/>
      <c r="AM3532" s="55"/>
      <c r="AN3532" s="55"/>
      <c r="AO3532" s="55"/>
      <c r="AP3532" s="95" t="str">
        <f t="shared" si="1045"/>
        <v>20229</v>
      </c>
      <c r="AQ3532" s="203" t="str">
        <f t="shared" si="1046"/>
        <v/>
      </c>
      <c r="AR3532" s="206" t="str">
        <f t="shared" si="1047"/>
        <v>C66 SERVICE</v>
      </c>
      <c r="AS3532" s="22" t="str">
        <f t="shared" si="1048"/>
        <v/>
      </c>
      <c r="AT3532" s="24" t="str">
        <f t="shared" si="1049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7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38"/>
        <v>15948576.102654871</v>
      </c>
      <c r="AJ3533" s="19">
        <f t="shared" si="1039"/>
        <v>2739848.7004853105</v>
      </c>
      <c r="AK3533" s="20">
        <f t="shared" si="1044"/>
        <v>0.17179268436567344</v>
      </c>
      <c r="AL3533" s="55"/>
      <c r="AM3533" s="55"/>
      <c r="AN3533" s="55"/>
      <c r="AO3533" s="55"/>
      <c r="AP3533" s="95" t="str">
        <f t="shared" si="1045"/>
        <v>20229</v>
      </c>
      <c r="AQ3533" s="203" t="str">
        <f t="shared" si="1046"/>
        <v/>
      </c>
      <c r="AR3533" s="206" t="str">
        <f t="shared" si="1047"/>
        <v>C66 SERVICE</v>
      </c>
      <c r="AS3533" s="22" t="str">
        <f t="shared" si="1048"/>
        <v/>
      </c>
      <c r="AT3533" s="24" t="str">
        <f t="shared" si="1049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7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38"/>
        <v>22717528.991150443</v>
      </c>
      <c r="AJ3534" s="19">
        <f t="shared" si="1039"/>
        <v>3947747.192555753</v>
      </c>
      <c r="AK3534" s="20">
        <f t="shared" si="1044"/>
        <v>0.1737753782153679</v>
      </c>
      <c r="AL3534" s="55"/>
      <c r="AM3534" s="55"/>
      <c r="AN3534" s="55"/>
      <c r="AO3534" s="55"/>
      <c r="AP3534" s="95" t="str">
        <f t="shared" si="1045"/>
        <v>202210</v>
      </c>
      <c r="AQ3534" s="203" t="str">
        <f t="shared" si="1046"/>
        <v/>
      </c>
      <c r="AR3534" s="206" t="str">
        <f t="shared" si="1047"/>
        <v>C66 SERVICE</v>
      </c>
      <c r="AS3534" s="22" t="str">
        <f t="shared" si="1048"/>
        <v/>
      </c>
      <c r="AT3534" s="24" t="str">
        <f t="shared" si="1049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7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38"/>
        <v>22717528.991150443</v>
      </c>
      <c r="AJ3535" s="19">
        <f t="shared" si="1039"/>
        <v>3947747.192555753</v>
      </c>
      <c r="AK3535" s="20">
        <f t="shared" si="1044"/>
        <v>0.1737753782153679</v>
      </c>
      <c r="AL3535" s="55"/>
      <c r="AM3535" s="55"/>
      <c r="AN3535" s="55"/>
      <c r="AO3535" s="55"/>
      <c r="AP3535" s="95" t="str">
        <f t="shared" si="1045"/>
        <v>202210</v>
      </c>
      <c r="AQ3535" s="203" t="str">
        <f t="shared" si="1046"/>
        <v/>
      </c>
      <c r="AR3535" s="206" t="str">
        <f t="shared" si="1047"/>
        <v>C66 SERVICE</v>
      </c>
      <c r="AS3535" s="22" t="str">
        <f t="shared" si="1048"/>
        <v/>
      </c>
      <c r="AT3535" s="24" t="str">
        <f t="shared" si="1049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7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38"/>
        <v>22717528.991150443</v>
      </c>
      <c r="AJ3536" s="19">
        <f t="shared" si="1039"/>
        <v>3947747.192555753</v>
      </c>
      <c r="AK3536" s="20">
        <f t="shared" si="1044"/>
        <v>0.1737753782153679</v>
      </c>
      <c r="AL3536" s="55"/>
      <c r="AM3536" s="55"/>
      <c r="AN3536" s="55"/>
      <c r="AO3536" s="55"/>
      <c r="AP3536" s="95" t="str">
        <f t="shared" si="1045"/>
        <v>202210</v>
      </c>
      <c r="AQ3536" s="203" t="str">
        <f t="shared" si="1046"/>
        <v/>
      </c>
      <c r="AR3536" s="206" t="str">
        <f t="shared" si="1047"/>
        <v>C66 SERVICE</v>
      </c>
      <c r="AS3536" s="22" t="str">
        <f t="shared" si="1048"/>
        <v/>
      </c>
      <c r="AT3536" s="24" t="str">
        <f t="shared" si="1049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7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38"/>
        <v>22717528.991150443</v>
      </c>
      <c r="AJ3537" s="19">
        <f t="shared" si="1039"/>
        <v>3947747.192555753</v>
      </c>
      <c r="AK3537" s="20">
        <f t="shared" si="1044"/>
        <v>0.1737753782153679</v>
      </c>
      <c r="AL3537" s="55"/>
      <c r="AM3537" s="55"/>
      <c r="AN3537" s="55"/>
      <c r="AO3537" s="55"/>
      <c r="AP3537" s="95" t="str">
        <f t="shared" si="1045"/>
        <v>202210</v>
      </c>
      <c r="AQ3537" s="203" t="str">
        <f t="shared" si="1046"/>
        <v/>
      </c>
      <c r="AR3537" s="206" t="str">
        <f t="shared" si="1047"/>
        <v>C66 SERVICE</v>
      </c>
      <c r="AS3537" s="22" t="str">
        <f t="shared" si="1048"/>
        <v/>
      </c>
      <c r="AT3537" s="24" t="str">
        <f t="shared" si="1049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7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38"/>
        <v>31017966.201968137</v>
      </c>
      <c r="AJ3538" s="19">
        <f t="shared" si="1039"/>
        <v>4704250.3347305888</v>
      </c>
      <c r="AK3538" s="20">
        <f t="shared" si="1044"/>
        <v>0.15166211427595458</v>
      </c>
      <c r="AL3538" s="55"/>
      <c r="AM3538" s="55"/>
      <c r="AN3538" s="55"/>
      <c r="AO3538" s="55"/>
      <c r="AP3538" s="95" t="str">
        <f t="shared" si="1045"/>
        <v>202211</v>
      </c>
      <c r="AQ3538" s="203" t="str">
        <f t="shared" si="1046"/>
        <v/>
      </c>
      <c r="AR3538" s="206" t="str">
        <f t="shared" si="1047"/>
        <v>C66 SERVICE</v>
      </c>
      <c r="AS3538" s="22" t="str">
        <f t="shared" si="1048"/>
        <v/>
      </c>
      <c r="AT3538" s="24" t="str">
        <f t="shared" si="1049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7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38"/>
        <v>31017966.201968137</v>
      </c>
      <c r="AJ3539" s="19">
        <f t="shared" si="1039"/>
        <v>4704250.3347305888</v>
      </c>
      <c r="AK3539" s="20">
        <f t="shared" si="1044"/>
        <v>0.15166211427595458</v>
      </c>
      <c r="AL3539" s="55"/>
      <c r="AM3539" s="55"/>
      <c r="AN3539" s="55"/>
      <c r="AO3539" s="55"/>
      <c r="AP3539" s="95" t="str">
        <f t="shared" si="1045"/>
        <v>202211</v>
      </c>
      <c r="AQ3539" s="203" t="str">
        <f t="shared" si="1046"/>
        <v/>
      </c>
      <c r="AR3539" s="206" t="str">
        <f t="shared" si="1047"/>
        <v>C66 SERVICE</v>
      </c>
      <c r="AS3539" s="22" t="str">
        <f t="shared" si="1048"/>
        <v/>
      </c>
      <c r="AT3539" s="24" t="str">
        <f t="shared" si="1049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7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38"/>
        <v>31017966.201968137</v>
      </c>
      <c r="AJ3540" s="19">
        <f t="shared" si="1039"/>
        <v>4704250.3347305888</v>
      </c>
      <c r="AK3540" s="20">
        <f t="shared" si="1044"/>
        <v>0.15166211427595458</v>
      </c>
      <c r="AL3540" s="55"/>
      <c r="AM3540" s="55"/>
      <c r="AN3540" s="55"/>
      <c r="AO3540" s="55"/>
      <c r="AP3540" s="95" t="str">
        <f t="shared" si="1045"/>
        <v>202211</v>
      </c>
      <c r="AQ3540" s="203" t="str">
        <f t="shared" si="1046"/>
        <v/>
      </c>
      <c r="AR3540" s="206" t="str">
        <f t="shared" si="1047"/>
        <v>C66 SERVICE</v>
      </c>
      <c r="AS3540" s="22" t="str">
        <f t="shared" si="1048"/>
        <v/>
      </c>
      <c r="AT3540" s="24" t="str">
        <f t="shared" si="1049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7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38"/>
        <v>31017966.201968137</v>
      </c>
      <c r="AJ3541" s="19">
        <f t="shared" si="1039"/>
        <v>4704250.3347305888</v>
      </c>
      <c r="AK3541" s="20">
        <f t="shared" si="1044"/>
        <v>0.15166211427595458</v>
      </c>
      <c r="AL3541" s="55"/>
      <c r="AM3541" s="55"/>
      <c r="AN3541" s="55"/>
      <c r="AO3541" s="55"/>
      <c r="AP3541" s="95" t="str">
        <f t="shared" si="1045"/>
        <v>202211</v>
      </c>
      <c r="AQ3541" s="203" t="str">
        <f t="shared" si="1046"/>
        <v/>
      </c>
      <c r="AR3541" s="206" t="str">
        <f t="shared" si="1047"/>
        <v>C66 SERVICE</v>
      </c>
      <c r="AS3541" s="22" t="str">
        <f t="shared" si="1048"/>
        <v/>
      </c>
      <c r="AT3541" s="24" t="str">
        <f t="shared" si="1049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0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7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38"/>
        <v>17329060.066371687</v>
      </c>
      <c r="AJ3542" s="19">
        <f t="shared" si="1039"/>
        <v>2472600.2142256643</v>
      </c>
      <c r="AK3542" s="20">
        <f t="shared" si="1044"/>
        <v>0.14268518919984163</v>
      </c>
      <c r="AL3542" s="55"/>
      <c r="AM3542" s="55"/>
      <c r="AN3542" s="55"/>
      <c r="AO3542" s="55"/>
      <c r="AP3542" s="95" t="str">
        <f t="shared" si="1045"/>
        <v>202212</v>
      </c>
      <c r="AQ3542" s="203" t="str">
        <f t="shared" si="1046"/>
        <v/>
      </c>
      <c r="AR3542" s="206" t="str">
        <f t="shared" si="1047"/>
        <v>C66 SERVICE</v>
      </c>
      <c r="AS3542" s="22" t="str">
        <f t="shared" si="1048"/>
        <v/>
      </c>
      <c r="AT3542" s="24" t="str">
        <f t="shared" si="1049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0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7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38"/>
        <v>17329060.066371687</v>
      </c>
      <c r="AJ3543" s="19">
        <f t="shared" si="1039"/>
        <v>2472600.2142256643</v>
      </c>
      <c r="AK3543" s="20">
        <f t="shared" si="1044"/>
        <v>0.14268518919984163</v>
      </c>
      <c r="AL3543" s="55"/>
      <c r="AM3543" s="55"/>
      <c r="AN3543" s="55"/>
      <c r="AO3543" s="55"/>
      <c r="AP3543" s="95" t="str">
        <f t="shared" si="1045"/>
        <v>202212</v>
      </c>
      <c r="AQ3543" s="203" t="str">
        <f t="shared" si="1046"/>
        <v/>
      </c>
      <c r="AR3543" s="206" t="str">
        <f t="shared" si="1047"/>
        <v>C66 SERVICE</v>
      </c>
      <c r="AS3543" s="22" t="str">
        <f t="shared" si="1048"/>
        <v/>
      </c>
      <c r="AT3543" s="24" t="str">
        <f t="shared" si="1049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0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7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38"/>
        <v>17329060.066371687</v>
      </c>
      <c r="AJ3544" s="19">
        <f t="shared" si="1039"/>
        <v>2472600.2142256643</v>
      </c>
      <c r="AK3544" s="20">
        <f t="shared" si="1044"/>
        <v>0.14268518919984163</v>
      </c>
      <c r="AL3544" s="55"/>
      <c r="AM3544" s="55"/>
      <c r="AN3544" s="55"/>
      <c r="AO3544" s="55"/>
      <c r="AP3544" s="95" t="str">
        <f t="shared" si="1045"/>
        <v>202212</v>
      </c>
      <c r="AQ3544" s="203" t="str">
        <f t="shared" si="1046"/>
        <v/>
      </c>
      <c r="AR3544" s="206" t="str">
        <f t="shared" si="1047"/>
        <v>C66 SERVICE</v>
      </c>
      <c r="AS3544" s="22" t="str">
        <f t="shared" si="1048"/>
        <v/>
      </c>
      <c r="AT3544" s="24" t="str">
        <f t="shared" si="1049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0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7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38"/>
        <v>17329060.066371687</v>
      </c>
      <c r="AJ3545" s="19">
        <f t="shared" si="1039"/>
        <v>2472600.2142256643</v>
      </c>
      <c r="AK3545" s="20">
        <f t="shared" si="1044"/>
        <v>0.14268518919984163</v>
      </c>
      <c r="AL3545" s="55"/>
      <c r="AM3545" s="55"/>
      <c r="AN3545" s="55"/>
      <c r="AO3545" s="55"/>
      <c r="AP3545" s="95" t="str">
        <f t="shared" si="1045"/>
        <v>202212</v>
      </c>
      <c r="AQ3545" s="203" t="str">
        <f t="shared" si="1046"/>
        <v/>
      </c>
      <c r="AR3545" s="206" t="str">
        <f t="shared" si="1047"/>
        <v>C66 SERVICE</v>
      </c>
      <c r="AS3545" s="22" t="str">
        <f t="shared" si="1048"/>
        <v/>
      </c>
      <c r="AT3545" s="24" t="str">
        <f t="shared" si="1049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6"/>
        <v/>
      </c>
      <c r="E3546" s="33" t="str">
        <f t="shared" ref="E3546:E3562" si="1051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0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2">IF(W3546="","",IF(W3546="RMB","1.13", "1"))</f>
        <v/>
      </c>
      <c r="Z3546" s="18" t="str">
        <f t="shared" si="1037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38"/>
        <v>10271727.486725664</v>
      </c>
      <c r="AJ3546" s="27">
        <f t="shared" si="1039"/>
        <v>1227228.7260761063</v>
      </c>
      <c r="AK3546" s="28">
        <f t="shared" si="1044"/>
        <v>0.11947637120066472</v>
      </c>
      <c r="AL3546" s="24"/>
      <c r="AM3546" s="24"/>
      <c r="AN3546" s="24"/>
      <c r="AO3546" s="24"/>
      <c r="AP3546" s="95" t="str">
        <f t="shared" si="1045"/>
        <v>202312</v>
      </c>
      <c r="AQ3546" s="203" t="str">
        <f t="shared" si="1046"/>
        <v/>
      </c>
      <c r="AR3546" s="206" t="str">
        <f t="shared" si="1047"/>
        <v>C66 SERVICE</v>
      </c>
      <c r="AS3546" s="22" t="str">
        <f t="shared" si="1048"/>
        <v/>
      </c>
      <c r="AT3546" s="24" t="str">
        <f t="shared" si="1049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6"/>
        <v/>
      </c>
      <c r="E3547" s="33" t="str">
        <f t="shared" si="1051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0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2"/>
        <v/>
      </c>
      <c r="Z3547" s="18" t="str">
        <f t="shared" si="1037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38"/>
        <v>10271727.486725664</v>
      </c>
      <c r="AJ3547" s="27">
        <f t="shared" si="1039"/>
        <v>1227228.7260761063</v>
      </c>
      <c r="AK3547" s="28">
        <f t="shared" si="1044"/>
        <v>0.11947637120066472</v>
      </c>
      <c r="AL3547" s="24"/>
      <c r="AM3547" s="24"/>
      <c r="AN3547" s="24"/>
      <c r="AO3547" s="24"/>
      <c r="AP3547" s="95" t="str">
        <f t="shared" si="1045"/>
        <v>202312</v>
      </c>
      <c r="AQ3547" s="203" t="str">
        <f t="shared" si="1046"/>
        <v/>
      </c>
      <c r="AR3547" s="206" t="str">
        <f t="shared" si="1047"/>
        <v>C66 SERVICE</v>
      </c>
      <c r="AS3547" s="22" t="str">
        <f t="shared" si="1048"/>
        <v/>
      </c>
      <c r="AT3547" s="24" t="str">
        <f t="shared" si="1049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6"/>
        <v/>
      </c>
      <c r="E3548" s="33" t="str">
        <f t="shared" si="1051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0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2"/>
        <v/>
      </c>
      <c r="Z3548" s="18" t="str">
        <f t="shared" si="1037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38"/>
        <v>10271727.486725664</v>
      </c>
      <c r="AJ3548" s="27">
        <f t="shared" si="1039"/>
        <v>1227228.7260761063</v>
      </c>
      <c r="AK3548" s="28">
        <f t="shared" si="1044"/>
        <v>0.11947637120066472</v>
      </c>
      <c r="AL3548" s="24"/>
      <c r="AM3548" s="24"/>
      <c r="AN3548" s="24"/>
      <c r="AO3548" s="24"/>
      <c r="AP3548" s="95" t="str">
        <f t="shared" si="1045"/>
        <v>202312</v>
      </c>
      <c r="AQ3548" s="203" t="str">
        <f t="shared" si="1046"/>
        <v/>
      </c>
      <c r="AR3548" s="206" t="str">
        <f t="shared" si="1047"/>
        <v>C66 SERVICE</v>
      </c>
      <c r="AS3548" s="22" t="str">
        <f t="shared" si="1048"/>
        <v/>
      </c>
      <c r="AT3548" s="24" t="str">
        <f t="shared" si="1049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6"/>
        <v/>
      </c>
      <c r="E3549" s="33" t="str">
        <f t="shared" si="1051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0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2"/>
        <v/>
      </c>
      <c r="Z3549" s="18" t="str">
        <f t="shared" si="1037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38"/>
        <v>10271727.486725664</v>
      </c>
      <c r="AJ3549" s="27">
        <f t="shared" si="1039"/>
        <v>1227228.7260761063</v>
      </c>
      <c r="AK3549" s="28">
        <f t="shared" si="1044"/>
        <v>0.11947637120066472</v>
      </c>
      <c r="AL3549" s="24"/>
      <c r="AM3549" s="24"/>
      <c r="AN3549" s="24"/>
      <c r="AO3549" s="24"/>
      <c r="AP3549" s="95" t="str">
        <f t="shared" si="1045"/>
        <v>202312</v>
      </c>
      <c r="AQ3549" s="203" t="str">
        <f t="shared" si="1046"/>
        <v/>
      </c>
      <c r="AR3549" s="206" t="str">
        <f t="shared" si="1047"/>
        <v>C66 SERVICE</v>
      </c>
      <c r="AS3549" s="22" t="str">
        <f t="shared" si="1048"/>
        <v/>
      </c>
      <c r="AT3549" s="24" t="str">
        <f t="shared" si="1049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6"/>
        <v/>
      </c>
      <c r="E3550" s="33" t="str">
        <f t="shared" si="1051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0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2"/>
        <v/>
      </c>
      <c r="Z3550" s="18" t="str">
        <f t="shared" si="1037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38"/>
        <v>23146578.081415929</v>
      </c>
      <c r="AJ3550" s="27">
        <f t="shared" si="1039"/>
        <v>2745231.3889985834</v>
      </c>
      <c r="AK3550" s="28">
        <f t="shared" si="1044"/>
        <v>0.11860204041143742</v>
      </c>
      <c r="AL3550" s="24"/>
      <c r="AM3550" s="24"/>
      <c r="AN3550" s="24"/>
      <c r="AO3550" s="24"/>
      <c r="AP3550" s="95" t="str">
        <f t="shared" si="1045"/>
        <v>20241</v>
      </c>
      <c r="AQ3550" s="203" t="str">
        <f t="shared" si="1046"/>
        <v/>
      </c>
      <c r="AR3550" s="206" t="str">
        <f t="shared" si="1047"/>
        <v>C66 SERVICE</v>
      </c>
      <c r="AS3550" s="22" t="str">
        <f t="shared" si="1048"/>
        <v/>
      </c>
      <c r="AT3550" s="24" t="str">
        <f t="shared" si="1049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6"/>
        <v/>
      </c>
      <c r="E3551" s="33" t="str">
        <f t="shared" si="1051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0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2"/>
        <v/>
      </c>
      <c r="Z3551" s="18" t="str">
        <f t="shared" si="1037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38"/>
        <v>23146578.081415929</v>
      </c>
      <c r="AJ3551" s="27">
        <f t="shared" si="1039"/>
        <v>2745231.3889985834</v>
      </c>
      <c r="AK3551" s="28">
        <f t="shared" si="1044"/>
        <v>0.11860204041143742</v>
      </c>
      <c r="AL3551" s="24"/>
      <c r="AM3551" s="24"/>
      <c r="AN3551" s="24"/>
      <c r="AO3551" s="24"/>
      <c r="AP3551" s="95" t="str">
        <f t="shared" si="1045"/>
        <v>20241</v>
      </c>
      <c r="AQ3551" s="203" t="str">
        <f t="shared" si="1046"/>
        <v/>
      </c>
      <c r="AR3551" s="206" t="str">
        <f t="shared" si="1047"/>
        <v>C66 SERVICE</v>
      </c>
      <c r="AS3551" s="22" t="str">
        <f t="shared" si="1048"/>
        <v/>
      </c>
      <c r="AT3551" s="24" t="str">
        <f t="shared" si="1049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6"/>
        <v/>
      </c>
      <c r="E3552" s="33" t="str">
        <f t="shared" si="1051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0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2"/>
        <v/>
      </c>
      <c r="Z3552" s="18" t="str">
        <f t="shared" si="1037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38"/>
        <v>23146578.081415929</v>
      </c>
      <c r="AJ3552" s="27">
        <f t="shared" si="1039"/>
        <v>2745231.3889985834</v>
      </c>
      <c r="AK3552" s="28">
        <f t="shared" si="1044"/>
        <v>0.11860204041143742</v>
      </c>
      <c r="AL3552" s="24"/>
      <c r="AM3552" s="24"/>
      <c r="AN3552" s="24"/>
      <c r="AO3552" s="24"/>
      <c r="AP3552" s="95" t="str">
        <f t="shared" si="1045"/>
        <v>20241</v>
      </c>
      <c r="AQ3552" s="203" t="str">
        <f t="shared" si="1046"/>
        <v/>
      </c>
      <c r="AR3552" s="206" t="str">
        <f t="shared" si="1047"/>
        <v>C66 SERVICE</v>
      </c>
      <c r="AS3552" s="22" t="str">
        <f t="shared" si="1048"/>
        <v/>
      </c>
      <c r="AT3552" s="24" t="str">
        <f t="shared" si="1049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6"/>
        <v/>
      </c>
      <c r="E3553" s="33" t="str">
        <f t="shared" si="1051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0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2"/>
        <v/>
      </c>
      <c r="Z3553" s="18" t="str">
        <f t="shared" si="1037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38"/>
        <v>23146578.081415929</v>
      </c>
      <c r="AJ3553" s="27">
        <f t="shared" si="1039"/>
        <v>2745231.3889985834</v>
      </c>
      <c r="AK3553" s="28">
        <f t="shared" si="1044"/>
        <v>0.11860204041143742</v>
      </c>
      <c r="AL3553" s="24"/>
      <c r="AM3553" s="24"/>
      <c r="AN3553" s="24"/>
      <c r="AO3553" s="24"/>
      <c r="AP3553" s="95" t="str">
        <f t="shared" si="1045"/>
        <v>20241</v>
      </c>
      <c r="AQ3553" s="203" t="str">
        <f t="shared" si="1046"/>
        <v/>
      </c>
      <c r="AR3553" s="206" t="str">
        <f t="shared" si="1047"/>
        <v>C66 SERVICE</v>
      </c>
      <c r="AS3553" s="22" t="str">
        <f t="shared" si="1048"/>
        <v/>
      </c>
      <c r="AT3553" s="24" t="str">
        <f t="shared" si="1049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6"/>
        <v/>
      </c>
      <c r="E3554" s="33" t="str">
        <f t="shared" si="1051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0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2"/>
        <v/>
      </c>
      <c r="Z3554" s="18" t="str">
        <f t="shared" si="1037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38"/>
        <v>10524262.405309737</v>
      </c>
      <c r="AJ3554" s="27">
        <f t="shared" si="1039"/>
        <v>1479050.9527127435</v>
      </c>
      <c r="AK3554" s="28">
        <f t="shared" si="1044"/>
        <v>0.14053725532028996</v>
      </c>
      <c r="AL3554" s="24"/>
      <c r="AM3554" s="24"/>
      <c r="AN3554" s="24"/>
      <c r="AO3554" s="24"/>
      <c r="AP3554" s="95" t="str">
        <f t="shared" si="1045"/>
        <v>20242</v>
      </c>
      <c r="AQ3554" s="203" t="str">
        <f t="shared" si="1046"/>
        <v/>
      </c>
      <c r="AR3554" s="206" t="str">
        <f t="shared" si="1047"/>
        <v>C66 SERVICE</v>
      </c>
      <c r="AS3554" s="22" t="str">
        <f t="shared" si="1048"/>
        <v/>
      </c>
      <c r="AT3554" s="24" t="str">
        <f t="shared" si="1049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6"/>
        <v/>
      </c>
      <c r="E3555" s="33" t="str">
        <f t="shared" si="1051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0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2"/>
        <v/>
      </c>
      <c r="Z3555" s="18" t="str">
        <f t="shared" si="1037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38"/>
        <v>10524262.405309737</v>
      </c>
      <c r="AJ3555" s="27">
        <f t="shared" si="1039"/>
        <v>1479050.9527127435</v>
      </c>
      <c r="AK3555" s="28">
        <f t="shared" si="1044"/>
        <v>0.14053725532028996</v>
      </c>
      <c r="AL3555" s="24"/>
      <c r="AM3555" s="24"/>
      <c r="AN3555" s="24"/>
      <c r="AO3555" s="24"/>
      <c r="AP3555" s="95" t="str">
        <f t="shared" si="1045"/>
        <v>20242</v>
      </c>
      <c r="AQ3555" s="203" t="str">
        <f t="shared" si="1046"/>
        <v/>
      </c>
      <c r="AR3555" s="206" t="str">
        <f t="shared" si="1047"/>
        <v>C66 SERVICE</v>
      </c>
      <c r="AS3555" s="22" t="str">
        <f t="shared" si="1048"/>
        <v/>
      </c>
      <c r="AT3555" s="24" t="str">
        <f t="shared" si="1049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6"/>
        <v/>
      </c>
      <c r="E3556" s="33" t="str">
        <f t="shared" si="1051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0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2"/>
        <v/>
      </c>
      <c r="Z3556" s="18" t="str">
        <f t="shared" si="1037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38"/>
        <v>10524262.405309737</v>
      </c>
      <c r="AJ3556" s="27">
        <f t="shared" si="1039"/>
        <v>1479050.9527127435</v>
      </c>
      <c r="AK3556" s="28">
        <f t="shared" si="1044"/>
        <v>0.14053725532028996</v>
      </c>
      <c r="AL3556" s="24"/>
      <c r="AM3556" s="24"/>
      <c r="AN3556" s="24"/>
      <c r="AO3556" s="24"/>
      <c r="AP3556" s="95" t="str">
        <f t="shared" si="1045"/>
        <v>20242</v>
      </c>
      <c r="AQ3556" s="203" t="str">
        <f t="shared" si="1046"/>
        <v/>
      </c>
      <c r="AR3556" s="206" t="str">
        <f t="shared" si="1047"/>
        <v>C66 SERVICE</v>
      </c>
      <c r="AS3556" s="22" t="str">
        <f t="shared" si="1048"/>
        <v/>
      </c>
      <c r="AT3556" s="24" t="str">
        <f t="shared" si="1049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6"/>
        <v/>
      </c>
      <c r="E3557" s="33" t="str">
        <f t="shared" si="1051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0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2"/>
        <v/>
      </c>
      <c r="Z3557" s="18" t="str">
        <f t="shared" si="1037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38"/>
        <v>10524262.405309737</v>
      </c>
      <c r="AJ3557" s="27">
        <f t="shared" si="1039"/>
        <v>1479050.9527127435</v>
      </c>
      <c r="AK3557" s="28">
        <f t="shared" si="1044"/>
        <v>0.14053725532028996</v>
      </c>
      <c r="AL3557" s="24"/>
      <c r="AM3557" s="24"/>
      <c r="AN3557" s="24"/>
      <c r="AO3557" s="24"/>
      <c r="AP3557" s="95" t="str">
        <f t="shared" si="1045"/>
        <v>20242</v>
      </c>
      <c r="AQ3557" s="203" t="str">
        <f t="shared" si="1046"/>
        <v/>
      </c>
      <c r="AR3557" s="206" t="str">
        <f t="shared" si="1047"/>
        <v>C66 SERVICE</v>
      </c>
      <c r="AS3557" s="22" t="str">
        <f t="shared" si="1048"/>
        <v/>
      </c>
      <c r="AT3557" s="24" t="str">
        <f t="shared" si="1049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6"/>
        <v/>
      </c>
      <c r="E3558" s="33" t="str">
        <f t="shared" si="1051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0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2"/>
        <v/>
      </c>
      <c r="Z3558" s="18" t="str">
        <f t="shared" si="1037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38"/>
        <v>21241742.157380536</v>
      </c>
      <c r="AJ3558" s="27">
        <f t="shared" si="1039"/>
        <v>2987081.1613773629</v>
      </c>
      <c r="AK3558" s="28">
        <f t="shared" si="1044"/>
        <v>0.14062317201884914</v>
      </c>
      <c r="AL3558" s="24"/>
      <c r="AM3558" s="24"/>
      <c r="AN3558" s="24"/>
      <c r="AO3558" s="24"/>
      <c r="AP3558" s="95" t="str">
        <f t="shared" si="1045"/>
        <v>20243</v>
      </c>
      <c r="AQ3558" s="203" t="str">
        <f t="shared" si="1046"/>
        <v/>
      </c>
      <c r="AR3558" s="206" t="str">
        <f t="shared" si="1047"/>
        <v>C66 SERVICE</v>
      </c>
      <c r="AS3558" s="22" t="str">
        <f t="shared" si="1048"/>
        <v/>
      </c>
      <c r="AT3558" s="24" t="str">
        <f t="shared" si="1049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6"/>
        <v/>
      </c>
      <c r="E3559" s="33" t="str">
        <f t="shared" si="1051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0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2"/>
        <v/>
      </c>
      <c r="Z3559" s="18" t="str">
        <f t="shared" si="1037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38"/>
        <v>21241742.157380536</v>
      </c>
      <c r="AJ3559" s="27">
        <f t="shared" si="1039"/>
        <v>2987081.1613773629</v>
      </c>
      <c r="AK3559" s="28">
        <f t="shared" si="1044"/>
        <v>0.14062317201884914</v>
      </c>
      <c r="AL3559" s="24"/>
      <c r="AM3559" s="24"/>
      <c r="AN3559" s="24"/>
      <c r="AO3559" s="24"/>
      <c r="AP3559" s="95" t="str">
        <f t="shared" si="1045"/>
        <v>20243</v>
      </c>
      <c r="AQ3559" s="203" t="str">
        <f t="shared" si="1046"/>
        <v/>
      </c>
      <c r="AR3559" s="206" t="str">
        <f t="shared" si="1047"/>
        <v>C66 SERVICE</v>
      </c>
      <c r="AS3559" s="22" t="str">
        <f t="shared" si="1048"/>
        <v/>
      </c>
      <c r="AT3559" s="24" t="str">
        <f t="shared" si="1049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6"/>
        <v/>
      </c>
      <c r="E3560" s="33" t="str">
        <f t="shared" si="1051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0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2"/>
        <v/>
      </c>
      <c r="Z3560" s="18" t="str">
        <f t="shared" si="1037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38"/>
        <v>21241742.157380536</v>
      </c>
      <c r="AJ3560" s="27">
        <f t="shared" si="1039"/>
        <v>2987081.1613773629</v>
      </c>
      <c r="AK3560" s="28">
        <f t="shared" si="1044"/>
        <v>0.14062317201884914</v>
      </c>
      <c r="AL3560" s="24"/>
      <c r="AM3560" s="24"/>
      <c r="AN3560" s="24"/>
      <c r="AO3560" s="24"/>
      <c r="AP3560" s="95" t="str">
        <f t="shared" si="1045"/>
        <v>20243</v>
      </c>
      <c r="AQ3560" s="203" t="str">
        <f t="shared" si="1046"/>
        <v/>
      </c>
      <c r="AR3560" s="206" t="str">
        <f t="shared" si="1047"/>
        <v>C66 SERVICE</v>
      </c>
      <c r="AS3560" s="22" t="str">
        <f t="shared" si="1048"/>
        <v/>
      </c>
      <c r="AT3560" s="24" t="str">
        <f t="shared" si="1049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6"/>
        <v/>
      </c>
      <c r="E3561" s="33" t="str">
        <f t="shared" si="1051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0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2"/>
        <v/>
      </c>
      <c r="Z3561" s="18" t="str">
        <f t="shared" si="1037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38"/>
        <v>21241742.157380536</v>
      </c>
      <c r="AJ3561" s="27">
        <f t="shared" si="1039"/>
        <v>2987081.1613773629</v>
      </c>
      <c r="AK3561" s="28">
        <f t="shared" si="1044"/>
        <v>0.14062317201884914</v>
      </c>
      <c r="AL3561" s="24"/>
      <c r="AM3561" s="24"/>
      <c r="AN3561" s="24"/>
      <c r="AO3561" s="24"/>
      <c r="AP3561" s="95" t="str">
        <f t="shared" si="1045"/>
        <v>20243</v>
      </c>
      <c r="AQ3561" s="203" t="str">
        <f t="shared" si="1046"/>
        <v/>
      </c>
      <c r="AR3561" s="206" t="str">
        <f t="shared" si="1047"/>
        <v>C66 SERVICE</v>
      </c>
      <c r="AS3561" s="22" t="str">
        <f t="shared" si="1048"/>
        <v/>
      </c>
      <c r="AT3561" s="24" t="str">
        <f t="shared" si="1049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6"/>
        <v>Q2</v>
      </c>
      <c r="E3562" s="33" t="str">
        <f t="shared" si="1051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0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2"/>
        <v>1.13</v>
      </c>
      <c r="Z3562" s="196">
        <f t="shared" si="1037"/>
        <v>358000</v>
      </c>
      <c r="AA3562" s="22">
        <v>1.08</v>
      </c>
      <c r="AB3562" s="197">
        <f t="shared" ref="AB3562:AB3568" si="1053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38"/>
        <v>25354039.366920356</v>
      </c>
      <c r="AJ3562" s="200">
        <f t="shared" si="1039"/>
        <v>3028631.2816309328</v>
      </c>
      <c r="AK3562" s="201">
        <f t="shared" si="1044"/>
        <v>0.11945360018579192</v>
      </c>
      <c r="AL3562" s="24"/>
      <c r="AM3562" s="24"/>
      <c r="AN3562" s="24"/>
      <c r="AO3562" s="24"/>
      <c r="AP3562" s="165" t="str">
        <f t="shared" si="1045"/>
        <v>20248</v>
      </c>
      <c r="AQ3562" s="203" t="str">
        <f t="shared" si="1046"/>
        <v>20248RMB</v>
      </c>
      <c r="AR3562" s="206" t="str">
        <f t="shared" si="1047"/>
        <v>YAMAHA_Non_Mounter</v>
      </c>
      <c r="AS3562" s="22">
        <f t="shared" si="1048"/>
        <v>1</v>
      </c>
      <c r="AT3562" s="24" t="str">
        <f t="shared" si="1049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0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2"/>
        <v>1.13</v>
      </c>
      <c r="Z3563" s="196">
        <f t="shared" si="1037"/>
        <v>750000</v>
      </c>
      <c r="AA3563" s="22">
        <v>1.08</v>
      </c>
      <c r="AB3563" s="197">
        <f t="shared" si="1053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38"/>
        <v>25354039.366920356</v>
      </c>
      <c r="AJ3563" s="200">
        <f t="shared" si="1039"/>
        <v>3028631.2816309328</v>
      </c>
      <c r="AK3563" s="201">
        <f t="shared" si="1044"/>
        <v>0.11945360018579192</v>
      </c>
      <c r="AL3563" s="24"/>
      <c r="AM3563" s="24"/>
      <c r="AN3563" s="24"/>
      <c r="AO3563" s="24"/>
      <c r="AP3563" s="165" t="str">
        <f t="shared" si="1045"/>
        <v>20248</v>
      </c>
      <c r="AQ3563" s="203" t="str">
        <f t="shared" si="1046"/>
        <v>20248RMB</v>
      </c>
      <c r="AR3563" s="206" t="str">
        <f t="shared" si="1047"/>
        <v>YAMAHA_Mounter</v>
      </c>
      <c r="AS3563" s="22">
        <f t="shared" si="1048"/>
        <v>1</v>
      </c>
      <c r="AT3563" s="24" t="str">
        <f t="shared" si="1049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0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2"/>
        <v>1.13</v>
      </c>
      <c r="Z3564" s="196">
        <f t="shared" si="1037"/>
        <v>750000</v>
      </c>
      <c r="AA3564" s="22">
        <v>1.08</v>
      </c>
      <c r="AB3564" s="197">
        <f t="shared" si="1053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38"/>
        <v>25354039.366920356</v>
      </c>
      <c r="AJ3564" s="200">
        <f t="shared" si="1039"/>
        <v>3028631.2816309328</v>
      </c>
      <c r="AK3564" s="201">
        <f t="shared" si="1044"/>
        <v>0.11945360018579192</v>
      </c>
      <c r="AL3564" s="24"/>
      <c r="AM3564" s="24"/>
      <c r="AN3564" s="24"/>
      <c r="AO3564" s="24"/>
      <c r="AP3564" s="165" t="str">
        <f t="shared" si="1045"/>
        <v>20248</v>
      </c>
      <c r="AQ3564" s="203" t="str">
        <f t="shared" si="1046"/>
        <v>20248RMB</v>
      </c>
      <c r="AR3564" s="206" t="str">
        <f t="shared" si="1047"/>
        <v>YAMAHA_Mounter</v>
      </c>
      <c r="AS3564" s="22">
        <f t="shared" si="1048"/>
        <v>1</v>
      </c>
      <c r="AT3564" s="24" t="str">
        <f t="shared" si="1049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0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2"/>
        <v>1.13</v>
      </c>
      <c r="Z3565" s="196">
        <f t="shared" si="1037"/>
        <v>590000</v>
      </c>
      <c r="AA3565" s="22">
        <v>1.08</v>
      </c>
      <c r="AB3565" s="197">
        <f t="shared" si="1053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38"/>
        <v>25354039.366920356</v>
      </c>
      <c r="AJ3565" s="200">
        <f t="shared" si="1039"/>
        <v>3028631.2816309328</v>
      </c>
      <c r="AK3565" s="201">
        <f t="shared" si="1044"/>
        <v>0.11945360018579192</v>
      </c>
      <c r="AL3565" s="24"/>
      <c r="AM3565" s="24"/>
      <c r="AN3565" s="24"/>
      <c r="AO3565" s="24"/>
      <c r="AP3565" s="165" t="str">
        <f t="shared" si="1045"/>
        <v>20248</v>
      </c>
      <c r="AQ3565" s="203" t="str">
        <f t="shared" si="1046"/>
        <v>20248RMB</v>
      </c>
      <c r="AR3565" s="206" t="str">
        <f t="shared" si="1047"/>
        <v>YAMAHA_Mounter</v>
      </c>
      <c r="AS3565" s="22">
        <f t="shared" si="1048"/>
        <v>1</v>
      </c>
      <c r="AT3565" s="24" t="str">
        <f t="shared" si="1049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0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2"/>
        <v>1.13</v>
      </c>
      <c r="Z3566" s="18">
        <f t="shared" si="1037"/>
        <v>50000.06</v>
      </c>
      <c r="AA3566" s="22">
        <v>1.0640000000000001</v>
      </c>
      <c r="AB3566" s="21">
        <f t="shared" si="1053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38"/>
        <v>21241742.157380536</v>
      </c>
      <c r="AJ3566" s="27">
        <f t="shared" si="1039"/>
        <v>2987081.1613773629</v>
      </c>
      <c r="AK3566" s="28">
        <f t="shared" si="1044"/>
        <v>0.14062317201884914</v>
      </c>
      <c r="AL3566" s="24"/>
      <c r="AM3566" s="24"/>
      <c r="AN3566" s="24"/>
      <c r="AO3566" s="24"/>
      <c r="AP3566" s="95" t="str">
        <f t="shared" si="1045"/>
        <v>20243</v>
      </c>
      <c r="AQ3566" s="203" t="str">
        <f t="shared" si="1046"/>
        <v>20243RMB</v>
      </c>
      <c r="AR3566" s="206" t="str">
        <f t="shared" si="1047"/>
        <v>YAMAHA_Mounter</v>
      </c>
      <c r="AS3566" s="22">
        <f t="shared" si="1048"/>
        <v>0</v>
      </c>
      <c r="AT3566" s="24" t="str">
        <f t="shared" si="1049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0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2"/>
        <v>1.13</v>
      </c>
      <c r="Z3567" s="18">
        <f t="shared" si="1037"/>
        <v>471782</v>
      </c>
      <c r="AA3567" s="22">
        <v>1.1080000000000001</v>
      </c>
      <c r="AB3567" s="21">
        <f t="shared" si="1053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38"/>
        <v>22758096.38940867</v>
      </c>
      <c r="AJ3567" s="27">
        <f t="shared" si="1039"/>
        <v>2469357.2298956565</v>
      </c>
      <c r="AK3567" s="28">
        <f t="shared" si="1044"/>
        <v>0.10850455976822666</v>
      </c>
      <c r="AL3567" s="24"/>
      <c r="AM3567" s="24"/>
      <c r="AN3567" s="24"/>
      <c r="AO3567" s="24"/>
      <c r="AP3567" s="95" t="str">
        <f t="shared" si="1045"/>
        <v>202410</v>
      </c>
      <c r="AQ3567" s="203" t="str">
        <f t="shared" si="1046"/>
        <v>202410RMB</v>
      </c>
      <c r="AR3567" s="206" t="str">
        <f t="shared" si="1047"/>
        <v>YAMAHA_Mounter</v>
      </c>
      <c r="AS3567" s="22">
        <f t="shared" si="1048"/>
        <v>6</v>
      </c>
      <c r="AT3567" s="24" t="str">
        <f t="shared" si="1049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0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2"/>
        <v>1.13</v>
      </c>
      <c r="Z3568" s="196">
        <f t="shared" si="1037"/>
        <v>485000</v>
      </c>
      <c r="AA3568" s="22">
        <v>1.08</v>
      </c>
      <c r="AB3568" s="197">
        <f t="shared" si="1053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38"/>
        <v>25354039.366920356</v>
      </c>
      <c r="AJ3568" s="200">
        <f t="shared" si="1039"/>
        <v>3028631.2816309328</v>
      </c>
      <c r="AK3568" s="201">
        <f t="shared" si="1044"/>
        <v>0.11945360018579192</v>
      </c>
      <c r="AL3568" s="24"/>
      <c r="AM3568" s="24"/>
      <c r="AN3568" s="24"/>
      <c r="AO3568" s="24"/>
      <c r="AP3568" s="165" t="str">
        <f t="shared" si="1045"/>
        <v>20248</v>
      </c>
      <c r="AQ3568" s="203" t="str">
        <f t="shared" si="1046"/>
        <v>20248RMB</v>
      </c>
      <c r="AR3568" s="206" t="str">
        <f t="shared" si="1047"/>
        <v>YAMAHA_Non_Mounter</v>
      </c>
      <c r="AS3568" s="22">
        <f t="shared" si="1048"/>
        <v>1</v>
      </c>
      <c r="AT3568" s="24" t="str">
        <f t="shared" si="1049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0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2"/>
        <v/>
      </c>
      <c r="Z3569" s="196" t="str">
        <f t="shared" si="1037"/>
        <v/>
      </c>
      <c r="AA3569" s="22"/>
      <c r="AB3569" s="197">
        <v>0</v>
      </c>
      <c r="AC3569" s="198">
        <f t="shared" si="1042"/>
        <v>0</v>
      </c>
      <c r="AD3569" s="22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38"/>
        <v>25354039.366920356</v>
      </c>
      <c r="AJ3569" s="200">
        <f t="shared" si="1039"/>
        <v>3028631.2816309328</v>
      </c>
      <c r="AK3569" s="201">
        <f t="shared" si="1044"/>
        <v>0.11945360018579192</v>
      </c>
      <c r="AL3569" s="24"/>
      <c r="AM3569" s="24"/>
      <c r="AN3569" s="24"/>
      <c r="AO3569" s="24"/>
      <c r="AP3569" s="165" t="str">
        <f t="shared" si="1045"/>
        <v>20248</v>
      </c>
      <c r="AQ3569" s="203" t="str">
        <f t="shared" si="1046"/>
        <v/>
      </c>
      <c r="AR3569" s="206" t="str">
        <f t="shared" si="1047"/>
        <v>C66 SERVICE</v>
      </c>
      <c r="AS3569" s="22" t="str">
        <f t="shared" si="1048"/>
        <v/>
      </c>
      <c r="AT3569" s="24" t="str">
        <f t="shared" si="1049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4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5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0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6">IF(X3570="","",X3570*MAX(O3570,N3570))</f>
        <v>1470000</v>
      </c>
      <c r="AA3570" s="22">
        <v>1.0640000000000001</v>
      </c>
      <c r="AB3570" s="21">
        <f t="shared" ref="AB3570:AB3577" si="1057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38"/>
        <v>16190947.162761064</v>
      </c>
      <c r="AJ3570" s="19">
        <f t="shared" si="1039"/>
        <v>2256328.1660673413</v>
      </c>
      <c r="AK3570" s="20">
        <f t="shared" si="1044"/>
        <v>0.13935739171929745</v>
      </c>
      <c r="AL3570" s="17"/>
      <c r="AM3570" s="17"/>
      <c r="AN3570" s="17"/>
      <c r="AO3570" s="17"/>
      <c r="AP3570" s="95" t="str">
        <f t="shared" si="1045"/>
        <v>20251</v>
      </c>
      <c r="AQ3570" s="203" t="str">
        <f t="shared" si="1046"/>
        <v>20251RMB</v>
      </c>
      <c r="AR3570" s="206" t="str">
        <f t="shared" si="1047"/>
        <v>YAMAHA_Mounter</v>
      </c>
      <c r="AS3570" s="22">
        <f t="shared" si="1048"/>
        <v>18</v>
      </c>
      <c r="AT3570" s="24" t="str">
        <f t="shared" si="1049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4"/>
        <v>Q2</v>
      </c>
      <c r="E3571" s="33" t="str">
        <f t="shared" si="1055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0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6"/>
        <v>956500</v>
      </c>
      <c r="AA3571" s="22">
        <v>1.0640000000000001</v>
      </c>
      <c r="AB3571" s="21">
        <f t="shared" si="1057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38"/>
        <v>16190947.162761064</v>
      </c>
      <c r="AJ3571" s="19">
        <f t="shared" si="1039"/>
        <v>2256328.1660673413</v>
      </c>
      <c r="AK3571" s="20">
        <f t="shared" si="1044"/>
        <v>0.13935739171929745</v>
      </c>
      <c r="AL3571" s="17"/>
      <c r="AM3571" s="17"/>
      <c r="AN3571" s="17"/>
      <c r="AO3571" s="17"/>
      <c r="AP3571" s="95" t="str">
        <f t="shared" si="1045"/>
        <v>20251</v>
      </c>
      <c r="AQ3571" s="203" t="str">
        <f t="shared" si="1046"/>
        <v>20251RMB</v>
      </c>
      <c r="AR3571" s="206" t="str">
        <f t="shared" si="1047"/>
        <v>YAMAHA_Mounter</v>
      </c>
      <c r="AS3571" s="22">
        <f t="shared" si="1048"/>
        <v>18</v>
      </c>
      <c r="AT3571" s="24" t="str">
        <f t="shared" si="1049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4"/>
        <v>Q4</v>
      </c>
      <c r="E3572" s="33" t="str">
        <f t="shared" si="1055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0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58">IF(W3572="","",IF(W3572="RMB","1.13", "1"))</f>
        <v>1</v>
      </c>
      <c r="Z3572" s="18">
        <f t="shared" si="1056"/>
        <v>12700000</v>
      </c>
      <c r="AA3572" s="13">
        <v>5.1799999999999999E-2</v>
      </c>
      <c r="AB3572" s="21">
        <f t="shared" si="1057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38"/>
        <v>499582152.5142017</v>
      </c>
      <c r="AJ3572" s="27">
        <f t="shared" si="1039"/>
        <v>59520528.679470733</v>
      </c>
      <c r="AK3572" s="28">
        <f t="shared" si="1044"/>
        <v>0.11914062257814291</v>
      </c>
      <c r="AL3572" s="24"/>
      <c r="AM3572" s="24"/>
      <c r="AN3572" s="24"/>
      <c r="AO3572" s="24"/>
      <c r="AP3572" s="95" t="str">
        <f t="shared" si="1045"/>
        <v>CancelCancel</v>
      </c>
      <c r="AQ3572" s="203" t="str">
        <f t="shared" si="1046"/>
        <v>CancelCancelJPY</v>
      </c>
      <c r="AR3572" s="206" t="str">
        <f t="shared" si="1047"/>
        <v>YAMAHA_Mounter</v>
      </c>
      <c r="AS3572" s="22" t="str">
        <f t="shared" si="1048"/>
        <v/>
      </c>
      <c r="AT3572" s="24" t="str">
        <f t="shared" si="1049"/>
        <v/>
      </c>
      <c r="AU3572" s="22" t="s">
        <v>3746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4"/>
        <v>Q4</v>
      </c>
      <c r="E3573" s="33" t="str">
        <f t="shared" si="1055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0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58"/>
        <v>1</v>
      </c>
      <c r="Z3573" s="18">
        <f t="shared" si="1056"/>
        <v>12700000</v>
      </c>
      <c r="AA3573" s="13">
        <v>5.1799999999999999E-2</v>
      </c>
      <c r="AB3573" s="21">
        <f t="shared" si="1057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38"/>
        <v>499582152.5142017</v>
      </c>
      <c r="AJ3573" s="27">
        <f t="shared" si="1039"/>
        <v>59520528.679470733</v>
      </c>
      <c r="AK3573" s="28">
        <f t="shared" si="1044"/>
        <v>0.11914062257814291</v>
      </c>
      <c r="AL3573" s="24"/>
      <c r="AM3573" s="24"/>
      <c r="AN3573" s="24"/>
      <c r="AO3573" s="24"/>
      <c r="AP3573" s="95" t="str">
        <f t="shared" si="1045"/>
        <v>CancelCancel</v>
      </c>
      <c r="AQ3573" s="203" t="str">
        <f t="shared" si="1046"/>
        <v>CancelCancelJPY</v>
      </c>
      <c r="AR3573" s="206" t="str">
        <f t="shared" si="1047"/>
        <v>YAMAHA_Mounter</v>
      </c>
      <c r="AS3573" s="22" t="str">
        <f t="shared" si="1048"/>
        <v/>
      </c>
      <c r="AT3573" s="24" t="str">
        <f t="shared" si="1049"/>
        <v/>
      </c>
      <c r="AU3573" s="22" t="s">
        <v>3746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4"/>
        <v>Q4</v>
      </c>
      <c r="E3574" s="33" t="str">
        <f t="shared" si="1055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0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58"/>
        <v>1</v>
      </c>
      <c r="Z3574" s="18">
        <f t="shared" si="1056"/>
        <v>8000000</v>
      </c>
      <c r="AA3574" s="13">
        <v>5.1799999999999999E-2</v>
      </c>
      <c r="AB3574" s="21">
        <f t="shared" si="1057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38"/>
        <v>499582152.5142017</v>
      </c>
      <c r="AJ3574" s="27">
        <f t="shared" si="1039"/>
        <v>59520528.679470733</v>
      </c>
      <c r="AK3574" s="28">
        <f t="shared" si="1044"/>
        <v>0.11914062257814291</v>
      </c>
      <c r="AL3574" s="24"/>
      <c r="AM3574" s="24"/>
      <c r="AN3574" s="24"/>
      <c r="AO3574" s="24"/>
      <c r="AP3574" s="95" t="str">
        <f t="shared" si="1045"/>
        <v>CancelCancel</v>
      </c>
      <c r="AQ3574" s="203" t="str">
        <f t="shared" si="1046"/>
        <v>CancelCancelJPY</v>
      </c>
      <c r="AR3574" s="206" t="str">
        <f t="shared" si="1047"/>
        <v>YAMAHA_Mounter</v>
      </c>
      <c r="AS3574" s="22" t="str">
        <f t="shared" si="1048"/>
        <v/>
      </c>
      <c r="AT3574" s="24" t="str">
        <f t="shared" si="1049"/>
        <v/>
      </c>
      <c r="AU3574" s="22" t="s">
        <v>3746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4"/>
        <v>Q4</v>
      </c>
      <c r="E3575" s="33" t="str">
        <f t="shared" si="1055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0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58"/>
        <v>1</v>
      </c>
      <c r="Z3575" s="18">
        <f t="shared" si="1056"/>
        <v>8000000</v>
      </c>
      <c r="AA3575" s="13">
        <v>5.1799999999999999E-2</v>
      </c>
      <c r="AB3575" s="21">
        <f t="shared" si="1057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38"/>
        <v>499582152.5142017</v>
      </c>
      <c r="AJ3575" s="27">
        <f t="shared" si="1039"/>
        <v>59520528.679470733</v>
      </c>
      <c r="AK3575" s="28">
        <f t="shared" si="1044"/>
        <v>0.11914062257814291</v>
      </c>
      <c r="AL3575" s="24"/>
      <c r="AM3575" s="24"/>
      <c r="AN3575" s="24"/>
      <c r="AO3575" s="24"/>
      <c r="AP3575" s="95" t="str">
        <f t="shared" si="1045"/>
        <v>CancelCancel</v>
      </c>
      <c r="AQ3575" s="203" t="str">
        <f t="shared" si="1046"/>
        <v>CancelCancelJPY</v>
      </c>
      <c r="AR3575" s="206" t="str">
        <f t="shared" si="1047"/>
        <v>YAMAHA_Mounter</v>
      </c>
      <c r="AS3575" s="22" t="str">
        <f t="shared" si="1048"/>
        <v/>
      </c>
      <c r="AT3575" s="24" t="str">
        <f t="shared" si="1049"/>
        <v/>
      </c>
      <c r="AU3575" s="22" t="s">
        <v>3746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4"/>
        <v>Q1</v>
      </c>
      <c r="E3576" s="33" t="str">
        <f t="shared" si="1055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0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58"/>
        <v>1</v>
      </c>
      <c r="Z3576" s="196">
        <f t="shared" si="1056"/>
        <v>11900000</v>
      </c>
      <c r="AA3576" s="22">
        <v>5.1799999999999999E-2</v>
      </c>
      <c r="AB3576" s="197">
        <f t="shared" si="1057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38"/>
        <v>499582152.5142017</v>
      </c>
      <c r="AJ3576" s="200">
        <f t="shared" si="1039"/>
        <v>59520528.679470733</v>
      </c>
      <c r="AK3576" s="201">
        <f t="shared" si="1044"/>
        <v>0.11914062257814291</v>
      </c>
      <c r="AL3576" s="24"/>
      <c r="AM3576" s="24"/>
      <c r="AN3576" s="24"/>
      <c r="AO3576" s="24"/>
      <c r="AP3576" s="95" t="str">
        <f t="shared" si="1045"/>
        <v>CancelCancel</v>
      </c>
      <c r="AQ3576" s="203" t="str">
        <f t="shared" si="1046"/>
        <v>CancelCancelJPY</v>
      </c>
      <c r="AR3576" s="206" t="str">
        <f t="shared" si="1047"/>
        <v>YAMAHA_Mounter</v>
      </c>
      <c r="AS3576" s="22" t="str">
        <f t="shared" si="1048"/>
        <v/>
      </c>
      <c r="AT3576" s="24" t="str">
        <f t="shared" si="1049"/>
        <v/>
      </c>
      <c r="AU3576" s="22" t="s">
        <v>3745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4"/>
        <v>Q1</v>
      </c>
      <c r="E3577" s="33" t="str">
        <f t="shared" si="1055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0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58"/>
        <v>1</v>
      </c>
      <c r="Z3577" s="196">
        <f t="shared" si="1056"/>
        <v>7000000</v>
      </c>
      <c r="AA3577" s="22">
        <v>5.1799999999999999E-2</v>
      </c>
      <c r="AB3577" s="197">
        <f t="shared" si="1057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38"/>
        <v>499582152.5142017</v>
      </c>
      <c r="AJ3577" s="200">
        <f t="shared" si="1039"/>
        <v>59520528.679470733</v>
      </c>
      <c r="AK3577" s="201">
        <f t="shared" si="1044"/>
        <v>0.11914062257814291</v>
      </c>
      <c r="AL3577" s="22"/>
      <c r="AM3577" s="22"/>
      <c r="AN3577" s="22"/>
      <c r="AO3577" s="22"/>
      <c r="AP3577" s="95" t="str">
        <f t="shared" si="1045"/>
        <v>CancelCancel</v>
      </c>
      <c r="AQ3577" s="203" t="str">
        <f t="shared" si="1046"/>
        <v>CancelCancelJPY</v>
      </c>
      <c r="AR3577" s="206" t="str">
        <f t="shared" si="1047"/>
        <v>YAMAHA_Mounter</v>
      </c>
      <c r="AS3577" s="22" t="str">
        <f t="shared" si="1048"/>
        <v/>
      </c>
      <c r="AT3577" s="24" t="str">
        <f t="shared" si="1049"/>
        <v/>
      </c>
      <c r="AU3577" s="22" t="s">
        <v>3745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4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0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58"/>
        <v/>
      </c>
      <c r="Z3578" s="196" t="str">
        <f t="shared" si="1056"/>
        <v/>
      </c>
      <c r="AA3578" s="22"/>
      <c r="AB3578" s="197">
        <v>128000</v>
      </c>
      <c r="AC3578" s="198">
        <f t="shared" si="1042"/>
        <v>38400</v>
      </c>
      <c r="AD3578" s="22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38"/>
        <v>25354039.366920356</v>
      </c>
      <c r="AJ3578" s="200">
        <f t="shared" si="1039"/>
        <v>3028631.2816309328</v>
      </c>
      <c r="AK3578" s="201">
        <f t="shared" si="1044"/>
        <v>0.11945360018579192</v>
      </c>
      <c r="AL3578" s="24"/>
      <c r="AM3578" s="24"/>
      <c r="AN3578" s="24"/>
      <c r="AO3578" s="24"/>
      <c r="AP3578" s="165" t="str">
        <f t="shared" si="1045"/>
        <v>20248</v>
      </c>
      <c r="AQ3578" s="203" t="str">
        <f t="shared" si="1046"/>
        <v/>
      </c>
      <c r="AR3578" s="206" t="str">
        <f t="shared" si="1047"/>
        <v>C66 SERVICE</v>
      </c>
      <c r="AS3578" s="22" t="str">
        <f t="shared" si="1048"/>
        <v/>
      </c>
      <c r="AT3578" s="24" t="str">
        <f t="shared" si="1049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4"/>
        <v>Q1</v>
      </c>
      <c r="E3579" s="33" t="str">
        <f t="shared" ref="E3579:E3584" si="1059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0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58"/>
        <v>1</v>
      </c>
      <c r="Z3579" s="18">
        <f t="shared" si="1056"/>
        <v>12000000</v>
      </c>
      <c r="AA3579" s="22">
        <v>5.1799999999999999E-2</v>
      </c>
      <c r="AB3579" s="21">
        <f t="shared" ref="AB3579:AB3590" si="1060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38"/>
        <v>499582152.5142017</v>
      </c>
      <c r="AJ3579" s="27">
        <f t="shared" si="1039"/>
        <v>59520528.679470733</v>
      </c>
      <c r="AK3579" s="28">
        <f t="shared" si="1044"/>
        <v>0.11914062257814291</v>
      </c>
      <c r="AL3579" s="24"/>
      <c r="AM3579" s="24"/>
      <c r="AN3579" s="24"/>
      <c r="AO3579" s="24"/>
      <c r="AP3579" s="95" t="str">
        <f t="shared" si="1045"/>
        <v>CancelCancel</v>
      </c>
      <c r="AQ3579" s="203" t="str">
        <f t="shared" si="1046"/>
        <v>CancelCancelJPY</v>
      </c>
      <c r="AR3579" s="206" t="str">
        <f t="shared" si="1047"/>
        <v>YAMAHA_Mounter</v>
      </c>
      <c r="AS3579" s="22" t="str">
        <f t="shared" si="1048"/>
        <v/>
      </c>
      <c r="AT3579" s="24" t="str">
        <f t="shared" si="1049"/>
        <v/>
      </c>
      <c r="AU3579" s="22" t="s">
        <v>3745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4"/>
        <v>Q1</v>
      </c>
      <c r="E3580" s="33" t="str">
        <f t="shared" si="1059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0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58"/>
        <v>1</v>
      </c>
      <c r="Z3580" s="18">
        <f t="shared" si="1056"/>
        <v>12000000</v>
      </c>
      <c r="AA3580" s="22">
        <v>5.1799999999999999E-2</v>
      </c>
      <c r="AB3580" s="21">
        <f t="shared" si="1060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38"/>
        <v>499582152.5142017</v>
      </c>
      <c r="AJ3580" s="27">
        <f t="shared" si="1039"/>
        <v>59520528.679470733</v>
      </c>
      <c r="AK3580" s="28">
        <f t="shared" si="1044"/>
        <v>0.11914062257814291</v>
      </c>
      <c r="AL3580" s="24"/>
      <c r="AM3580" s="24"/>
      <c r="AN3580" s="24"/>
      <c r="AO3580" s="24"/>
      <c r="AP3580" s="95" t="str">
        <f t="shared" si="1045"/>
        <v>CancelCancel</v>
      </c>
      <c r="AQ3580" s="203" t="str">
        <f t="shared" si="1046"/>
        <v>CancelCancelJPY</v>
      </c>
      <c r="AR3580" s="206" t="str">
        <f t="shared" si="1047"/>
        <v>YAMAHA_Mounter</v>
      </c>
      <c r="AS3580" s="22" t="str">
        <f t="shared" si="1048"/>
        <v/>
      </c>
      <c r="AT3580" s="24" t="str">
        <f t="shared" si="1049"/>
        <v/>
      </c>
      <c r="AU3580" s="22" t="s">
        <v>3745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4"/>
        <v>Q1</v>
      </c>
      <c r="E3581" s="33" t="str">
        <f t="shared" si="1059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0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58"/>
        <v>1</v>
      </c>
      <c r="Z3581" s="18">
        <f t="shared" si="1056"/>
        <v>12000000</v>
      </c>
      <c r="AA3581" s="22">
        <v>5.1799999999999999E-2</v>
      </c>
      <c r="AB3581" s="21">
        <f t="shared" si="1060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38"/>
        <v>499582152.5142017</v>
      </c>
      <c r="AJ3581" s="27">
        <f t="shared" si="1039"/>
        <v>59520528.679470733</v>
      </c>
      <c r="AK3581" s="28">
        <f t="shared" si="1044"/>
        <v>0.11914062257814291</v>
      </c>
      <c r="AL3581" s="24"/>
      <c r="AM3581" s="24"/>
      <c r="AN3581" s="24"/>
      <c r="AO3581" s="24"/>
      <c r="AP3581" s="95" t="str">
        <f t="shared" si="1045"/>
        <v>CancelCancel</v>
      </c>
      <c r="AQ3581" s="203" t="str">
        <f t="shared" si="1046"/>
        <v>CancelCancelJPY</v>
      </c>
      <c r="AR3581" s="206" t="str">
        <f t="shared" si="1047"/>
        <v>YAMAHA_Mounter</v>
      </c>
      <c r="AS3581" s="22" t="str">
        <f t="shared" si="1048"/>
        <v/>
      </c>
      <c r="AT3581" s="24" t="str">
        <f t="shared" si="1049"/>
        <v/>
      </c>
      <c r="AU3581" s="22" t="s">
        <v>3745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4"/>
        <v>Q1</v>
      </c>
      <c r="E3582" s="33" t="str">
        <f t="shared" si="1059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0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58"/>
        <v>1</v>
      </c>
      <c r="Z3582" s="18">
        <f t="shared" si="1056"/>
        <v>12000000</v>
      </c>
      <c r="AA3582" s="22">
        <v>5.1799999999999999E-2</v>
      </c>
      <c r="AB3582" s="21">
        <f t="shared" si="1060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38"/>
        <v>499582152.5142017</v>
      </c>
      <c r="AJ3582" s="27">
        <f t="shared" si="1039"/>
        <v>59520528.679470733</v>
      </c>
      <c r="AK3582" s="28">
        <f t="shared" si="1044"/>
        <v>0.11914062257814291</v>
      </c>
      <c r="AL3582" s="24"/>
      <c r="AM3582" s="24"/>
      <c r="AN3582" s="24"/>
      <c r="AO3582" s="24"/>
      <c r="AP3582" s="95" t="str">
        <f t="shared" si="1045"/>
        <v>CancelCancel</v>
      </c>
      <c r="AQ3582" s="203" t="str">
        <f t="shared" si="1046"/>
        <v>CancelCancelJPY</v>
      </c>
      <c r="AR3582" s="206" t="str">
        <f t="shared" si="1047"/>
        <v>YAMAHA_Mounter</v>
      </c>
      <c r="AS3582" s="22" t="str">
        <f t="shared" si="1048"/>
        <v/>
      </c>
      <c r="AT3582" s="24" t="str">
        <f t="shared" si="1049"/>
        <v/>
      </c>
      <c r="AU3582" s="22" t="s">
        <v>3745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4"/>
        <v>Q1</v>
      </c>
      <c r="E3583" s="33" t="str">
        <f t="shared" si="1059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0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58"/>
        <v>1</v>
      </c>
      <c r="Z3583" s="18">
        <f t="shared" si="1056"/>
        <v>7668000</v>
      </c>
      <c r="AA3583" s="22">
        <v>5.1799999999999999E-2</v>
      </c>
      <c r="AB3583" s="21">
        <f t="shared" si="1060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38"/>
        <v>499582152.5142017</v>
      </c>
      <c r="AJ3583" s="27">
        <f t="shared" si="1039"/>
        <v>59520528.679470733</v>
      </c>
      <c r="AK3583" s="28">
        <f t="shared" si="1044"/>
        <v>0.11914062257814291</v>
      </c>
      <c r="AL3583" s="24"/>
      <c r="AM3583" s="24"/>
      <c r="AN3583" s="24"/>
      <c r="AO3583" s="24"/>
      <c r="AP3583" s="95" t="str">
        <f t="shared" si="1045"/>
        <v>CancelCancel</v>
      </c>
      <c r="AQ3583" s="203" t="str">
        <f t="shared" si="1046"/>
        <v>CancelCancelJPY</v>
      </c>
      <c r="AR3583" s="206" t="str">
        <f t="shared" si="1047"/>
        <v>YAMAHA_Mounter</v>
      </c>
      <c r="AS3583" s="22" t="str">
        <f t="shared" si="1048"/>
        <v/>
      </c>
      <c r="AT3583" s="24" t="str">
        <f t="shared" si="1049"/>
        <v/>
      </c>
      <c r="AU3583" s="22" t="s">
        <v>3745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4"/>
        <v>Q1</v>
      </c>
      <c r="E3584" s="33" t="str">
        <f t="shared" si="1059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0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58"/>
        <v>1</v>
      </c>
      <c r="Z3584" s="18">
        <f t="shared" si="1056"/>
        <v>7668000</v>
      </c>
      <c r="AA3584" s="22">
        <v>5.1799999999999999E-2</v>
      </c>
      <c r="AB3584" s="21">
        <f t="shared" si="1060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38"/>
        <v>499582152.5142017</v>
      </c>
      <c r="AJ3584" s="27">
        <f t="shared" si="1039"/>
        <v>59520528.679470733</v>
      </c>
      <c r="AK3584" s="28">
        <f t="shared" si="1044"/>
        <v>0.11914062257814291</v>
      </c>
      <c r="AL3584" s="24"/>
      <c r="AM3584" s="24"/>
      <c r="AN3584" s="24"/>
      <c r="AO3584" s="24"/>
      <c r="AP3584" s="95" t="str">
        <f t="shared" si="1045"/>
        <v>CancelCancel</v>
      </c>
      <c r="AQ3584" s="203" t="str">
        <f t="shared" si="1046"/>
        <v>CancelCancelJPY</v>
      </c>
      <c r="AR3584" s="206" t="str">
        <f t="shared" si="1047"/>
        <v>YAMAHA_Mounter</v>
      </c>
      <c r="AS3584" s="22" t="str">
        <f t="shared" si="1048"/>
        <v/>
      </c>
      <c r="AT3584" s="24" t="str">
        <f t="shared" si="1049"/>
        <v/>
      </c>
      <c r="AU3584" s="22" t="s">
        <v>3745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4"/>
        <v>Q4</v>
      </c>
      <c r="E3585" s="33" t="s">
        <v>3172</v>
      </c>
      <c r="F3585" s="152" t="s">
        <v>2584</v>
      </c>
      <c r="G3585" s="152" t="s">
        <v>2584</v>
      </c>
      <c r="H3585" s="29"/>
      <c r="I3585" s="93" t="str">
        <f t="shared" si="1041"/>
        <v>TBA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0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58"/>
        <v>1</v>
      </c>
      <c r="Z3585" s="18">
        <f t="shared" si="1056"/>
        <v>11000000</v>
      </c>
      <c r="AA3585" s="13">
        <v>5.1799999999999999E-2</v>
      </c>
      <c r="AB3585" s="21">
        <f t="shared" si="1060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38"/>
        <v>5418880.879999999</v>
      </c>
      <c r="AJ3585" s="27">
        <f t="shared" si="1039"/>
        <v>650265.70559999999</v>
      </c>
      <c r="AK3585" s="28">
        <f t="shared" si="1044"/>
        <v>0.12000000000000002</v>
      </c>
      <c r="AL3585" s="24"/>
      <c r="AM3585" s="24"/>
      <c r="AN3585" s="24"/>
      <c r="AO3585" s="24"/>
      <c r="AP3585" s="95" t="str">
        <f t="shared" si="1045"/>
        <v>TBATBA</v>
      </c>
      <c r="AQ3585" s="203" t="str">
        <f t="shared" si="1046"/>
        <v>TBATBAJPY</v>
      </c>
      <c r="AR3585" s="206" t="str">
        <f t="shared" si="1047"/>
        <v>YAMAHA_Mounter</v>
      </c>
      <c r="AS3585" s="22" t="str">
        <f t="shared" si="1048"/>
        <v/>
      </c>
      <c r="AT3585" s="24" t="str">
        <f t="shared" si="1049"/>
        <v/>
      </c>
      <c r="AU3585" s="22" t="s">
        <v>3745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4"/>
        <v>Q4</v>
      </c>
      <c r="E3586" s="33" t="s">
        <v>3172</v>
      </c>
      <c r="F3586" s="152" t="s">
        <v>2584</v>
      </c>
      <c r="G3586" s="152" t="s">
        <v>2584</v>
      </c>
      <c r="H3586" s="29"/>
      <c r="I3586" s="93" t="str">
        <f t="shared" si="1041"/>
        <v>TBA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0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58"/>
        <v>1</v>
      </c>
      <c r="Z3586" s="18">
        <f t="shared" si="1056"/>
        <v>11000000</v>
      </c>
      <c r="AA3586" s="13">
        <v>5.1799999999999999E-2</v>
      </c>
      <c r="AB3586" s="21">
        <f t="shared" si="1060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61">IF(P3586="C66 SERVICE","",SUMIFS(AB:AB,F:F,F3586,G:G,G3586,E:E,E3586))</f>
        <v>5418880.879999999</v>
      </c>
      <c r="AJ3586" s="27">
        <f t="shared" ref="AJ3586:AJ3649" si="1062">IF(P3586="C66 SERVICE","",SUMIFS(AC:AC,F:F,F3586,G:G,G3586,E:E,E3586))</f>
        <v>650265.70559999999</v>
      </c>
      <c r="AK3586" s="28">
        <f t="shared" si="1044"/>
        <v>0.12000000000000002</v>
      </c>
      <c r="AL3586" s="24"/>
      <c r="AM3586" s="24"/>
      <c r="AN3586" s="24"/>
      <c r="AO3586" s="24"/>
      <c r="AP3586" s="95" t="str">
        <f t="shared" si="1045"/>
        <v>TBATBA</v>
      </c>
      <c r="AQ3586" s="203" t="str">
        <f t="shared" si="1046"/>
        <v>TBATBAJPY</v>
      </c>
      <c r="AR3586" s="206" t="str">
        <f t="shared" si="1047"/>
        <v>YAMAHA_Mounter</v>
      </c>
      <c r="AS3586" s="22" t="str">
        <f t="shared" si="1048"/>
        <v/>
      </c>
      <c r="AT3586" s="24" t="str">
        <f t="shared" si="1049"/>
        <v/>
      </c>
      <c r="AU3586" s="22" t="s">
        <v>3745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4"/>
        <v>Q4</v>
      </c>
      <c r="E3587" s="33" t="s">
        <v>3172</v>
      </c>
      <c r="F3587" s="152" t="s">
        <v>2584</v>
      </c>
      <c r="G3587" s="152" t="s">
        <v>2584</v>
      </c>
      <c r="H3587" s="29"/>
      <c r="I3587" s="93" t="str">
        <f t="shared" si="1041"/>
        <v>TBA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0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58"/>
        <v>1</v>
      </c>
      <c r="Z3587" s="18">
        <f t="shared" si="1056"/>
        <v>11000000</v>
      </c>
      <c r="AA3587" s="13">
        <v>5.1799999999999999E-2</v>
      </c>
      <c r="AB3587" s="21">
        <f t="shared" si="1060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61"/>
        <v>5418880.879999999</v>
      </c>
      <c r="AJ3587" s="27">
        <f t="shared" si="1062"/>
        <v>650265.70559999999</v>
      </c>
      <c r="AK3587" s="28">
        <f t="shared" si="1044"/>
        <v>0.12000000000000002</v>
      </c>
      <c r="AL3587" s="24"/>
      <c r="AM3587" s="24"/>
      <c r="AN3587" s="24"/>
      <c r="AO3587" s="24"/>
      <c r="AP3587" s="95" t="str">
        <f t="shared" si="1045"/>
        <v>TBATBA</v>
      </c>
      <c r="AQ3587" s="203" t="str">
        <f t="shared" si="1046"/>
        <v>TBATBAJPY</v>
      </c>
      <c r="AR3587" s="206" t="str">
        <f t="shared" si="1047"/>
        <v>YAMAHA_Mounter</v>
      </c>
      <c r="AS3587" s="22" t="str">
        <f t="shared" si="1048"/>
        <v/>
      </c>
      <c r="AT3587" s="24" t="str">
        <f t="shared" si="1049"/>
        <v/>
      </c>
      <c r="AU3587" s="22" t="s">
        <v>3745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4"/>
        <v>Q4</v>
      </c>
      <c r="E3588" s="33" t="s">
        <v>3172</v>
      </c>
      <c r="F3588" s="152" t="s">
        <v>2584</v>
      </c>
      <c r="G3588" s="152" t="s">
        <v>2584</v>
      </c>
      <c r="H3588" s="29"/>
      <c r="I3588" s="93" t="str">
        <f t="shared" si="1041"/>
        <v>TBA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0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58"/>
        <v>1</v>
      </c>
      <c r="Z3588" s="18">
        <f t="shared" si="1056"/>
        <v>11000000</v>
      </c>
      <c r="AA3588" s="13">
        <v>5.1799999999999999E-2</v>
      </c>
      <c r="AB3588" s="21">
        <f t="shared" si="1060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61"/>
        <v>5418880.879999999</v>
      </c>
      <c r="AJ3588" s="27">
        <f t="shared" si="1062"/>
        <v>650265.70559999999</v>
      </c>
      <c r="AK3588" s="28">
        <f t="shared" si="1044"/>
        <v>0.12000000000000002</v>
      </c>
      <c r="AL3588" s="24"/>
      <c r="AM3588" s="24"/>
      <c r="AN3588" s="24"/>
      <c r="AO3588" s="24"/>
      <c r="AP3588" s="95" t="str">
        <f t="shared" si="1045"/>
        <v>TBATBA</v>
      </c>
      <c r="AQ3588" s="203" t="str">
        <f t="shared" si="1046"/>
        <v>TBATBAJPY</v>
      </c>
      <c r="AR3588" s="206" t="str">
        <f t="shared" si="1047"/>
        <v>YAMAHA_Mounter</v>
      </c>
      <c r="AS3588" s="22" t="str">
        <f t="shared" si="1048"/>
        <v/>
      </c>
      <c r="AT3588" s="24" t="str">
        <f t="shared" si="1049"/>
        <v/>
      </c>
      <c r="AU3588" s="22" t="s">
        <v>3745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4"/>
        <v>Q4</v>
      </c>
      <c r="E3589" s="33" t="s">
        <v>3172</v>
      </c>
      <c r="F3589" s="152" t="s">
        <v>2584</v>
      </c>
      <c r="G3589" s="152" t="s">
        <v>2584</v>
      </c>
      <c r="H3589" s="29"/>
      <c r="I3589" s="93" t="str">
        <f t="shared" si="1041"/>
        <v>TBA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0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58"/>
        <v>1</v>
      </c>
      <c r="Z3589" s="18">
        <f t="shared" si="1056"/>
        <v>11000000</v>
      </c>
      <c r="AA3589" s="13">
        <v>5.1799999999999999E-2</v>
      </c>
      <c r="AB3589" s="21">
        <f t="shared" si="1060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61"/>
        <v>5418880.879999999</v>
      </c>
      <c r="AJ3589" s="27">
        <f t="shared" si="1062"/>
        <v>650265.70559999999</v>
      </c>
      <c r="AK3589" s="28">
        <f t="shared" si="1044"/>
        <v>0.12000000000000002</v>
      </c>
      <c r="AL3589" s="24"/>
      <c r="AM3589" s="24"/>
      <c r="AN3589" s="24"/>
      <c r="AO3589" s="24"/>
      <c r="AP3589" s="95" t="str">
        <f t="shared" si="1045"/>
        <v>TBATBA</v>
      </c>
      <c r="AQ3589" s="203" t="str">
        <f t="shared" si="1046"/>
        <v>TBATBAJPY</v>
      </c>
      <c r="AR3589" s="206" t="str">
        <f t="shared" si="1047"/>
        <v>YAMAHA_Mounter</v>
      </c>
      <c r="AS3589" s="22" t="str">
        <f t="shared" si="1048"/>
        <v/>
      </c>
      <c r="AT3589" s="24" t="str">
        <f t="shared" si="1049"/>
        <v/>
      </c>
      <c r="AU3589" s="22" t="s">
        <v>3745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4"/>
        <v>Q4</v>
      </c>
      <c r="E3590" s="33" t="s">
        <v>3172</v>
      </c>
      <c r="F3590" s="152" t="s">
        <v>2584</v>
      </c>
      <c r="G3590" s="152" t="s">
        <v>2584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0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58"/>
        <v>1</v>
      </c>
      <c r="Z3590" s="18">
        <f t="shared" si="1056"/>
        <v>11000000</v>
      </c>
      <c r="AA3590" s="13">
        <v>5.1799999999999999E-2</v>
      </c>
      <c r="AB3590" s="21">
        <f t="shared" si="1060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61"/>
        <v>5418880.879999999</v>
      </c>
      <c r="AJ3590" s="27">
        <f t="shared" si="1062"/>
        <v>650265.70559999999</v>
      </c>
      <c r="AK3590" s="28">
        <f t="shared" ref="AK3590:AK3653" si="1067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68">IF(F3590="","",F3590&amp;G3590)</f>
        <v>TBATBA</v>
      </c>
      <c r="AQ3590" s="203" t="str">
        <f t="shared" ref="AQ3590:AQ3653" si="1069">IF(W3590="","",F3590&amp;G3590&amp;W3590)</f>
        <v>TBATBAJPY</v>
      </c>
      <c r="AR3590" s="206" t="str">
        <f t="shared" ref="AR3590:AR3653" si="1070">IFERROR(IF(AND(M3590="YAMAHA", R3590="C28"), "YAMAHA_Non_Mounter", IF(AND(M3590="YAMAHA", R3590="C49"), "YAMAHA_Mounter", M3590)),"")</f>
        <v>YAMAHA_Mounter</v>
      </c>
      <c r="AS3590" s="22" t="str">
        <f t="shared" ref="AS3590:AS3653" si="1071">IFERROR(IF(OR(G3590="TBA", G3590=""), "", DATEDIF(DATE(B3590, C3590, 1), DATE(F3590, G3590, 1), "M")),"")</f>
        <v/>
      </c>
      <c r="AT3590" s="24" t="str">
        <f t="shared" ref="AT3590:AT3653" si="1072">IF(ISNUMBER(AS3590), IF(AS3590&gt;=0, IF(AS3590&lt;=3, "0-3 months", IF(AS3590&lt;=6, "4-6 months", "&gt; 6 months"))), "")</f>
        <v/>
      </c>
      <c r="AU3590" s="22" t="s">
        <v>3745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4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0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58"/>
        <v/>
      </c>
      <c r="Z3591" s="196" t="str">
        <f t="shared" si="1056"/>
        <v/>
      </c>
      <c r="AA3591" s="22"/>
      <c r="AB3591" s="197">
        <v>215000</v>
      </c>
      <c r="AC3591" s="198">
        <f t="shared" si="1065"/>
        <v>64500</v>
      </c>
      <c r="AD3591" s="22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1"/>
        <v>25354039.366920356</v>
      </c>
      <c r="AJ3591" s="200">
        <f t="shared" si="1062"/>
        <v>3028631.2816309328</v>
      </c>
      <c r="AK3591" s="201">
        <f t="shared" si="1067"/>
        <v>0.11945360018579192</v>
      </c>
      <c r="AL3591" s="24"/>
      <c r="AM3591" s="24"/>
      <c r="AN3591" s="24"/>
      <c r="AO3591" s="24"/>
      <c r="AP3591" s="165" t="str">
        <f t="shared" si="1068"/>
        <v>20248</v>
      </c>
      <c r="AQ3591" s="203" t="str">
        <f t="shared" si="1069"/>
        <v/>
      </c>
      <c r="AR3591" s="206" t="str">
        <f t="shared" si="1070"/>
        <v>C66 SERVICE</v>
      </c>
      <c r="AS3591" s="22" t="str">
        <f t="shared" si="1071"/>
        <v/>
      </c>
      <c r="AT3591" s="24" t="str">
        <f t="shared" si="1072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4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0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58"/>
        <v/>
      </c>
      <c r="Z3592" s="196" t="str">
        <f t="shared" si="1056"/>
        <v/>
      </c>
      <c r="AA3592" s="22"/>
      <c r="AB3592" s="197">
        <v>374000</v>
      </c>
      <c r="AC3592" s="198">
        <f t="shared" si="1065"/>
        <v>112200</v>
      </c>
      <c r="AD3592" s="22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1"/>
        <v>25354039.366920356</v>
      </c>
      <c r="AJ3592" s="200">
        <f t="shared" si="1062"/>
        <v>3028631.2816309328</v>
      </c>
      <c r="AK3592" s="201">
        <f t="shared" si="1067"/>
        <v>0.11945360018579192</v>
      </c>
      <c r="AL3592" s="24"/>
      <c r="AM3592" s="24"/>
      <c r="AN3592" s="24"/>
      <c r="AO3592" s="24"/>
      <c r="AP3592" s="165" t="str">
        <f t="shared" si="1068"/>
        <v>20248</v>
      </c>
      <c r="AQ3592" s="203" t="str">
        <f t="shared" si="1069"/>
        <v/>
      </c>
      <c r="AR3592" s="206" t="str">
        <f t="shared" si="1070"/>
        <v>C66 SERVICE</v>
      </c>
      <c r="AS3592" s="22" t="str">
        <f t="shared" si="1071"/>
        <v/>
      </c>
      <c r="AT3592" s="24" t="str">
        <f t="shared" si="1072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4"/>
        <v>Q4</v>
      </c>
      <c r="E3593" s="33" t="s">
        <v>3172</v>
      </c>
      <c r="F3593" s="152" t="s">
        <v>2584</v>
      </c>
      <c r="G3593" s="152" t="s">
        <v>2584</v>
      </c>
      <c r="H3593" s="29"/>
      <c r="I3593" s="93" t="str">
        <f t="shared" si="1064"/>
        <v>TBA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0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58"/>
        <v>1</v>
      </c>
      <c r="Z3593" s="18">
        <f t="shared" si="1056"/>
        <v>9652900</v>
      </c>
      <c r="AA3593" s="13">
        <v>5.1799999999999999E-2</v>
      </c>
      <c r="AB3593" s="21">
        <f t="shared" ref="AB3593:AB3624" si="1073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1"/>
        <v>5418880.879999999</v>
      </c>
      <c r="AJ3593" s="27">
        <f t="shared" si="1062"/>
        <v>650265.70559999999</v>
      </c>
      <c r="AK3593" s="28">
        <f t="shared" si="1067"/>
        <v>0.12000000000000002</v>
      </c>
      <c r="AL3593" s="24"/>
      <c r="AM3593" s="24"/>
      <c r="AN3593" s="24"/>
      <c r="AO3593" s="24"/>
      <c r="AP3593" s="95" t="str">
        <f t="shared" si="1068"/>
        <v>TBATBA</v>
      </c>
      <c r="AQ3593" s="203" t="str">
        <f t="shared" si="1069"/>
        <v>TBATBAJPY</v>
      </c>
      <c r="AR3593" s="206" t="str">
        <f t="shared" si="1070"/>
        <v>YAMAHA_Mounter</v>
      </c>
      <c r="AS3593" s="22" t="str">
        <f t="shared" si="1071"/>
        <v/>
      </c>
      <c r="AT3593" s="24" t="str">
        <f t="shared" si="1072"/>
        <v/>
      </c>
      <c r="AU3593" s="22" t="s">
        <v>3745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4"/>
        <v>Q4</v>
      </c>
      <c r="E3594" s="33" t="s">
        <v>3172</v>
      </c>
      <c r="F3594" s="152" t="s">
        <v>2584</v>
      </c>
      <c r="G3594" s="152" t="s">
        <v>2584</v>
      </c>
      <c r="H3594" s="29"/>
      <c r="I3594" s="93" t="str">
        <f t="shared" si="1064"/>
        <v>TBA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0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58"/>
        <v>1</v>
      </c>
      <c r="Z3594" s="18">
        <f t="shared" si="1056"/>
        <v>9652900</v>
      </c>
      <c r="AA3594" s="13">
        <v>5.1799999999999999E-2</v>
      </c>
      <c r="AB3594" s="21">
        <f t="shared" si="1073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1"/>
        <v>5418880.879999999</v>
      </c>
      <c r="AJ3594" s="27">
        <f t="shared" si="1062"/>
        <v>650265.70559999999</v>
      </c>
      <c r="AK3594" s="28">
        <f t="shared" si="1067"/>
        <v>0.12000000000000002</v>
      </c>
      <c r="AL3594" s="24"/>
      <c r="AM3594" s="24"/>
      <c r="AN3594" s="24"/>
      <c r="AO3594" s="24"/>
      <c r="AP3594" s="95" t="str">
        <f t="shared" si="1068"/>
        <v>TBATBA</v>
      </c>
      <c r="AQ3594" s="203" t="str">
        <f t="shared" si="1069"/>
        <v>TBATBAJPY</v>
      </c>
      <c r="AR3594" s="206" t="str">
        <f t="shared" si="1070"/>
        <v>YAMAHA_Mounter</v>
      </c>
      <c r="AS3594" s="22" t="str">
        <f t="shared" si="1071"/>
        <v/>
      </c>
      <c r="AT3594" s="24" t="str">
        <f t="shared" si="1072"/>
        <v/>
      </c>
      <c r="AU3594" s="22" t="s">
        <v>3745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4"/>
        <v>Q4</v>
      </c>
      <c r="E3595" s="33" t="s">
        <v>3172</v>
      </c>
      <c r="F3595" s="152" t="s">
        <v>2584</v>
      </c>
      <c r="G3595" s="152" t="s">
        <v>2584</v>
      </c>
      <c r="H3595" s="29"/>
      <c r="I3595" s="93" t="str">
        <f t="shared" si="1064"/>
        <v>TBA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0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58"/>
        <v>1</v>
      </c>
      <c r="Z3595" s="18">
        <f t="shared" si="1056"/>
        <v>9652900</v>
      </c>
      <c r="AA3595" s="13">
        <v>5.1799999999999999E-2</v>
      </c>
      <c r="AB3595" s="21">
        <f t="shared" si="1073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1"/>
        <v>5418880.879999999</v>
      </c>
      <c r="AJ3595" s="27">
        <f t="shared" si="1062"/>
        <v>650265.70559999999</v>
      </c>
      <c r="AK3595" s="28">
        <f t="shared" si="1067"/>
        <v>0.12000000000000002</v>
      </c>
      <c r="AL3595" s="24"/>
      <c r="AM3595" s="24"/>
      <c r="AN3595" s="24"/>
      <c r="AO3595" s="24"/>
      <c r="AP3595" s="95" t="str">
        <f t="shared" si="1068"/>
        <v>TBATBA</v>
      </c>
      <c r="AQ3595" s="203" t="str">
        <f t="shared" si="1069"/>
        <v>TBATBAJPY</v>
      </c>
      <c r="AR3595" s="206" t="str">
        <f t="shared" si="1070"/>
        <v>YAMAHA_Mounter</v>
      </c>
      <c r="AS3595" s="22" t="str">
        <f t="shared" si="1071"/>
        <v/>
      </c>
      <c r="AT3595" s="24" t="str">
        <f t="shared" si="1072"/>
        <v/>
      </c>
      <c r="AU3595" s="22" t="s">
        <v>3745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4"/>
        <v>Q4</v>
      </c>
      <c r="E3596" s="33" t="s">
        <v>3172</v>
      </c>
      <c r="F3596" s="152" t="s">
        <v>2584</v>
      </c>
      <c r="G3596" s="152" t="s">
        <v>2584</v>
      </c>
      <c r="H3596" s="29"/>
      <c r="I3596" s="93" t="str">
        <f t="shared" si="1064"/>
        <v>TBA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0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58"/>
        <v>1</v>
      </c>
      <c r="Z3596" s="18">
        <f t="shared" si="1056"/>
        <v>9652900</v>
      </c>
      <c r="AA3596" s="13">
        <v>5.1799999999999999E-2</v>
      </c>
      <c r="AB3596" s="21">
        <f t="shared" si="1073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1"/>
        <v>5418880.879999999</v>
      </c>
      <c r="AJ3596" s="27">
        <f t="shared" si="1062"/>
        <v>650265.70559999999</v>
      </c>
      <c r="AK3596" s="28">
        <f t="shared" si="1067"/>
        <v>0.12000000000000002</v>
      </c>
      <c r="AL3596" s="24"/>
      <c r="AM3596" s="24"/>
      <c r="AN3596" s="24"/>
      <c r="AO3596" s="24"/>
      <c r="AP3596" s="95" t="str">
        <f t="shared" si="1068"/>
        <v>TBATBA</v>
      </c>
      <c r="AQ3596" s="203" t="str">
        <f t="shared" si="1069"/>
        <v>TBATBAJPY</v>
      </c>
      <c r="AR3596" s="206" t="str">
        <f t="shared" si="1070"/>
        <v>YAMAHA_Mounter</v>
      </c>
      <c r="AS3596" s="22" t="str">
        <f t="shared" si="1071"/>
        <v/>
      </c>
      <c r="AT3596" s="24" t="str">
        <f t="shared" si="1072"/>
        <v/>
      </c>
      <c r="AU3596" s="22" t="s">
        <v>3745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4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0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58"/>
        <v>1</v>
      </c>
      <c r="Z3597" s="196">
        <f t="shared" si="1056"/>
        <v>16835000</v>
      </c>
      <c r="AA3597" s="22">
        <v>5.5100000000000003E-2</v>
      </c>
      <c r="AB3597" s="197">
        <f t="shared" si="1073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1"/>
        <v>35931087.732566379</v>
      </c>
      <c r="AJ3597" s="200">
        <f t="shared" si="1062"/>
        <v>4347120.3954975223</v>
      </c>
      <c r="AK3597" s="201">
        <f t="shared" si="1067"/>
        <v>0.12098493727362117</v>
      </c>
      <c r="AL3597" s="24"/>
      <c r="AM3597" s="24"/>
      <c r="AN3597" s="24"/>
      <c r="AO3597" s="24"/>
      <c r="AP3597" s="165" t="str">
        <f t="shared" si="1068"/>
        <v>20249</v>
      </c>
      <c r="AQ3597" s="203" t="str">
        <f t="shared" si="1069"/>
        <v>20249JPY</v>
      </c>
      <c r="AR3597" s="206" t="str">
        <f t="shared" si="1070"/>
        <v>YAMAHA_Mounter</v>
      </c>
      <c r="AS3597" s="22">
        <f t="shared" si="1071"/>
        <v>4</v>
      </c>
      <c r="AT3597" s="24" t="str">
        <f t="shared" si="1072"/>
        <v>4-6 months</v>
      </c>
      <c r="AU3597" s="22" t="s">
        <v>3746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4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0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58"/>
        <v>1</v>
      </c>
      <c r="Z3598" s="196">
        <f t="shared" si="1056"/>
        <v>16835000</v>
      </c>
      <c r="AA3598" s="22">
        <v>5.5100000000000003E-2</v>
      </c>
      <c r="AB3598" s="197">
        <f t="shared" si="1073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1"/>
        <v>35931087.732566379</v>
      </c>
      <c r="AJ3598" s="200">
        <f t="shared" si="1062"/>
        <v>4347120.3954975223</v>
      </c>
      <c r="AK3598" s="201">
        <f t="shared" si="1067"/>
        <v>0.12098493727362117</v>
      </c>
      <c r="AL3598" s="24"/>
      <c r="AM3598" s="24"/>
      <c r="AN3598" s="24"/>
      <c r="AO3598" s="24"/>
      <c r="AP3598" s="165" t="str">
        <f t="shared" si="1068"/>
        <v>20249</v>
      </c>
      <c r="AQ3598" s="203" t="str">
        <f t="shared" si="1069"/>
        <v>20249JPY</v>
      </c>
      <c r="AR3598" s="206" t="str">
        <f t="shared" si="1070"/>
        <v>YAMAHA_Mounter</v>
      </c>
      <c r="AS3598" s="22">
        <f t="shared" si="1071"/>
        <v>4</v>
      </c>
      <c r="AT3598" s="24" t="str">
        <f t="shared" si="1072"/>
        <v>4-6 months</v>
      </c>
      <c r="AU3598" s="22" t="s">
        <v>3746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4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0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58"/>
        <v>1</v>
      </c>
      <c r="Z3599" s="196">
        <f t="shared" si="1056"/>
        <v>14300000</v>
      </c>
      <c r="AA3599" s="22">
        <v>5.5100000000000003E-2</v>
      </c>
      <c r="AB3599" s="197">
        <f t="shared" si="1073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1"/>
        <v>35931087.732566379</v>
      </c>
      <c r="AJ3599" s="200">
        <f t="shared" si="1062"/>
        <v>4347120.3954975223</v>
      </c>
      <c r="AK3599" s="201">
        <f t="shared" si="1067"/>
        <v>0.12098493727362117</v>
      </c>
      <c r="AL3599" s="24"/>
      <c r="AM3599" s="24"/>
      <c r="AN3599" s="24"/>
      <c r="AO3599" s="24"/>
      <c r="AP3599" s="165" t="str">
        <f t="shared" si="1068"/>
        <v>20249</v>
      </c>
      <c r="AQ3599" s="203" t="str">
        <f t="shared" si="1069"/>
        <v>20249JPY</v>
      </c>
      <c r="AR3599" s="206" t="str">
        <f t="shared" si="1070"/>
        <v>YAMAHA_Mounter</v>
      </c>
      <c r="AS3599" s="22">
        <f t="shared" si="1071"/>
        <v>4</v>
      </c>
      <c r="AT3599" s="24" t="str">
        <f t="shared" si="1072"/>
        <v>4-6 months</v>
      </c>
      <c r="AU3599" s="22" t="s">
        <v>3746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4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0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58"/>
        <v>1</v>
      </c>
      <c r="Z3600" s="196">
        <f t="shared" si="1056"/>
        <v>14300000</v>
      </c>
      <c r="AA3600" s="22">
        <v>5.5100000000000003E-2</v>
      </c>
      <c r="AB3600" s="197">
        <f t="shared" si="1073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1"/>
        <v>35931087.732566379</v>
      </c>
      <c r="AJ3600" s="200">
        <f t="shared" si="1062"/>
        <v>4347120.3954975223</v>
      </c>
      <c r="AK3600" s="201">
        <f t="shared" si="1067"/>
        <v>0.12098493727362117</v>
      </c>
      <c r="AL3600" s="24"/>
      <c r="AM3600" s="24"/>
      <c r="AN3600" s="24"/>
      <c r="AO3600" s="24"/>
      <c r="AP3600" s="165" t="str">
        <f t="shared" si="1068"/>
        <v>20249</v>
      </c>
      <c r="AQ3600" s="203" t="str">
        <f t="shared" si="1069"/>
        <v>20249JPY</v>
      </c>
      <c r="AR3600" s="206" t="str">
        <f t="shared" si="1070"/>
        <v>YAMAHA_Mounter</v>
      </c>
      <c r="AS3600" s="22">
        <f t="shared" si="1071"/>
        <v>4</v>
      </c>
      <c r="AT3600" s="24" t="str">
        <f t="shared" si="1072"/>
        <v>4-6 months</v>
      </c>
      <c r="AU3600" s="22" t="s">
        <v>3746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4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0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58"/>
        <v>1</v>
      </c>
      <c r="Z3601" s="196">
        <f t="shared" si="1056"/>
        <v>7400000</v>
      </c>
      <c r="AA3601" s="22">
        <v>5.5100000000000003E-2</v>
      </c>
      <c r="AB3601" s="197">
        <f t="shared" si="1073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1"/>
        <v>35931087.732566379</v>
      </c>
      <c r="AJ3601" s="200">
        <f t="shared" si="1062"/>
        <v>4347120.3954975223</v>
      </c>
      <c r="AK3601" s="201">
        <f t="shared" si="1067"/>
        <v>0.12098493727362117</v>
      </c>
      <c r="AL3601" s="24"/>
      <c r="AM3601" s="24"/>
      <c r="AN3601" s="24"/>
      <c r="AO3601" s="24"/>
      <c r="AP3601" s="165" t="str">
        <f t="shared" si="1068"/>
        <v>20249</v>
      </c>
      <c r="AQ3601" s="203" t="str">
        <f t="shared" si="1069"/>
        <v>20249JPY</v>
      </c>
      <c r="AR3601" s="206" t="str">
        <f t="shared" si="1070"/>
        <v>YAMAHA_Non_Mounter</v>
      </c>
      <c r="AS3601" s="22">
        <f t="shared" si="1071"/>
        <v>4</v>
      </c>
      <c r="AT3601" s="24" t="str">
        <f t="shared" si="1072"/>
        <v>4-6 months</v>
      </c>
      <c r="AU3601" s="22" t="s">
        <v>3745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4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0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58"/>
        <v>1.13</v>
      </c>
      <c r="Z3602" s="18">
        <f t="shared" si="1056"/>
        <v>770000</v>
      </c>
      <c r="AA3602" s="22">
        <v>1.0920000000000001</v>
      </c>
      <c r="AB3602" s="21">
        <f t="shared" si="1073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1"/>
        <v>499582152.5142017</v>
      </c>
      <c r="AJ3602" s="27">
        <f t="shared" si="1062"/>
        <v>59520528.679470733</v>
      </c>
      <c r="AK3602" s="28">
        <f t="shared" si="1067"/>
        <v>0.11914062257814291</v>
      </c>
      <c r="AL3602" s="24"/>
      <c r="AM3602" s="24"/>
      <c r="AN3602" s="24"/>
      <c r="AO3602" s="24"/>
      <c r="AP3602" s="95" t="str">
        <f t="shared" si="1068"/>
        <v>CancelCancel</v>
      </c>
      <c r="AQ3602" s="203" t="str">
        <f t="shared" si="1069"/>
        <v>CancelCancelRMB</v>
      </c>
      <c r="AR3602" s="206" t="str">
        <f t="shared" si="1070"/>
        <v>YAMAHA_Mounter</v>
      </c>
      <c r="AS3602" s="22" t="str">
        <f t="shared" si="1071"/>
        <v/>
      </c>
      <c r="AT3602" s="24" t="str">
        <f t="shared" si="1072"/>
        <v/>
      </c>
      <c r="AU3602" s="22" t="s">
        <v>3751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4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0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58"/>
        <v>1</v>
      </c>
      <c r="Z3603" s="196">
        <f t="shared" si="1056"/>
        <v>7400000</v>
      </c>
      <c r="AA3603" s="22">
        <v>5.5100000000000003E-2</v>
      </c>
      <c r="AB3603" s="197">
        <f t="shared" si="1073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1"/>
        <v>35931087.732566379</v>
      </c>
      <c r="AJ3603" s="200">
        <f t="shared" si="1062"/>
        <v>4347120.3954975223</v>
      </c>
      <c r="AK3603" s="201">
        <f t="shared" si="1067"/>
        <v>0.12098493727362117</v>
      </c>
      <c r="AL3603" s="24"/>
      <c r="AM3603" s="24"/>
      <c r="AN3603" s="24"/>
      <c r="AO3603" s="24"/>
      <c r="AP3603" s="165" t="str">
        <f t="shared" si="1068"/>
        <v>20249</v>
      </c>
      <c r="AQ3603" s="203" t="str">
        <f t="shared" si="1069"/>
        <v>20249JPY</v>
      </c>
      <c r="AR3603" s="206" t="str">
        <f t="shared" si="1070"/>
        <v>YAMAHA_Non_Mounter</v>
      </c>
      <c r="AS3603" s="22">
        <f t="shared" si="1071"/>
        <v>4</v>
      </c>
      <c r="AT3603" s="24" t="str">
        <f t="shared" si="1072"/>
        <v>4-6 months</v>
      </c>
      <c r="AU3603" s="22" t="s">
        <v>3745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4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0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4">IF(W3604="","",IF(W3604="RMB","1.13", "1"))</f>
        <v>1</v>
      </c>
      <c r="Z3604" s="196">
        <f t="shared" si="1056"/>
        <v>7400000</v>
      </c>
      <c r="AA3604" s="22">
        <v>5.5100000000000003E-2</v>
      </c>
      <c r="AB3604" s="197">
        <f t="shared" si="1073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1"/>
        <v>35931087.732566379</v>
      </c>
      <c r="AJ3604" s="200">
        <f t="shared" si="1062"/>
        <v>4347120.3954975223</v>
      </c>
      <c r="AK3604" s="201">
        <f t="shared" si="1067"/>
        <v>0.12098493727362117</v>
      </c>
      <c r="AL3604" s="24"/>
      <c r="AM3604" s="24"/>
      <c r="AN3604" s="24"/>
      <c r="AO3604" s="24"/>
      <c r="AP3604" s="165" t="str">
        <f t="shared" si="1068"/>
        <v>20249</v>
      </c>
      <c r="AQ3604" s="203" t="str">
        <f t="shared" si="1069"/>
        <v>20249JPY</v>
      </c>
      <c r="AR3604" s="206" t="str">
        <f t="shared" si="1070"/>
        <v>YAMAHA_Non_Mounter</v>
      </c>
      <c r="AS3604" s="22">
        <f t="shared" si="1071"/>
        <v>4</v>
      </c>
      <c r="AT3604" s="24" t="str">
        <f t="shared" si="1072"/>
        <v>4-6 months</v>
      </c>
      <c r="AU3604" s="22" t="s">
        <v>3745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4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0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4"/>
        <v>1</v>
      </c>
      <c r="Z3605" s="196">
        <f t="shared" si="1056"/>
        <v>13235000</v>
      </c>
      <c r="AA3605" s="22">
        <v>5.5599999999999997E-2</v>
      </c>
      <c r="AB3605" s="197">
        <f t="shared" si="1073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1"/>
        <v>22758096.38940867</v>
      </c>
      <c r="AJ3605" s="200">
        <f t="shared" si="1062"/>
        <v>2469357.2298956565</v>
      </c>
      <c r="AK3605" s="201">
        <f t="shared" si="1067"/>
        <v>0.10850455976822666</v>
      </c>
      <c r="AL3605" s="24"/>
      <c r="AM3605" s="24"/>
      <c r="AN3605" s="24"/>
      <c r="AO3605" s="24"/>
      <c r="AP3605" s="165" t="str">
        <f t="shared" si="1068"/>
        <v>202410</v>
      </c>
      <c r="AQ3605" s="203" t="str">
        <f t="shared" si="1069"/>
        <v>202410JPY</v>
      </c>
      <c r="AR3605" s="206" t="str">
        <f t="shared" si="1070"/>
        <v>YAMAHA_Mounter</v>
      </c>
      <c r="AS3605" s="22">
        <f t="shared" si="1071"/>
        <v>5</v>
      </c>
      <c r="AT3605" s="24" t="str">
        <f t="shared" si="1072"/>
        <v>4-6 months</v>
      </c>
      <c r="AU3605" s="22" t="s">
        <v>3746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4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5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4"/>
        <v>1</v>
      </c>
      <c r="Z3606" s="196">
        <f t="shared" si="1056"/>
        <v>13750000</v>
      </c>
      <c r="AA3606" s="22">
        <v>5.1799999999999999E-2</v>
      </c>
      <c r="AB3606" s="197">
        <f t="shared" si="1073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1"/>
        <v>4327756</v>
      </c>
      <c r="AJ3606" s="200">
        <f t="shared" si="1062"/>
        <v>519330.72</v>
      </c>
      <c r="AK3606" s="201">
        <f t="shared" si="1067"/>
        <v>0.12</v>
      </c>
      <c r="AL3606" s="24"/>
      <c r="AM3606" s="24"/>
      <c r="AN3606" s="24"/>
      <c r="AO3606" s="24"/>
      <c r="AP3606" s="165" t="str">
        <f t="shared" si="1068"/>
        <v>CancelCancel</v>
      </c>
      <c r="AQ3606" s="203" t="str">
        <f t="shared" si="1069"/>
        <v>CancelCancelJPY</v>
      </c>
      <c r="AR3606" s="206" t="str">
        <f t="shared" si="1070"/>
        <v>YAMAHA_Mounter</v>
      </c>
      <c r="AS3606" s="22" t="str">
        <f t="shared" si="1071"/>
        <v/>
      </c>
      <c r="AT3606" s="24" t="str">
        <f t="shared" si="1072"/>
        <v/>
      </c>
      <c r="AU3606" s="22" t="s">
        <v>3745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4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5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4"/>
        <v>1</v>
      </c>
      <c r="Z3607" s="196">
        <f t="shared" si="1056"/>
        <v>13750000</v>
      </c>
      <c r="AA3607" s="22">
        <v>5.1799999999999999E-2</v>
      </c>
      <c r="AB3607" s="197">
        <f t="shared" si="1073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1"/>
        <v>4327756</v>
      </c>
      <c r="AJ3607" s="200">
        <f t="shared" si="1062"/>
        <v>519330.72</v>
      </c>
      <c r="AK3607" s="201">
        <f t="shared" si="1067"/>
        <v>0.12</v>
      </c>
      <c r="AL3607" s="24"/>
      <c r="AM3607" s="24"/>
      <c r="AN3607" s="24"/>
      <c r="AO3607" s="24"/>
      <c r="AP3607" s="165" t="str">
        <f t="shared" si="1068"/>
        <v>CancelCancel</v>
      </c>
      <c r="AQ3607" s="203" t="str">
        <f t="shared" si="1069"/>
        <v>CancelCancelJPY</v>
      </c>
      <c r="AR3607" s="206" t="str">
        <f t="shared" si="1070"/>
        <v>YAMAHA_Mounter</v>
      </c>
      <c r="AS3607" s="22" t="str">
        <f t="shared" si="1071"/>
        <v/>
      </c>
      <c r="AT3607" s="24" t="str">
        <f t="shared" si="1072"/>
        <v/>
      </c>
      <c r="AU3607" s="22" t="s">
        <v>3745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4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5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4"/>
        <v>1.13</v>
      </c>
      <c r="Z3608" s="196">
        <f t="shared" si="1056"/>
        <v>411668</v>
      </c>
      <c r="AA3608" s="22">
        <v>1.0980000000000001</v>
      </c>
      <c r="AB3608" s="197">
        <f t="shared" si="1073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1"/>
        <v>35931087.732566379</v>
      </c>
      <c r="AJ3608" s="200">
        <f t="shared" si="1062"/>
        <v>4347120.3954975223</v>
      </c>
      <c r="AK3608" s="201">
        <f t="shared" si="1067"/>
        <v>0.12098493727362117</v>
      </c>
      <c r="AL3608" s="24"/>
      <c r="AM3608" s="24"/>
      <c r="AN3608" s="24"/>
      <c r="AO3608" s="24"/>
      <c r="AP3608" s="165" t="str">
        <f t="shared" si="1068"/>
        <v>20249</v>
      </c>
      <c r="AQ3608" s="203" t="str">
        <f t="shared" si="1069"/>
        <v>20249RMB</v>
      </c>
      <c r="AR3608" s="206" t="str">
        <f t="shared" si="1070"/>
        <v>YAMAHA_Mounter</v>
      </c>
      <c r="AS3608" s="22">
        <f t="shared" si="1071"/>
        <v>4</v>
      </c>
      <c r="AT3608" s="24" t="str">
        <f t="shared" si="1072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4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5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4"/>
        <v>1.13</v>
      </c>
      <c r="Z3609" s="196">
        <f t="shared" si="1056"/>
        <v>525000</v>
      </c>
      <c r="AA3609" s="22">
        <v>1.0980000000000001</v>
      </c>
      <c r="AB3609" s="197">
        <f t="shared" si="1073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1"/>
        <v>35931087.732566379</v>
      </c>
      <c r="AJ3609" s="200">
        <f t="shared" si="1062"/>
        <v>4347120.3954975223</v>
      </c>
      <c r="AK3609" s="201">
        <f t="shared" si="1067"/>
        <v>0.12098493727362117</v>
      </c>
      <c r="AL3609" s="24"/>
      <c r="AM3609" s="24"/>
      <c r="AN3609" s="24"/>
      <c r="AO3609" s="24"/>
      <c r="AP3609" s="165" t="str">
        <f t="shared" si="1068"/>
        <v>20249</v>
      </c>
      <c r="AQ3609" s="203" t="str">
        <f t="shared" si="1069"/>
        <v>20249RMB</v>
      </c>
      <c r="AR3609" s="206" t="str">
        <f t="shared" si="1070"/>
        <v>YAMAHA_Mounter</v>
      </c>
      <c r="AS3609" s="22">
        <f t="shared" si="1071"/>
        <v>4</v>
      </c>
      <c r="AT3609" s="24" t="str">
        <f t="shared" si="1072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4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5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4"/>
        <v>1</v>
      </c>
      <c r="Z3610" s="196">
        <f t="shared" si="1056"/>
        <v>8250000</v>
      </c>
      <c r="AA3610" s="22">
        <v>5.5100000000000003E-2</v>
      </c>
      <c r="AB3610" s="197">
        <f t="shared" si="1073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1"/>
        <v>35931087.732566379</v>
      </c>
      <c r="AJ3610" s="200">
        <f t="shared" si="1062"/>
        <v>4347120.3954975223</v>
      </c>
      <c r="AK3610" s="201">
        <f t="shared" si="1067"/>
        <v>0.12098493727362117</v>
      </c>
      <c r="AL3610" s="24"/>
      <c r="AM3610" s="24"/>
      <c r="AN3610" s="24"/>
      <c r="AO3610" s="24"/>
      <c r="AP3610" s="165" t="str">
        <f t="shared" si="1068"/>
        <v>20249</v>
      </c>
      <c r="AQ3610" s="203" t="str">
        <f t="shared" si="1069"/>
        <v>20249JPY</v>
      </c>
      <c r="AR3610" s="206" t="str">
        <f t="shared" si="1070"/>
        <v>YAMAHA_Mounter</v>
      </c>
      <c r="AS3610" s="22">
        <f t="shared" si="1071"/>
        <v>4</v>
      </c>
      <c r="AT3610" s="24" t="str">
        <f t="shared" si="1072"/>
        <v>4-6 months</v>
      </c>
      <c r="AU3610" s="22" t="s">
        <v>3745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4"/>
        <v>Q1</v>
      </c>
      <c r="E3611" s="33" t="str">
        <f t="shared" ref="E3611:E3619" si="1076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5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4"/>
        <v>1.13</v>
      </c>
      <c r="Z3611" s="196">
        <f t="shared" si="1056"/>
        <v>503000</v>
      </c>
      <c r="AA3611" s="22">
        <v>1.0980000000000001</v>
      </c>
      <c r="AB3611" s="197">
        <f t="shared" si="1073"/>
        <v>488755.75221238943</v>
      </c>
      <c r="AC3611" s="198">
        <f t="shared" si="1065"/>
        <v>5571.8155752212397</v>
      </c>
      <c r="AD3611" s="22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1"/>
        <v>35931087.732566379</v>
      </c>
      <c r="AJ3611" s="200">
        <f t="shared" si="1062"/>
        <v>4347120.3954975223</v>
      </c>
      <c r="AK3611" s="201">
        <f t="shared" si="1067"/>
        <v>0.12098493727362117</v>
      </c>
      <c r="AL3611" s="24"/>
      <c r="AM3611" s="24"/>
      <c r="AN3611" s="24"/>
      <c r="AO3611" s="24"/>
      <c r="AP3611" s="165" t="str">
        <f t="shared" si="1068"/>
        <v>20249</v>
      </c>
      <c r="AQ3611" s="203" t="str">
        <f t="shared" si="1069"/>
        <v>20249RMB</v>
      </c>
      <c r="AR3611" s="206" t="str">
        <f t="shared" si="1070"/>
        <v>YAMAHA_Mounter</v>
      </c>
      <c r="AS3611" s="22">
        <f t="shared" si="1071"/>
        <v>4</v>
      </c>
      <c r="AT3611" s="24" t="str">
        <f t="shared" si="1072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4"/>
        <v>Q1</v>
      </c>
      <c r="E3612" s="33" t="str">
        <f t="shared" si="1076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5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4"/>
        <v>1</v>
      </c>
      <c r="Z3612" s="196">
        <f t="shared" si="1056"/>
        <v>8100000</v>
      </c>
      <c r="AA3612" s="22">
        <v>5.5100000000000003E-2</v>
      </c>
      <c r="AB3612" s="197">
        <f t="shared" si="1073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1"/>
        <v>35931087.732566379</v>
      </c>
      <c r="AJ3612" s="200">
        <f t="shared" si="1062"/>
        <v>4347120.3954975223</v>
      </c>
      <c r="AK3612" s="201">
        <f t="shared" si="1067"/>
        <v>0.12098493727362117</v>
      </c>
      <c r="AL3612" s="24"/>
      <c r="AM3612" s="24"/>
      <c r="AN3612" s="24"/>
      <c r="AO3612" s="24"/>
      <c r="AP3612" s="165" t="str">
        <f t="shared" si="1068"/>
        <v>20249</v>
      </c>
      <c r="AQ3612" s="203" t="str">
        <f t="shared" si="1069"/>
        <v>20249JPY</v>
      </c>
      <c r="AR3612" s="206" t="str">
        <f t="shared" si="1070"/>
        <v>YAMAHA_Mounter</v>
      </c>
      <c r="AS3612" s="22">
        <f t="shared" si="1071"/>
        <v>3</v>
      </c>
      <c r="AT3612" s="24" t="str">
        <f t="shared" si="1072"/>
        <v>0-3 months</v>
      </c>
      <c r="AU3612" s="22" t="s">
        <v>3745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4"/>
        <v>Q1</v>
      </c>
      <c r="E3613" s="33" t="str">
        <f t="shared" si="1076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5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4"/>
        <v>1</v>
      </c>
      <c r="Z3613" s="196">
        <f t="shared" si="1056"/>
        <v>7415000</v>
      </c>
      <c r="AA3613" s="22">
        <v>5.5100000000000003E-2</v>
      </c>
      <c r="AB3613" s="197">
        <f t="shared" si="1073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1"/>
        <v>35931087.732566379</v>
      </c>
      <c r="AJ3613" s="200">
        <f t="shared" si="1062"/>
        <v>4347120.3954975223</v>
      </c>
      <c r="AK3613" s="201">
        <f t="shared" si="1067"/>
        <v>0.12098493727362117</v>
      </c>
      <c r="AL3613" s="24"/>
      <c r="AM3613" s="24"/>
      <c r="AN3613" s="24"/>
      <c r="AO3613" s="24"/>
      <c r="AP3613" s="165" t="str">
        <f t="shared" si="1068"/>
        <v>20249</v>
      </c>
      <c r="AQ3613" s="203" t="str">
        <f t="shared" si="1069"/>
        <v>20249JPY</v>
      </c>
      <c r="AR3613" s="206" t="str">
        <f t="shared" si="1070"/>
        <v>YAMAHA_Mounter</v>
      </c>
      <c r="AS3613" s="22">
        <f t="shared" si="1071"/>
        <v>3</v>
      </c>
      <c r="AT3613" s="24" t="str">
        <f t="shared" si="1072"/>
        <v>0-3 months</v>
      </c>
      <c r="AU3613" s="22" t="s">
        <v>3746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4"/>
        <v>Q1</v>
      </c>
      <c r="E3614" s="33" t="str">
        <f t="shared" si="1076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5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4"/>
        <v>1</v>
      </c>
      <c r="Z3614" s="196">
        <f t="shared" si="1056"/>
        <v>7415000</v>
      </c>
      <c r="AA3614" s="22">
        <v>5.5100000000000003E-2</v>
      </c>
      <c r="AB3614" s="197">
        <f t="shared" si="1073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1"/>
        <v>35931087.732566379</v>
      </c>
      <c r="AJ3614" s="200">
        <f t="shared" si="1062"/>
        <v>4347120.3954975223</v>
      </c>
      <c r="AK3614" s="201">
        <f t="shared" si="1067"/>
        <v>0.12098493727362117</v>
      </c>
      <c r="AL3614" s="24"/>
      <c r="AM3614" s="24"/>
      <c r="AN3614" s="24"/>
      <c r="AO3614" s="24"/>
      <c r="AP3614" s="165" t="str">
        <f t="shared" si="1068"/>
        <v>20249</v>
      </c>
      <c r="AQ3614" s="203" t="str">
        <f t="shared" si="1069"/>
        <v>20249JPY</v>
      </c>
      <c r="AR3614" s="206" t="str">
        <f t="shared" si="1070"/>
        <v>YAMAHA_Mounter</v>
      </c>
      <c r="AS3614" s="22">
        <f t="shared" si="1071"/>
        <v>3</v>
      </c>
      <c r="AT3614" s="24" t="str">
        <f t="shared" si="1072"/>
        <v>0-3 months</v>
      </c>
      <c r="AU3614" s="22" t="s">
        <v>3746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4"/>
        <v>Q1</v>
      </c>
      <c r="E3615" s="33" t="str">
        <f t="shared" si="1076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5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4"/>
        <v>1</v>
      </c>
      <c r="Z3615" s="196">
        <f t="shared" si="1056"/>
        <v>7415000</v>
      </c>
      <c r="AA3615" s="22">
        <v>5.5100000000000003E-2</v>
      </c>
      <c r="AB3615" s="197">
        <f t="shared" si="1073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1"/>
        <v>35931087.732566379</v>
      </c>
      <c r="AJ3615" s="200">
        <f t="shared" si="1062"/>
        <v>4347120.3954975223</v>
      </c>
      <c r="AK3615" s="201">
        <f t="shared" si="1067"/>
        <v>0.12098493727362117</v>
      </c>
      <c r="AL3615" s="24"/>
      <c r="AM3615" s="24"/>
      <c r="AN3615" s="24"/>
      <c r="AO3615" s="24"/>
      <c r="AP3615" s="165" t="str">
        <f t="shared" si="1068"/>
        <v>20249</v>
      </c>
      <c r="AQ3615" s="203" t="str">
        <f t="shared" si="1069"/>
        <v>20249JPY</v>
      </c>
      <c r="AR3615" s="206" t="str">
        <f t="shared" si="1070"/>
        <v>YAMAHA_Mounter</v>
      </c>
      <c r="AS3615" s="22">
        <f t="shared" si="1071"/>
        <v>3</v>
      </c>
      <c r="AT3615" s="24" t="str">
        <f t="shared" si="1072"/>
        <v>0-3 months</v>
      </c>
      <c r="AU3615" s="22" t="s">
        <v>3746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4"/>
        <v>Q1</v>
      </c>
      <c r="E3616" s="33" t="str">
        <f t="shared" si="1076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5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4"/>
        <v>1</v>
      </c>
      <c r="Z3616" s="196">
        <f t="shared" si="1056"/>
        <v>12100000</v>
      </c>
      <c r="AA3616" s="22">
        <v>5.5100000000000003E-2</v>
      </c>
      <c r="AB3616" s="197">
        <f t="shared" si="1073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1"/>
        <v>35931087.732566379</v>
      </c>
      <c r="AJ3616" s="200">
        <f t="shared" si="1062"/>
        <v>4347120.3954975223</v>
      </c>
      <c r="AK3616" s="201">
        <f t="shared" si="1067"/>
        <v>0.12098493727362117</v>
      </c>
      <c r="AL3616" s="24"/>
      <c r="AM3616" s="24"/>
      <c r="AN3616" s="24"/>
      <c r="AO3616" s="24"/>
      <c r="AP3616" s="165" t="str">
        <f t="shared" si="1068"/>
        <v>20249</v>
      </c>
      <c r="AQ3616" s="203" t="str">
        <f t="shared" si="1069"/>
        <v>20249JPY</v>
      </c>
      <c r="AR3616" s="206" t="str">
        <f t="shared" si="1070"/>
        <v>YAMAHA_Mounter</v>
      </c>
      <c r="AS3616" s="22">
        <f t="shared" si="1071"/>
        <v>3</v>
      </c>
      <c r="AT3616" s="24" t="str">
        <f t="shared" si="1072"/>
        <v>0-3 months</v>
      </c>
      <c r="AU3616" s="22" t="s">
        <v>3746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4"/>
        <v>Q1</v>
      </c>
      <c r="E3617" s="33" t="str">
        <f t="shared" si="1076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5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4"/>
        <v>1</v>
      </c>
      <c r="Z3617" s="196">
        <f t="shared" si="1056"/>
        <v>12100000</v>
      </c>
      <c r="AA3617" s="22">
        <v>5.5100000000000003E-2</v>
      </c>
      <c r="AB3617" s="197">
        <f t="shared" si="1073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1"/>
        <v>35931087.732566379</v>
      </c>
      <c r="AJ3617" s="200">
        <f t="shared" si="1062"/>
        <v>4347120.3954975223</v>
      </c>
      <c r="AK3617" s="201">
        <f t="shared" si="1067"/>
        <v>0.12098493727362117</v>
      </c>
      <c r="AL3617" s="24"/>
      <c r="AM3617" s="24"/>
      <c r="AN3617" s="24"/>
      <c r="AO3617" s="24"/>
      <c r="AP3617" s="165" t="str">
        <f t="shared" si="1068"/>
        <v>20249</v>
      </c>
      <c r="AQ3617" s="203" t="str">
        <f t="shared" si="1069"/>
        <v>20249JPY</v>
      </c>
      <c r="AR3617" s="206" t="str">
        <f t="shared" si="1070"/>
        <v>YAMAHA_Mounter</v>
      </c>
      <c r="AS3617" s="22">
        <f t="shared" si="1071"/>
        <v>3</v>
      </c>
      <c r="AT3617" s="24" t="str">
        <f t="shared" si="1072"/>
        <v>0-3 months</v>
      </c>
      <c r="AU3617" s="22" t="s">
        <v>3746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4"/>
        <v>Q1</v>
      </c>
      <c r="E3618" s="33" t="str">
        <f t="shared" si="1076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5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4"/>
        <v>1</v>
      </c>
      <c r="Z3618" s="196">
        <f t="shared" si="1056"/>
        <v>12100000</v>
      </c>
      <c r="AA3618" s="22">
        <v>5.5100000000000003E-2</v>
      </c>
      <c r="AB3618" s="197">
        <f t="shared" si="1073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1"/>
        <v>35931087.732566379</v>
      </c>
      <c r="AJ3618" s="200">
        <f t="shared" si="1062"/>
        <v>4347120.3954975223</v>
      </c>
      <c r="AK3618" s="201">
        <f t="shared" si="1067"/>
        <v>0.12098493727362117</v>
      </c>
      <c r="AL3618" s="24"/>
      <c r="AM3618" s="24"/>
      <c r="AN3618" s="24"/>
      <c r="AO3618" s="24"/>
      <c r="AP3618" s="165" t="str">
        <f t="shared" si="1068"/>
        <v>20249</v>
      </c>
      <c r="AQ3618" s="203" t="str">
        <f t="shared" si="1069"/>
        <v>20249JPY</v>
      </c>
      <c r="AR3618" s="206" t="str">
        <f t="shared" si="1070"/>
        <v>YAMAHA_Mounter</v>
      </c>
      <c r="AS3618" s="22">
        <f t="shared" si="1071"/>
        <v>3</v>
      </c>
      <c r="AT3618" s="24" t="str">
        <f t="shared" si="1072"/>
        <v>0-3 months</v>
      </c>
      <c r="AU3618" s="22" t="s">
        <v>3746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4"/>
        <v>Q1</v>
      </c>
      <c r="E3619" s="33" t="str">
        <f t="shared" si="1076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5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4"/>
        <v>1</v>
      </c>
      <c r="Z3619" s="196">
        <f t="shared" si="1056"/>
        <v>12100000</v>
      </c>
      <c r="AA3619" s="22">
        <v>5.5100000000000003E-2</v>
      </c>
      <c r="AB3619" s="197">
        <f t="shared" si="1073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1"/>
        <v>35931087.732566379</v>
      </c>
      <c r="AJ3619" s="200">
        <f t="shared" si="1062"/>
        <v>4347120.3954975223</v>
      </c>
      <c r="AK3619" s="201">
        <f t="shared" si="1067"/>
        <v>0.12098493727362117</v>
      </c>
      <c r="AL3619" s="24"/>
      <c r="AM3619" s="24"/>
      <c r="AN3619" s="24"/>
      <c r="AO3619" s="24"/>
      <c r="AP3619" s="165" t="str">
        <f t="shared" si="1068"/>
        <v>20249</v>
      </c>
      <c r="AQ3619" s="203" t="str">
        <f t="shared" si="1069"/>
        <v>20249JPY</v>
      </c>
      <c r="AR3619" s="206" t="str">
        <f t="shared" si="1070"/>
        <v>YAMAHA_Mounter</v>
      </c>
      <c r="AS3619" s="22">
        <f t="shared" si="1071"/>
        <v>3</v>
      </c>
      <c r="AT3619" s="24" t="str">
        <f t="shared" si="1072"/>
        <v>0-3 months</v>
      </c>
      <c r="AU3619" s="22" t="s">
        <v>3746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4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5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4"/>
        <v>1</v>
      </c>
      <c r="Z3620" s="196">
        <f t="shared" si="1056"/>
        <v>11800000</v>
      </c>
      <c r="AA3620" s="22">
        <v>5.5100000000000003E-2</v>
      </c>
      <c r="AB3620" s="197">
        <f t="shared" si="1073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1"/>
        <v>35931087.732566379</v>
      </c>
      <c r="AJ3620" s="200">
        <f t="shared" si="1062"/>
        <v>4347120.3954975223</v>
      </c>
      <c r="AK3620" s="201">
        <f t="shared" si="1067"/>
        <v>0.12098493727362117</v>
      </c>
      <c r="AL3620" s="24"/>
      <c r="AM3620" s="24"/>
      <c r="AN3620" s="24"/>
      <c r="AO3620" s="24"/>
      <c r="AP3620" s="165" t="str">
        <f t="shared" si="1068"/>
        <v>20249</v>
      </c>
      <c r="AQ3620" s="203" t="str">
        <f t="shared" si="1069"/>
        <v>20249JPY</v>
      </c>
      <c r="AR3620" s="206" t="str">
        <f t="shared" si="1070"/>
        <v>YAMAHA_Mounter</v>
      </c>
      <c r="AS3620" s="22">
        <f t="shared" si="1071"/>
        <v>2</v>
      </c>
      <c r="AT3620" s="24" t="str">
        <f t="shared" si="1072"/>
        <v>0-3 months</v>
      </c>
      <c r="AU3620" s="22" t="s">
        <v>3745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4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5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4"/>
        <v>1</v>
      </c>
      <c r="Z3621" s="196">
        <f t="shared" si="1056"/>
        <v>80750</v>
      </c>
      <c r="AA3621" s="22">
        <v>7.8</v>
      </c>
      <c r="AB3621" s="197">
        <f t="shared" si="1073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1"/>
        <v>32082250.320460182</v>
      </c>
      <c r="AJ3621" s="200">
        <f t="shared" si="1062"/>
        <v>4323122.9746477893</v>
      </c>
      <c r="AK3621" s="201">
        <f t="shared" si="1067"/>
        <v>0.1347512388147771</v>
      </c>
      <c r="AL3621" s="24"/>
      <c r="AM3621" s="24"/>
      <c r="AN3621" s="24"/>
      <c r="AO3621" s="24"/>
      <c r="AP3621" s="165" t="str">
        <f t="shared" si="1068"/>
        <v>202411</v>
      </c>
      <c r="AQ3621" s="203" t="str">
        <f t="shared" si="1069"/>
        <v>202411USD</v>
      </c>
      <c r="AR3621" s="206" t="str">
        <f t="shared" si="1070"/>
        <v>YAMAHA_Mounter</v>
      </c>
      <c r="AS3621" s="22">
        <f t="shared" si="1071"/>
        <v>4</v>
      </c>
      <c r="AT3621" s="24" t="str">
        <f t="shared" si="1072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4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5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4"/>
        <v>1</v>
      </c>
      <c r="Z3622" s="196">
        <f t="shared" si="1056"/>
        <v>11800000</v>
      </c>
      <c r="AA3622" s="22">
        <v>5.5100000000000003E-2</v>
      </c>
      <c r="AB3622" s="197">
        <f t="shared" si="1073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1"/>
        <v>35931087.732566379</v>
      </c>
      <c r="AJ3622" s="200">
        <f t="shared" si="1062"/>
        <v>4347120.3954975223</v>
      </c>
      <c r="AK3622" s="201">
        <f t="shared" si="1067"/>
        <v>0.12098493727362117</v>
      </c>
      <c r="AL3622" s="24"/>
      <c r="AM3622" s="24"/>
      <c r="AN3622" s="24"/>
      <c r="AO3622" s="24"/>
      <c r="AP3622" s="165" t="str">
        <f t="shared" si="1068"/>
        <v>20249</v>
      </c>
      <c r="AQ3622" s="203" t="str">
        <f t="shared" si="1069"/>
        <v>20249JPY</v>
      </c>
      <c r="AR3622" s="206" t="str">
        <f t="shared" si="1070"/>
        <v>YAMAHA_Mounter</v>
      </c>
      <c r="AS3622" s="22">
        <f t="shared" si="1071"/>
        <v>2</v>
      </c>
      <c r="AT3622" s="24" t="str">
        <f t="shared" si="1072"/>
        <v>0-3 months</v>
      </c>
      <c r="AU3622" s="22" t="s">
        <v>3745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4"/>
        <v>Q3</v>
      </c>
      <c r="E3623" s="33" t="str">
        <f t="shared" ref="E3623:E3654" si="1077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5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4"/>
        <v>1</v>
      </c>
      <c r="Z3623" s="18">
        <f t="shared" si="1056"/>
        <v>11900000</v>
      </c>
      <c r="AA3623" s="13">
        <v>5.5100000000000003E-2</v>
      </c>
      <c r="AB3623" s="21">
        <f t="shared" si="1073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1"/>
        <v>35931087.732566379</v>
      </c>
      <c r="AJ3623" s="19">
        <f t="shared" si="1062"/>
        <v>4347120.3954975223</v>
      </c>
      <c r="AK3623" s="20">
        <f t="shared" si="1067"/>
        <v>0.12098493727362117</v>
      </c>
      <c r="AL3623" s="17"/>
      <c r="AM3623" s="17"/>
      <c r="AN3623" s="17"/>
      <c r="AO3623" s="17"/>
      <c r="AP3623" s="95" t="str">
        <f t="shared" si="1068"/>
        <v>20249</v>
      </c>
      <c r="AQ3623" s="203" t="str">
        <f t="shared" si="1069"/>
        <v>20249JPY</v>
      </c>
      <c r="AR3623" s="206" t="str">
        <f t="shared" si="1070"/>
        <v>YAMAHA_Mounter</v>
      </c>
      <c r="AS3623" s="22">
        <f t="shared" si="1071"/>
        <v>10</v>
      </c>
      <c r="AT3623" s="24" t="str">
        <f t="shared" si="1072"/>
        <v>&gt; 6 months</v>
      </c>
      <c r="AU3623" s="22" t="s">
        <v>3745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4"/>
        <v>Q1</v>
      </c>
      <c r="E3624" s="33" t="str">
        <f t="shared" si="1077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5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4"/>
        <v>1</v>
      </c>
      <c r="Z3624" s="196">
        <f t="shared" si="1056"/>
        <v>16164500</v>
      </c>
      <c r="AA3624" s="22">
        <v>5.5100000000000003E-2</v>
      </c>
      <c r="AB3624" s="197">
        <f t="shared" si="1073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1"/>
        <v>35931087.732566379</v>
      </c>
      <c r="AJ3624" s="200">
        <f t="shared" si="1062"/>
        <v>4347120.3954975223</v>
      </c>
      <c r="AK3624" s="201">
        <f t="shared" si="1067"/>
        <v>0.12098493727362117</v>
      </c>
      <c r="AL3624" s="24"/>
      <c r="AM3624" s="24"/>
      <c r="AN3624" s="24"/>
      <c r="AO3624" s="24"/>
      <c r="AP3624" s="165" t="str">
        <f t="shared" si="1068"/>
        <v>20249</v>
      </c>
      <c r="AQ3624" s="203" t="str">
        <f t="shared" si="1069"/>
        <v>20249JPY</v>
      </c>
      <c r="AR3624" s="206" t="str">
        <f t="shared" si="1070"/>
        <v>YAMAHA_Mounter</v>
      </c>
      <c r="AS3624" s="22">
        <f t="shared" si="1071"/>
        <v>3</v>
      </c>
      <c r="AT3624" s="24" t="str">
        <f t="shared" si="1072"/>
        <v>0-3 months</v>
      </c>
      <c r="AU3624" s="22" t="s">
        <v>3746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4"/>
        <v>Q1</v>
      </c>
      <c r="E3625" s="33" t="str">
        <f t="shared" si="1077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5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4"/>
        <v>1</v>
      </c>
      <c r="Z3625" s="196">
        <f t="shared" si="1056"/>
        <v>16164500</v>
      </c>
      <c r="AA3625" s="22">
        <v>5.5100000000000003E-2</v>
      </c>
      <c r="AB3625" s="197">
        <f t="shared" ref="AB3625:AB3656" si="1078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1"/>
        <v>35931087.732566379</v>
      </c>
      <c r="AJ3625" s="200">
        <f t="shared" si="1062"/>
        <v>4347120.3954975223</v>
      </c>
      <c r="AK3625" s="201">
        <f t="shared" si="1067"/>
        <v>0.12098493727362117</v>
      </c>
      <c r="AL3625" s="24"/>
      <c r="AM3625" s="24"/>
      <c r="AN3625" s="24"/>
      <c r="AO3625" s="24"/>
      <c r="AP3625" s="165" t="str">
        <f t="shared" si="1068"/>
        <v>20249</v>
      </c>
      <c r="AQ3625" s="203" t="str">
        <f t="shared" si="1069"/>
        <v>20249JPY</v>
      </c>
      <c r="AR3625" s="206" t="str">
        <f t="shared" si="1070"/>
        <v>YAMAHA_Mounter</v>
      </c>
      <c r="AS3625" s="22">
        <f t="shared" si="1071"/>
        <v>3</v>
      </c>
      <c r="AT3625" s="24" t="str">
        <f t="shared" si="1072"/>
        <v>0-3 months</v>
      </c>
      <c r="AU3625" s="22" t="s">
        <v>3746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4"/>
        <v>Q1</v>
      </c>
      <c r="E3626" s="33" t="str">
        <f t="shared" si="1077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5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4"/>
        <v>1</v>
      </c>
      <c r="Z3626" s="196">
        <f t="shared" si="1056"/>
        <v>16164500</v>
      </c>
      <c r="AA3626" s="22">
        <v>5.5100000000000003E-2</v>
      </c>
      <c r="AB3626" s="197">
        <f t="shared" si="1078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1"/>
        <v>35931087.732566379</v>
      </c>
      <c r="AJ3626" s="200">
        <f t="shared" si="1062"/>
        <v>4347120.3954975223</v>
      </c>
      <c r="AK3626" s="201">
        <f t="shared" si="1067"/>
        <v>0.12098493727362117</v>
      </c>
      <c r="AL3626" s="24"/>
      <c r="AM3626" s="24"/>
      <c r="AN3626" s="24"/>
      <c r="AO3626" s="24"/>
      <c r="AP3626" s="165" t="str">
        <f t="shared" si="1068"/>
        <v>20249</v>
      </c>
      <c r="AQ3626" s="203" t="str">
        <f t="shared" si="1069"/>
        <v>20249JPY</v>
      </c>
      <c r="AR3626" s="206" t="str">
        <f t="shared" si="1070"/>
        <v>YAMAHA_Mounter</v>
      </c>
      <c r="AS3626" s="22">
        <f t="shared" si="1071"/>
        <v>3</v>
      </c>
      <c r="AT3626" s="24" t="str">
        <f t="shared" si="1072"/>
        <v>0-3 months</v>
      </c>
      <c r="AU3626" s="22" t="s">
        <v>3746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4"/>
        <v>Q2</v>
      </c>
      <c r="E3627" s="33" t="str">
        <f t="shared" si="1077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5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4"/>
        <v>1</v>
      </c>
      <c r="Z3627" s="196">
        <f t="shared" si="1056"/>
        <v>12300000</v>
      </c>
      <c r="AA3627" s="22">
        <v>5.1799999999999999E-2</v>
      </c>
      <c r="AB3627" s="197">
        <f t="shared" si="1078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1"/>
        <v>499582152.5142017</v>
      </c>
      <c r="AJ3627" s="200">
        <f t="shared" si="1062"/>
        <v>59520528.679470733</v>
      </c>
      <c r="AK3627" s="201">
        <f t="shared" si="1067"/>
        <v>0.11914062257814291</v>
      </c>
      <c r="AL3627" s="24"/>
      <c r="AM3627" s="24"/>
      <c r="AN3627" s="24"/>
      <c r="AO3627" s="24"/>
      <c r="AP3627" s="165" t="str">
        <f t="shared" si="1068"/>
        <v>CancelCancel</v>
      </c>
      <c r="AQ3627" s="203" t="str">
        <f t="shared" si="1069"/>
        <v>CancelCancelJPY</v>
      </c>
      <c r="AR3627" s="206" t="str">
        <f t="shared" si="1070"/>
        <v>YAMAHA_Mounter</v>
      </c>
      <c r="AS3627" s="22" t="str">
        <f t="shared" si="1071"/>
        <v/>
      </c>
      <c r="AT3627" s="24" t="str">
        <f t="shared" si="1072"/>
        <v/>
      </c>
      <c r="AU3627" s="22" t="s">
        <v>3745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4"/>
        <v>Q2</v>
      </c>
      <c r="E3628" s="33" t="str">
        <f t="shared" si="1077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5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4"/>
        <v>1</v>
      </c>
      <c r="Z3628" s="196">
        <f t="shared" si="1056"/>
        <v>12300000</v>
      </c>
      <c r="AA3628" s="22">
        <v>5.1799999999999999E-2</v>
      </c>
      <c r="AB3628" s="197">
        <f t="shared" si="1078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1"/>
        <v>499582152.5142017</v>
      </c>
      <c r="AJ3628" s="200">
        <f t="shared" si="1062"/>
        <v>59520528.679470733</v>
      </c>
      <c r="AK3628" s="201">
        <f t="shared" si="1067"/>
        <v>0.11914062257814291</v>
      </c>
      <c r="AL3628" s="24"/>
      <c r="AM3628" s="24"/>
      <c r="AN3628" s="24"/>
      <c r="AO3628" s="24"/>
      <c r="AP3628" s="165" t="str">
        <f t="shared" si="1068"/>
        <v>CancelCancel</v>
      </c>
      <c r="AQ3628" s="203" t="str">
        <f t="shared" si="1069"/>
        <v>CancelCancelJPY</v>
      </c>
      <c r="AR3628" s="206" t="str">
        <f t="shared" si="1070"/>
        <v>YAMAHA_Mounter</v>
      </c>
      <c r="AS3628" s="22" t="str">
        <f t="shared" si="1071"/>
        <v/>
      </c>
      <c r="AT3628" s="24" t="str">
        <f t="shared" si="1072"/>
        <v/>
      </c>
      <c r="AU3628" s="22" t="s">
        <v>3745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4"/>
        <v>Q2</v>
      </c>
      <c r="E3629" s="33" t="str">
        <f t="shared" si="1077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5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4"/>
        <v>1</v>
      </c>
      <c r="Z3629" s="196">
        <f t="shared" si="1056"/>
        <v>12300000</v>
      </c>
      <c r="AA3629" s="22">
        <v>5.1799999999999999E-2</v>
      </c>
      <c r="AB3629" s="197">
        <f t="shared" si="1078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1"/>
        <v>499582152.5142017</v>
      </c>
      <c r="AJ3629" s="200">
        <f t="shared" si="1062"/>
        <v>59520528.679470733</v>
      </c>
      <c r="AK3629" s="201">
        <f t="shared" si="1067"/>
        <v>0.11914062257814291</v>
      </c>
      <c r="AL3629" s="24"/>
      <c r="AM3629" s="24"/>
      <c r="AN3629" s="24"/>
      <c r="AO3629" s="24"/>
      <c r="AP3629" s="165" t="str">
        <f t="shared" si="1068"/>
        <v>CancelCancel</v>
      </c>
      <c r="AQ3629" s="203" t="str">
        <f t="shared" si="1069"/>
        <v>CancelCancelJPY</v>
      </c>
      <c r="AR3629" s="206" t="str">
        <f t="shared" si="1070"/>
        <v>YAMAHA_Mounter</v>
      </c>
      <c r="AS3629" s="22" t="str">
        <f t="shared" si="1071"/>
        <v/>
      </c>
      <c r="AT3629" s="24" t="str">
        <f t="shared" si="1072"/>
        <v/>
      </c>
      <c r="AU3629" s="22" t="s">
        <v>3745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4"/>
        <v>Q2</v>
      </c>
      <c r="E3630" s="33" t="str">
        <f t="shared" si="1077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5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4"/>
        <v>1</v>
      </c>
      <c r="Z3630" s="196">
        <f t="shared" si="1056"/>
        <v>12300000</v>
      </c>
      <c r="AA3630" s="22">
        <v>5.1799999999999999E-2</v>
      </c>
      <c r="AB3630" s="197">
        <f t="shared" si="1078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1"/>
        <v>499582152.5142017</v>
      </c>
      <c r="AJ3630" s="200">
        <f t="shared" si="1062"/>
        <v>59520528.679470733</v>
      </c>
      <c r="AK3630" s="201">
        <f t="shared" si="1067"/>
        <v>0.11914062257814291</v>
      </c>
      <c r="AL3630" s="24"/>
      <c r="AM3630" s="24"/>
      <c r="AN3630" s="24"/>
      <c r="AO3630" s="24"/>
      <c r="AP3630" s="165" t="str">
        <f t="shared" si="1068"/>
        <v>CancelCancel</v>
      </c>
      <c r="AQ3630" s="203" t="str">
        <f t="shared" si="1069"/>
        <v>CancelCancelJPY</v>
      </c>
      <c r="AR3630" s="206" t="str">
        <f t="shared" si="1070"/>
        <v>YAMAHA_Mounter</v>
      </c>
      <c r="AS3630" s="22" t="str">
        <f t="shared" si="1071"/>
        <v/>
      </c>
      <c r="AT3630" s="24" t="str">
        <f t="shared" si="1072"/>
        <v/>
      </c>
      <c r="AU3630" s="22" t="s">
        <v>3745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4"/>
        <v>Q2</v>
      </c>
      <c r="E3631" s="33" t="str">
        <f t="shared" si="1077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5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4"/>
        <v>1.13</v>
      </c>
      <c r="Z3631" s="196">
        <f t="shared" si="1056"/>
        <v>455000</v>
      </c>
      <c r="AA3631" s="22">
        <v>1.073</v>
      </c>
      <c r="AB3631" s="197">
        <f t="shared" si="1078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1"/>
        <v>499582152.5142017</v>
      </c>
      <c r="AJ3631" s="200">
        <f t="shared" si="1062"/>
        <v>59520528.679470733</v>
      </c>
      <c r="AK3631" s="201">
        <f t="shared" si="1067"/>
        <v>0.11914062257814291</v>
      </c>
      <c r="AL3631" s="24"/>
      <c r="AM3631" s="24"/>
      <c r="AN3631" s="24"/>
      <c r="AO3631" s="24"/>
      <c r="AP3631" s="165" t="str">
        <f t="shared" si="1068"/>
        <v>CancelCancel</v>
      </c>
      <c r="AQ3631" s="203" t="str">
        <f t="shared" si="1069"/>
        <v>CancelCancelRMB</v>
      </c>
      <c r="AR3631" s="206" t="str">
        <f t="shared" si="1070"/>
        <v>YAMAHA_Mounter</v>
      </c>
      <c r="AS3631" s="22" t="str">
        <f t="shared" si="1071"/>
        <v/>
      </c>
      <c r="AT3631" s="24" t="str">
        <f t="shared" si="1072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4"/>
        <v>Q2</v>
      </c>
      <c r="E3632" s="33" t="str">
        <f t="shared" si="1077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5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4"/>
        <v>1</v>
      </c>
      <c r="Z3632" s="196">
        <f t="shared" si="1056"/>
        <v>166000</v>
      </c>
      <c r="AA3632" s="22">
        <v>7.8</v>
      </c>
      <c r="AB3632" s="197">
        <f t="shared" si="1078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1"/>
        <v>32082250.320460182</v>
      </c>
      <c r="AJ3632" s="200">
        <f t="shared" si="1062"/>
        <v>4323122.9746477893</v>
      </c>
      <c r="AK3632" s="201">
        <f t="shared" si="1067"/>
        <v>0.1347512388147771</v>
      </c>
      <c r="AL3632" s="24"/>
      <c r="AM3632" s="24"/>
      <c r="AN3632" s="24"/>
      <c r="AO3632" s="24"/>
      <c r="AP3632" s="165" t="str">
        <f t="shared" si="1068"/>
        <v>202411</v>
      </c>
      <c r="AQ3632" s="203" t="str">
        <f t="shared" si="1069"/>
        <v>202411USD</v>
      </c>
      <c r="AR3632" s="206" t="str">
        <f t="shared" si="1070"/>
        <v>YAMAHA_Mounter</v>
      </c>
      <c r="AS3632" s="22">
        <f t="shared" si="1071"/>
        <v>4</v>
      </c>
      <c r="AT3632" s="24" t="str">
        <f t="shared" si="1072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4"/>
        <v>Q1</v>
      </c>
      <c r="E3633" s="33" t="str">
        <f t="shared" si="1077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5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4"/>
        <v>1</v>
      </c>
      <c r="Z3633" s="196">
        <f t="shared" si="1056"/>
        <v>16164500</v>
      </c>
      <c r="AA3633" s="22">
        <v>5.5100000000000003E-2</v>
      </c>
      <c r="AB3633" s="197">
        <f t="shared" si="1078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1"/>
        <v>35931087.732566379</v>
      </c>
      <c r="AJ3633" s="200">
        <f t="shared" si="1062"/>
        <v>4347120.3954975223</v>
      </c>
      <c r="AK3633" s="201">
        <f t="shared" si="1067"/>
        <v>0.12098493727362117</v>
      </c>
      <c r="AL3633" s="24"/>
      <c r="AM3633" s="24"/>
      <c r="AN3633" s="24"/>
      <c r="AO3633" s="24"/>
      <c r="AP3633" s="165" t="str">
        <f t="shared" si="1068"/>
        <v>20249</v>
      </c>
      <c r="AQ3633" s="203" t="str">
        <f t="shared" si="1069"/>
        <v>20249JPY</v>
      </c>
      <c r="AR3633" s="206" t="str">
        <f t="shared" si="1070"/>
        <v>YAMAHA_Mounter</v>
      </c>
      <c r="AS3633" s="22">
        <f t="shared" si="1071"/>
        <v>3</v>
      </c>
      <c r="AT3633" s="24" t="str">
        <f t="shared" si="1072"/>
        <v>0-3 months</v>
      </c>
      <c r="AU3633" s="22" t="s">
        <v>3746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79">IF(B3634="","",IF(AND(C3634&gt;=10,C3634&lt;=12),"Q3",IF(AND(C3634&gt;=1,C3634&lt;=3),"Q4",IF(AND(C3634&gt;=7,C3634&lt;=9),"Q2",IF(AND(C3634&gt;=4,C3634&lt;=6),"Q1")))))</f>
        <v>Q2</v>
      </c>
      <c r="E3634" s="33" t="str">
        <f t="shared" si="1077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5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4"/>
        <v>1.13</v>
      </c>
      <c r="Z3634" s="196">
        <f t="shared" ref="Z3634:Z3697" si="1080">IF(X3634="","",X3634*MAX(O3634,N3634))</f>
        <v>432999</v>
      </c>
      <c r="AA3634" s="22">
        <v>1.1080000000000001</v>
      </c>
      <c r="AB3634" s="197">
        <f t="shared" si="1078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1"/>
        <v>22758096.38940867</v>
      </c>
      <c r="AJ3634" s="200">
        <f t="shared" si="1062"/>
        <v>2469357.2298956565</v>
      </c>
      <c r="AK3634" s="201">
        <f t="shared" si="1067"/>
        <v>0.10850455976822666</v>
      </c>
      <c r="AL3634" s="24"/>
      <c r="AM3634" s="24"/>
      <c r="AN3634" s="24"/>
      <c r="AO3634" s="24"/>
      <c r="AP3634" s="165" t="str">
        <f t="shared" si="1068"/>
        <v>202410</v>
      </c>
      <c r="AQ3634" s="203" t="str">
        <f t="shared" si="1069"/>
        <v>202410RMB</v>
      </c>
      <c r="AR3634" s="206" t="str">
        <f t="shared" si="1070"/>
        <v>YAMAHA_Mounter</v>
      </c>
      <c r="AS3634" s="22">
        <f t="shared" si="1071"/>
        <v>3</v>
      </c>
      <c r="AT3634" s="24" t="str">
        <f t="shared" si="1072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79"/>
        <v>Q2</v>
      </c>
      <c r="E3635" s="33" t="str">
        <f t="shared" si="1077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5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4"/>
        <v>1.13</v>
      </c>
      <c r="Z3635" s="196">
        <f t="shared" si="1080"/>
        <v>600000</v>
      </c>
      <c r="AA3635" s="22">
        <v>1.0920000000000001</v>
      </c>
      <c r="AB3635" s="197">
        <f t="shared" si="1078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1"/>
        <v>32082250.320460182</v>
      </c>
      <c r="AJ3635" s="200">
        <f t="shared" si="1062"/>
        <v>4323122.9746477893</v>
      </c>
      <c r="AK3635" s="201">
        <f t="shared" si="1067"/>
        <v>0.1347512388147771</v>
      </c>
      <c r="AL3635" s="24"/>
      <c r="AM3635" s="24"/>
      <c r="AN3635" s="24"/>
      <c r="AO3635" s="24"/>
      <c r="AP3635" s="165" t="str">
        <f t="shared" si="1068"/>
        <v>202411</v>
      </c>
      <c r="AQ3635" s="203" t="str">
        <f t="shared" si="1069"/>
        <v>202411RMB</v>
      </c>
      <c r="AR3635" s="206" t="str">
        <f t="shared" si="1070"/>
        <v>YAMAHA_Mounter</v>
      </c>
      <c r="AS3635" s="22">
        <f t="shared" si="1071"/>
        <v>4</v>
      </c>
      <c r="AT3635" s="24" t="str">
        <f t="shared" si="1072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79"/>
        <v>Q2</v>
      </c>
      <c r="E3636" s="33" t="str">
        <f t="shared" si="1077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5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1">IF(W3636="","",IF(W3636="RMB","1.13", "1"))</f>
        <v>1.13</v>
      </c>
      <c r="Z3636" s="196">
        <f t="shared" si="1080"/>
        <v>600000</v>
      </c>
      <c r="AA3636" s="22">
        <v>1.0920000000000001</v>
      </c>
      <c r="AB3636" s="197">
        <f t="shared" si="1078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1"/>
        <v>32082250.320460182</v>
      </c>
      <c r="AJ3636" s="200">
        <f t="shared" si="1062"/>
        <v>4323122.9746477893</v>
      </c>
      <c r="AK3636" s="201">
        <f t="shared" si="1067"/>
        <v>0.1347512388147771</v>
      </c>
      <c r="AL3636" s="24"/>
      <c r="AM3636" s="24"/>
      <c r="AN3636" s="24"/>
      <c r="AO3636" s="24"/>
      <c r="AP3636" s="165" t="str">
        <f t="shared" si="1068"/>
        <v>202411</v>
      </c>
      <c r="AQ3636" s="203" t="str">
        <f t="shared" si="1069"/>
        <v>202411RMB</v>
      </c>
      <c r="AR3636" s="206" t="str">
        <f t="shared" si="1070"/>
        <v>YAMAHA_Mounter</v>
      </c>
      <c r="AS3636" s="22">
        <f t="shared" si="1071"/>
        <v>4</v>
      </c>
      <c r="AT3636" s="24" t="str">
        <f t="shared" si="1072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79"/>
        <v>Q1</v>
      </c>
      <c r="E3637" s="33" t="str">
        <f t="shared" si="1077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5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1"/>
        <v>1</v>
      </c>
      <c r="Z3637" s="196">
        <f t="shared" si="1080"/>
        <v>16164500</v>
      </c>
      <c r="AA3637" s="22">
        <v>5.5100000000000003E-2</v>
      </c>
      <c r="AB3637" s="197">
        <f t="shared" si="1078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1"/>
        <v>35931087.732566379</v>
      </c>
      <c r="AJ3637" s="200">
        <f t="shared" si="1062"/>
        <v>4347120.3954975223</v>
      </c>
      <c r="AK3637" s="201">
        <f t="shared" si="1067"/>
        <v>0.12098493727362117</v>
      </c>
      <c r="AL3637" s="24"/>
      <c r="AM3637" s="24"/>
      <c r="AN3637" s="24"/>
      <c r="AO3637" s="24"/>
      <c r="AP3637" s="165" t="str">
        <f t="shared" si="1068"/>
        <v>20249</v>
      </c>
      <c r="AQ3637" s="203" t="str">
        <f t="shared" si="1069"/>
        <v>20249JPY</v>
      </c>
      <c r="AR3637" s="206" t="str">
        <f t="shared" si="1070"/>
        <v>YAMAHA_Mounter</v>
      </c>
      <c r="AS3637" s="22">
        <f t="shared" si="1071"/>
        <v>3</v>
      </c>
      <c r="AT3637" s="24" t="str">
        <f t="shared" si="1072"/>
        <v>0-3 months</v>
      </c>
      <c r="AU3637" s="22" t="s">
        <v>3746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79"/>
        <v>Q1</v>
      </c>
      <c r="E3638" s="33" t="str">
        <f t="shared" si="1077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5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1"/>
        <v>1</v>
      </c>
      <c r="Z3638" s="196">
        <f t="shared" si="1080"/>
        <v>16164500</v>
      </c>
      <c r="AA3638" s="22">
        <v>5.5100000000000003E-2</v>
      </c>
      <c r="AB3638" s="197">
        <f t="shared" si="1078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1"/>
        <v>35931087.732566379</v>
      </c>
      <c r="AJ3638" s="200">
        <f t="shared" si="1062"/>
        <v>4347120.3954975223</v>
      </c>
      <c r="AK3638" s="201">
        <f t="shared" si="1067"/>
        <v>0.12098493727362117</v>
      </c>
      <c r="AL3638" s="24"/>
      <c r="AM3638" s="24"/>
      <c r="AN3638" s="24"/>
      <c r="AO3638" s="24"/>
      <c r="AP3638" s="165" t="str">
        <f t="shared" si="1068"/>
        <v>20249</v>
      </c>
      <c r="AQ3638" s="203" t="str">
        <f t="shared" si="1069"/>
        <v>20249JPY</v>
      </c>
      <c r="AR3638" s="206" t="str">
        <f t="shared" si="1070"/>
        <v>YAMAHA_Mounter</v>
      </c>
      <c r="AS3638" s="22">
        <f t="shared" si="1071"/>
        <v>3</v>
      </c>
      <c r="AT3638" s="24" t="str">
        <f t="shared" si="1072"/>
        <v>0-3 months</v>
      </c>
      <c r="AU3638" s="22" t="s">
        <v>3746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79"/>
        <v>Q2</v>
      </c>
      <c r="E3639" s="33" t="str">
        <f t="shared" si="1077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5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1"/>
        <v>1.13</v>
      </c>
      <c r="Z3639" s="196">
        <f t="shared" si="1080"/>
        <v>446700</v>
      </c>
      <c r="AA3639" s="22">
        <v>1.1080000000000001</v>
      </c>
      <c r="AB3639" s="197">
        <f t="shared" si="1078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1"/>
        <v>22758096.38940867</v>
      </c>
      <c r="AJ3639" s="200">
        <f t="shared" si="1062"/>
        <v>2469357.2298956565</v>
      </c>
      <c r="AK3639" s="201">
        <f t="shared" si="1067"/>
        <v>0.10850455976822666</v>
      </c>
      <c r="AL3639" s="24"/>
      <c r="AM3639" s="24"/>
      <c r="AN3639" s="24"/>
      <c r="AO3639" s="24"/>
      <c r="AP3639" s="165" t="str">
        <f t="shared" si="1068"/>
        <v>202410</v>
      </c>
      <c r="AQ3639" s="203" t="str">
        <f t="shared" si="1069"/>
        <v>202410RMB</v>
      </c>
      <c r="AR3639" s="206" t="str">
        <f t="shared" si="1070"/>
        <v>YAMAHA_Mounter</v>
      </c>
      <c r="AS3639" s="22">
        <f t="shared" si="1071"/>
        <v>3</v>
      </c>
      <c r="AT3639" s="24" t="str">
        <f t="shared" si="1072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79"/>
        <v>Q2</v>
      </c>
      <c r="E3640" s="33" t="str">
        <f t="shared" si="1077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5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1"/>
        <v>1.13</v>
      </c>
      <c r="Z3640" s="196">
        <f t="shared" si="1080"/>
        <v>446700</v>
      </c>
      <c r="AA3640" s="22">
        <v>1.1080000000000001</v>
      </c>
      <c r="AB3640" s="197">
        <f t="shared" si="1078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1"/>
        <v>22758096.38940867</v>
      </c>
      <c r="AJ3640" s="200">
        <f t="shared" si="1062"/>
        <v>2469357.2298956565</v>
      </c>
      <c r="AK3640" s="201">
        <f t="shared" si="1067"/>
        <v>0.10850455976822666</v>
      </c>
      <c r="AL3640" s="24"/>
      <c r="AM3640" s="24"/>
      <c r="AN3640" s="24"/>
      <c r="AO3640" s="24"/>
      <c r="AP3640" s="165" t="str">
        <f t="shared" si="1068"/>
        <v>202410</v>
      </c>
      <c r="AQ3640" s="203" t="str">
        <f t="shared" si="1069"/>
        <v>202410RMB</v>
      </c>
      <c r="AR3640" s="206" t="str">
        <f t="shared" si="1070"/>
        <v>YAMAHA_Mounter</v>
      </c>
      <c r="AS3640" s="22">
        <f t="shared" si="1071"/>
        <v>3</v>
      </c>
      <c r="AT3640" s="24" t="str">
        <f t="shared" si="1072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79"/>
        <v>Q1</v>
      </c>
      <c r="E3641" s="33" t="str">
        <f t="shared" si="1077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1"/>
        <v>1</v>
      </c>
      <c r="Z3641" s="196">
        <f t="shared" si="1080"/>
        <v>7500000</v>
      </c>
      <c r="AA3641" s="22">
        <v>5.5100000000000003E-2</v>
      </c>
      <c r="AB3641" s="197">
        <f t="shared" si="1078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1"/>
        <v>35931087.732566379</v>
      </c>
      <c r="AJ3641" s="200">
        <f t="shared" si="1062"/>
        <v>4347120.3954975223</v>
      </c>
      <c r="AK3641" s="201">
        <f t="shared" si="1067"/>
        <v>0.12098493727362117</v>
      </c>
      <c r="AL3641" s="24"/>
      <c r="AM3641" s="24"/>
      <c r="AN3641" s="24"/>
      <c r="AO3641" s="24"/>
      <c r="AP3641" s="165" t="str">
        <f t="shared" si="1068"/>
        <v>20249</v>
      </c>
      <c r="AQ3641" s="203" t="str">
        <f t="shared" si="1069"/>
        <v>20249JPY</v>
      </c>
      <c r="AR3641" s="206" t="str">
        <f t="shared" si="1070"/>
        <v>YAMAHA_Mounter</v>
      </c>
      <c r="AS3641" s="22">
        <f t="shared" si="1071"/>
        <v>3</v>
      </c>
      <c r="AT3641" s="24" t="str">
        <f t="shared" si="1072"/>
        <v>0-3 months</v>
      </c>
      <c r="AU3641" s="22" t="s">
        <v>3745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79"/>
        <v>Q2</v>
      </c>
      <c r="E3642" s="33" t="str">
        <f t="shared" si="1077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2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1"/>
        <v>1.13</v>
      </c>
      <c r="Z3642" s="196">
        <f t="shared" si="1080"/>
        <v>760000</v>
      </c>
      <c r="AA3642" s="22">
        <v>1.0980000000000001</v>
      </c>
      <c r="AB3642" s="197">
        <f t="shared" si="1078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1"/>
        <v>35931087.732566379</v>
      </c>
      <c r="AJ3642" s="200">
        <f t="shared" si="1062"/>
        <v>4347120.3954975223</v>
      </c>
      <c r="AK3642" s="201">
        <f t="shared" si="1067"/>
        <v>0.12098493727362117</v>
      </c>
      <c r="AL3642" s="24"/>
      <c r="AM3642" s="24"/>
      <c r="AN3642" s="24"/>
      <c r="AO3642" s="24"/>
      <c r="AP3642" s="165" t="str">
        <f t="shared" si="1068"/>
        <v>20249</v>
      </c>
      <c r="AQ3642" s="203" t="str">
        <f t="shared" si="1069"/>
        <v>20249RMB</v>
      </c>
      <c r="AR3642" s="206" t="str">
        <f t="shared" si="1070"/>
        <v>YAMAHA_Mounter</v>
      </c>
      <c r="AS3642" s="22">
        <f t="shared" si="1071"/>
        <v>2</v>
      </c>
      <c r="AT3642" s="24" t="str">
        <f t="shared" si="1072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79"/>
        <v>Q2</v>
      </c>
      <c r="E3643" s="33" t="str">
        <f t="shared" si="1077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2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1"/>
        <v>1.13</v>
      </c>
      <c r="Z3643" s="196">
        <f t="shared" si="1080"/>
        <v>550000</v>
      </c>
      <c r="AA3643" s="22">
        <v>1.0980000000000001</v>
      </c>
      <c r="AB3643" s="197">
        <f t="shared" si="1078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1"/>
        <v>35931087.732566379</v>
      </c>
      <c r="AJ3643" s="200">
        <f t="shared" si="1062"/>
        <v>4347120.3954975223</v>
      </c>
      <c r="AK3643" s="201">
        <f t="shared" si="1067"/>
        <v>0.12098493727362117</v>
      </c>
      <c r="AL3643" s="24"/>
      <c r="AM3643" s="24"/>
      <c r="AN3643" s="24"/>
      <c r="AO3643" s="24"/>
      <c r="AP3643" s="165" t="str">
        <f t="shared" si="1068"/>
        <v>20249</v>
      </c>
      <c r="AQ3643" s="203" t="str">
        <f t="shared" si="1069"/>
        <v>20249RMB</v>
      </c>
      <c r="AR3643" s="206" t="str">
        <f t="shared" si="1070"/>
        <v>YAMAHA_Mounter</v>
      </c>
      <c r="AS3643" s="22">
        <f t="shared" si="1071"/>
        <v>2</v>
      </c>
      <c r="AT3643" s="24" t="str">
        <f t="shared" si="1072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79"/>
        <v>Q2</v>
      </c>
      <c r="E3644" s="33" t="str">
        <f t="shared" si="1077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2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1"/>
        <v>1.13</v>
      </c>
      <c r="Z3644" s="196">
        <f t="shared" si="1080"/>
        <v>550000</v>
      </c>
      <c r="AA3644" s="22">
        <v>1.0980000000000001</v>
      </c>
      <c r="AB3644" s="197">
        <f t="shared" si="1078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1"/>
        <v>35931087.732566379</v>
      </c>
      <c r="AJ3644" s="200">
        <f t="shared" si="1062"/>
        <v>4347120.3954975223</v>
      </c>
      <c r="AK3644" s="201">
        <f t="shared" si="1067"/>
        <v>0.12098493727362117</v>
      </c>
      <c r="AL3644" s="24"/>
      <c r="AM3644" s="24"/>
      <c r="AN3644" s="24"/>
      <c r="AO3644" s="24"/>
      <c r="AP3644" s="165" t="str">
        <f t="shared" si="1068"/>
        <v>20249</v>
      </c>
      <c r="AQ3644" s="203" t="str">
        <f t="shared" si="1069"/>
        <v>20249RMB</v>
      </c>
      <c r="AR3644" s="206" t="str">
        <f t="shared" si="1070"/>
        <v>YAMAHA_Mounter</v>
      </c>
      <c r="AS3644" s="22">
        <f t="shared" si="1071"/>
        <v>2</v>
      </c>
      <c r="AT3644" s="24" t="str">
        <f t="shared" si="1072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79"/>
        <v>Q3</v>
      </c>
      <c r="E3645" s="33" t="str">
        <f t="shared" si="1077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2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1"/>
        <v>1</v>
      </c>
      <c r="Z3645" s="196">
        <f t="shared" si="1080"/>
        <v>112200</v>
      </c>
      <c r="AA3645" s="22">
        <v>7.8</v>
      </c>
      <c r="AB3645" s="197">
        <f t="shared" si="1078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1"/>
        <v>32082250.320460182</v>
      </c>
      <c r="AJ3645" s="200">
        <f t="shared" si="1062"/>
        <v>4323122.9746477893</v>
      </c>
      <c r="AK3645" s="201">
        <f t="shared" si="1067"/>
        <v>0.1347512388147771</v>
      </c>
      <c r="AL3645" s="24"/>
      <c r="AM3645" s="24"/>
      <c r="AN3645" s="24"/>
      <c r="AO3645" s="24"/>
      <c r="AP3645" s="165" t="str">
        <f t="shared" si="1068"/>
        <v>202411</v>
      </c>
      <c r="AQ3645" s="203" t="str">
        <f t="shared" si="1069"/>
        <v>202411USD</v>
      </c>
      <c r="AR3645" s="206" t="str">
        <f t="shared" si="1070"/>
        <v>YAMAHA_Mounter</v>
      </c>
      <c r="AS3645" s="22">
        <f t="shared" si="1071"/>
        <v>1</v>
      </c>
      <c r="AT3645" s="24" t="str">
        <f t="shared" si="1072"/>
        <v>0-3 months</v>
      </c>
      <c r="AU3645" s="22" t="s">
        <v>3748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79"/>
        <v>Q3</v>
      </c>
      <c r="E3646" s="33" t="str">
        <f t="shared" si="1077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2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1"/>
        <v>1</v>
      </c>
      <c r="Z3646" s="196">
        <f t="shared" si="1080"/>
        <v>112200</v>
      </c>
      <c r="AA3646" s="22">
        <v>7.8</v>
      </c>
      <c r="AB3646" s="197">
        <f t="shared" si="1078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1"/>
        <v>32082250.320460182</v>
      </c>
      <c r="AJ3646" s="200">
        <f t="shared" si="1062"/>
        <v>4323122.9746477893</v>
      </c>
      <c r="AK3646" s="201">
        <f t="shared" si="1067"/>
        <v>0.1347512388147771</v>
      </c>
      <c r="AL3646" s="24"/>
      <c r="AM3646" s="24"/>
      <c r="AN3646" s="24"/>
      <c r="AO3646" s="24"/>
      <c r="AP3646" s="165" t="str">
        <f t="shared" si="1068"/>
        <v>202411</v>
      </c>
      <c r="AQ3646" s="203" t="str">
        <f t="shared" si="1069"/>
        <v>202411USD</v>
      </c>
      <c r="AR3646" s="206" t="str">
        <f t="shared" si="1070"/>
        <v>YAMAHA_Mounter</v>
      </c>
      <c r="AS3646" s="22">
        <f t="shared" si="1071"/>
        <v>1</v>
      </c>
      <c r="AT3646" s="24" t="str">
        <f t="shared" si="1072"/>
        <v>0-3 months</v>
      </c>
      <c r="AU3646" s="22" t="s">
        <v>3748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79"/>
        <v>Q3</v>
      </c>
      <c r="E3647" s="33" t="str">
        <f t="shared" si="1077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2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1"/>
        <v>1</v>
      </c>
      <c r="Z3647" s="196">
        <f t="shared" si="1080"/>
        <v>77520</v>
      </c>
      <c r="AA3647" s="22">
        <v>7.8</v>
      </c>
      <c r="AB3647" s="197">
        <f t="shared" si="1078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1"/>
        <v>32082250.320460182</v>
      </c>
      <c r="AJ3647" s="200">
        <f t="shared" si="1062"/>
        <v>4323122.9746477893</v>
      </c>
      <c r="AK3647" s="201">
        <f t="shared" si="1067"/>
        <v>0.1347512388147771</v>
      </c>
      <c r="AL3647" s="24"/>
      <c r="AM3647" s="24"/>
      <c r="AN3647" s="24"/>
      <c r="AO3647" s="24"/>
      <c r="AP3647" s="165" t="str">
        <f t="shared" si="1068"/>
        <v>202411</v>
      </c>
      <c r="AQ3647" s="203" t="str">
        <f t="shared" si="1069"/>
        <v>202411USD</v>
      </c>
      <c r="AR3647" s="206" t="str">
        <f t="shared" si="1070"/>
        <v>YAMAHA_Mounter</v>
      </c>
      <c r="AS3647" s="22">
        <f t="shared" si="1071"/>
        <v>1</v>
      </c>
      <c r="AT3647" s="24" t="str">
        <f t="shared" si="1072"/>
        <v>0-3 months</v>
      </c>
      <c r="AU3647" s="22" t="s">
        <v>3748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79"/>
        <v>Q3</v>
      </c>
      <c r="E3648" s="33" t="str">
        <f t="shared" si="1077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2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1"/>
        <v>1</v>
      </c>
      <c r="Z3648" s="196">
        <f t="shared" si="1080"/>
        <v>35700</v>
      </c>
      <c r="AA3648" s="22">
        <v>7.8</v>
      </c>
      <c r="AB3648" s="197">
        <f t="shared" si="1078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1"/>
        <v>32082250.320460182</v>
      </c>
      <c r="AJ3648" s="200">
        <f t="shared" si="1062"/>
        <v>4323122.9746477893</v>
      </c>
      <c r="AK3648" s="201">
        <f t="shared" si="1067"/>
        <v>0.1347512388147771</v>
      </c>
      <c r="AL3648" s="24"/>
      <c r="AM3648" s="24"/>
      <c r="AN3648" s="24"/>
      <c r="AO3648" s="24"/>
      <c r="AP3648" s="165" t="str">
        <f t="shared" si="1068"/>
        <v>202411</v>
      </c>
      <c r="AQ3648" s="203" t="str">
        <f t="shared" si="1069"/>
        <v>202411USD</v>
      </c>
      <c r="AR3648" s="206" t="str">
        <f t="shared" si="1070"/>
        <v>YAMAHA_Non_Mounter</v>
      </c>
      <c r="AS3648" s="22">
        <f t="shared" si="1071"/>
        <v>1</v>
      </c>
      <c r="AT3648" s="24" t="str">
        <f t="shared" si="1072"/>
        <v>0-3 months</v>
      </c>
      <c r="AU3648" s="22" t="s">
        <v>3748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79"/>
        <v>Q3</v>
      </c>
      <c r="E3649" s="33" t="str">
        <f t="shared" si="1077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2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1"/>
        <v>1</v>
      </c>
      <c r="Z3649" s="196">
        <f t="shared" si="1080"/>
        <v>80580</v>
      </c>
      <c r="AA3649" s="22">
        <v>7.8</v>
      </c>
      <c r="AB3649" s="197">
        <f t="shared" si="1078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1"/>
        <v>32082250.320460182</v>
      </c>
      <c r="AJ3649" s="200">
        <f t="shared" si="1062"/>
        <v>4323122.9746477893</v>
      </c>
      <c r="AK3649" s="201">
        <f t="shared" si="1067"/>
        <v>0.1347512388147771</v>
      </c>
      <c r="AL3649" s="24"/>
      <c r="AM3649" s="24"/>
      <c r="AN3649" s="24"/>
      <c r="AO3649" s="24"/>
      <c r="AP3649" s="165" t="str">
        <f t="shared" si="1068"/>
        <v>202411</v>
      </c>
      <c r="AQ3649" s="203" t="str">
        <f t="shared" si="1069"/>
        <v>202411USD</v>
      </c>
      <c r="AR3649" s="206" t="str">
        <f t="shared" si="1070"/>
        <v>HELLER</v>
      </c>
      <c r="AS3649" s="22">
        <f t="shared" si="1071"/>
        <v>1</v>
      </c>
      <c r="AT3649" s="24" t="str">
        <f t="shared" si="1072"/>
        <v>0-3 months</v>
      </c>
      <c r="AU3649" s="22" t="s">
        <v>3748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79"/>
        <v>Q3</v>
      </c>
      <c r="E3650" s="33" t="str">
        <f t="shared" si="1077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2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1"/>
        <v>1</v>
      </c>
      <c r="Z3650" s="196">
        <f t="shared" si="1080"/>
        <v>88230</v>
      </c>
      <c r="AA3650" s="22">
        <v>7.8</v>
      </c>
      <c r="AB3650" s="197">
        <f t="shared" si="1078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ref="AI3650:AI3713" si="1083">IF(P3650="C66 SERVICE","",SUMIFS(AB:AB,F:F,F3650,G:G,G3650,E:E,E3650))</f>
        <v>32082250.320460182</v>
      </c>
      <c r="AJ3650" s="200">
        <f t="shared" ref="AJ3650:AJ3713" si="1084">IF(P3650="C66 SERVICE","",SUMIFS(AC:AC,F:F,F3650,G:G,G3650,E:E,E3650))</f>
        <v>4323122.9746477893</v>
      </c>
      <c r="AK3650" s="201">
        <f t="shared" si="1067"/>
        <v>0.1347512388147771</v>
      </c>
      <c r="AL3650" s="24"/>
      <c r="AM3650" s="24"/>
      <c r="AN3650" s="24"/>
      <c r="AO3650" s="24"/>
      <c r="AP3650" s="165" t="str">
        <f t="shared" si="1068"/>
        <v>202411</v>
      </c>
      <c r="AQ3650" s="203" t="str">
        <f t="shared" si="1069"/>
        <v>202411USD</v>
      </c>
      <c r="AR3650" s="206" t="str">
        <f t="shared" si="1070"/>
        <v>YAMAHA_Non_Mounter</v>
      </c>
      <c r="AS3650" s="22">
        <f t="shared" si="1071"/>
        <v>1</v>
      </c>
      <c r="AT3650" s="24" t="str">
        <f t="shared" si="1072"/>
        <v>0-3 months</v>
      </c>
      <c r="AU3650" s="22" t="s">
        <v>3748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79"/>
        <v>Q3</v>
      </c>
      <c r="E3651" s="33" t="str">
        <f t="shared" si="1077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2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1"/>
        <v>1</v>
      </c>
      <c r="Z3651" s="196">
        <f t="shared" si="1080"/>
        <v>6120</v>
      </c>
      <c r="AA3651" s="22">
        <v>7.8</v>
      </c>
      <c r="AB3651" s="197">
        <f t="shared" si="1078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83"/>
        <v>32082250.320460182</v>
      </c>
      <c r="AJ3651" s="200">
        <f t="shared" si="1084"/>
        <v>4323122.9746477893</v>
      </c>
      <c r="AK3651" s="201">
        <f t="shared" si="1067"/>
        <v>0.1347512388147771</v>
      </c>
      <c r="AL3651" s="24"/>
      <c r="AM3651" s="24"/>
      <c r="AN3651" s="24"/>
      <c r="AO3651" s="24"/>
      <c r="AP3651" s="165" t="str">
        <f t="shared" si="1068"/>
        <v>202411</v>
      </c>
      <c r="AQ3651" s="203" t="str">
        <f t="shared" si="1069"/>
        <v>202411USD</v>
      </c>
      <c r="AR3651" s="206" t="str">
        <f t="shared" si="1070"/>
        <v>SOLDERSTAR</v>
      </c>
      <c r="AS3651" s="22">
        <f t="shared" si="1071"/>
        <v>1</v>
      </c>
      <c r="AT3651" s="24" t="str">
        <f t="shared" si="1072"/>
        <v>0-3 months</v>
      </c>
      <c r="AU3651" s="22" t="s">
        <v>3748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79"/>
        <v>Q2</v>
      </c>
      <c r="E3652" s="33" t="str">
        <f t="shared" si="1077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2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1"/>
        <v>1</v>
      </c>
      <c r="Z3652" s="196">
        <f t="shared" si="1080"/>
        <v>2780000</v>
      </c>
      <c r="AA3652" s="22">
        <v>5.2900000000000003E-2</v>
      </c>
      <c r="AB3652" s="197">
        <f t="shared" si="1078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83"/>
        <v>15965524.256637167</v>
      </c>
      <c r="AJ3652" s="200">
        <f t="shared" si="1084"/>
        <v>2480116.5996584073</v>
      </c>
      <c r="AK3652" s="201">
        <f t="shared" si="1067"/>
        <v>0.15534200817911609</v>
      </c>
      <c r="AL3652" s="24"/>
      <c r="AM3652" s="24"/>
      <c r="AN3652" s="24"/>
      <c r="AO3652" s="24"/>
      <c r="AP3652" s="165" t="str">
        <f t="shared" si="1068"/>
        <v>202412</v>
      </c>
      <c r="AQ3652" s="203" t="str">
        <f t="shared" si="1069"/>
        <v>202412JPY</v>
      </c>
      <c r="AR3652" s="206" t="str">
        <f t="shared" si="1070"/>
        <v>YAMAHA_Mounter</v>
      </c>
      <c r="AS3652" s="22">
        <f t="shared" si="1071"/>
        <v>4</v>
      </c>
      <c r="AT3652" s="24" t="str">
        <f t="shared" si="1072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79"/>
        <v>Q2</v>
      </c>
      <c r="E3653" s="33" t="str">
        <f t="shared" si="1077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2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1"/>
        <v>1</v>
      </c>
      <c r="Z3653" s="196">
        <f t="shared" si="1080"/>
        <v>16000000</v>
      </c>
      <c r="AA3653" s="22">
        <v>5.1799999999999999E-2</v>
      </c>
      <c r="AB3653" s="197">
        <f t="shared" si="1078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83"/>
        <v>32082250.320460182</v>
      </c>
      <c r="AJ3653" s="200">
        <f t="shared" si="1084"/>
        <v>4323122.9746477893</v>
      </c>
      <c r="AK3653" s="201">
        <f t="shared" si="1067"/>
        <v>0.1347512388147771</v>
      </c>
      <c r="AL3653" s="24"/>
      <c r="AM3653" s="24"/>
      <c r="AN3653" s="24"/>
      <c r="AO3653" s="24"/>
      <c r="AP3653" s="165" t="str">
        <f t="shared" si="1068"/>
        <v>202411</v>
      </c>
      <c r="AQ3653" s="203" t="str">
        <f t="shared" si="1069"/>
        <v>202411JPY</v>
      </c>
      <c r="AR3653" s="206" t="str">
        <f t="shared" si="1070"/>
        <v>YAMAHA_Mounter</v>
      </c>
      <c r="AS3653" s="22">
        <f t="shared" si="1071"/>
        <v>3</v>
      </c>
      <c r="AT3653" s="24" t="str">
        <f t="shared" si="1072"/>
        <v>0-3 months</v>
      </c>
      <c r="AU3653" s="22" t="s">
        <v>3745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79"/>
        <v>Q2</v>
      </c>
      <c r="E3654" s="33" t="str">
        <f t="shared" si="1077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2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1"/>
        <v>1</v>
      </c>
      <c r="Z3654" s="196">
        <f t="shared" si="1080"/>
        <v>16000000</v>
      </c>
      <c r="AA3654" s="22">
        <v>5.1799999999999999E-2</v>
      </c>
      <c r="AB3654" s="197">
        <f t="shared" si="1078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083"/>
        <v>32082250.320460182</v>
      </c>
      <c r="AJ3654" s="200">
        <f t="shared" si="1084"/>
        <v>4323122.9746477893</v>
      </c>
      <c r="AK3654" s="201">
        <f t="shared" ref="AK3654:AK3717" si="1089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0">IF(F3654="","",F3654&amp;G3654)</f>
        <v>202411</v>
      </c>
      <c r="AQ3654" s="203" t="str">
        <f t="shared" ref="AQ3654:AQ3717" si="1091">IF(W3654="","",F3654&amp;G3654&amp;W3654)</f>
        <v>202411JPY</v>
      </c>
      <c r="AR3654" s="206" t="str">
        <f t="shared" ref="AR3654:AR3717" si="1092">IFERROR(IF(AND(M3654="YAMAHA", R3654="C28"), "YAMAHA_Non_Mounter", IF(AND(M3654="YAMAHA", R3654="C49"), "YAMAHA_Mounter", M3654)),"")</f>
        <v>YAMAHA_Mounter</v>
      </c>
      <c r="AS3654" s="22">
        <f t="shared" ref="AS3654:AS3717" si="1093">IFERROR(IF(OR(G3654="TBA", G3654=""), "", DATEDIF(DATE(B3654, C3654, 1), DATE(F3654, G3654, 1), "M")),"")</f>
        <v>3</v>
      </c>
      <c r="AT3654" s="24" t="str">
        <f t="shared" ref="AT3654:AT3717" si="1094">IF(ISNUMBER(AS3654), IF(AS3654&gt;=0, IF(AS3654&lt;=3, "0-3 months", IF(AS3654&lt;=6, "4-6 months", "&gt; 6 months"))), "")</f>
        <v>0-3 months</v>
      </c>
      <c r="AU3654" s="22" t="s">
        <v>3745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79"/>
        <v>Q2</v>
      </c>
      <c r="E3655" s="33" t="str">
        <f t="shared" ref="E3655:E3686" si="1095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2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1"/>
        <v>1</v>
      </c>
      <c r="Z3655" s="196">
        <f t="shared" si="1080"/>
        <v>16000000</v>
      </c>
      <c r="AA3655" s="22">
        <v>5.1799999999999999E-2</v>
      </c>
      <c r="AB3655" s="197">
        <f t="shared" si="1078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3"/>
        <v>32082250.320460182</v>
      </c>
      <c r="AJ3655" s="200">
        <f t="shared" si="1084"/>
        <v>4323122.9746477893</v>
      </c>
      <c r="AK3655" s="201">
        <f t="shared" si="1089"/>
        <v>0.1347512388147771</v>
      </c>
      <c r="AL3655" s="24"/>
      <c r="AM3655" s="24"/>
      <c r="AN3655" s="24"/>
      <c r="AO3655" s="24"/>
      <c r="AP3655" s="165" t="str">
        <f t="shared" si="1090"/>
        <v>202411</v>
      </c>
      <c r="AQ3655" s="203" t="str">
        <f t="shared" si="1091"/>
        <v>202411JPY</v>
      </c>
      <c r="AR3655" s="206" t="str">
        <f t="shared" si="1092"/>
        <v>YAMAHA_Mounter</v>
      </c>
      <c r="AS3655" s="22">
        <f t="shared" si="1093"/>
        <v>3</v>
      </c>
      <c r="AT3655" s="24" t="str">
        <f t="shared" si="1094"/>
        <v>0-3 months</v>
      </c>
      <c r="AU3655" s="22" t="s">
        <v>3745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79"/>
        <v>Q2</v>
      </c>
      <c r="E3656" s="33" t="str">
        <f t="shared" si="1095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2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1"/>
        <v>1</v>
      </c>
      <c r="Z3656" s="196">
        <f t="shared" si="1080"/>
        <v>10750000</v>
      </c>
      <c r="AA3656" s="22">
        <v>5.1799999999999999E-2</v>
      </c>
      <c r="AB3656" s="197">
        <f t="shared" si="1078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3"/>
        <v>32082250.320460182</v>
      </c>
      <c r="AJ3656" s="200">
        <f t="shared" si="1084"/>
        <v>4323122.9746477893</v>
      </c>
      <c r="AK3656" s="201">
        <f t="shared" si="1089"/>
        <v>0.1347512388147771</v>
      </c>
      <c r="AL3656" s="24"/>
      <c r="AM3656" s="24"/>
      <c r="AN3656" s="24"/>
      <c r="AO3656" s="24"/>
      <c r="AP3656" s="165" t="str">
        <f t="shared" si="1090"/>
        <v>202411</v>
      </c>
      <c r="AQ3656" s="203" t="str">
        <f t="shared" si="1091"/>
        <v>202411JPY</v>
      </c>
      <c r="AR3656" s="206" t="str">
        <f t="shared" si="1092"/>
        <v>YAMAHA_Mounter</v>
      </c>
      <c r="AS3656" s="22">
        <f t="shared" si="1093"/>
        <v>3</v>
      </c>
      <c r="AT3656" s="24" t="str">
        <f t="shared" si="1094"/>
        <v>0-3 months</v>
      </c>
      <c r="AU3656" s="22" t="s">
        <v>3745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79"/>
        <v>Q2</v>
      </c>
      <c r="E3657" s="33" t="str">
        <f t="shared" si="1095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2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1"/>
        <v>1</v>
      </c>
      <c r="Z3657" s="196">
        <f t="shared" si="1080"/>
        <v>10750000</v>
      </c>
      <c r="AA3657" s="22">
        <v>5.1799999999999999E-2</v>
      </c>
      <c r="AB3657" s="197">
        <f t="shared" ref="AB3657:AB3688" si="1096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3"/>
        <v>32082250.320460182</v>
      </c>
      <c r="AJ3657" s="200">
        <f t="shared" si="1084"/>
        <v>4323122.9746477893</v>
      </c>
      <c r="AK3657" s="201">
        <f t="shared" si="1089"/>
        <v>0.1347512388147771</v>
      </c>
      <c r="AL3657" s="24"/>
      <c r="AM3657" s="24"/>
      <c r="AN3657" s="24"/>
      <c r="AO3657" s="24"/>
      <c r="AP3657" s="165" t="str">
        <f t="shared" si="1090"/>
        <v>202411</v>
      </c>
      <c r="AQ3657" s="203" t="str">
        <f t="shared" si="1091"/>
        <v>202411JPY</v>
      </c>
      <c r="AR3657" s="206" t="str">
        <f t="shared" si="1092"/>
        <v>YAMAHA_Mounter</v>
      </c>
      <c r="AS3657" s="22">
        <f t="shared" si="1093"/>
        <v>3</v>
      </c>
      <c r="AT3657" s="24" t="str">
        <f t="shared" si="1094"/>
        <v>0-3 months</v>
      </c>
      <c r="AU3657" s="22" t="s">
        <v>3745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79"/>
        <v>Q2</v>
      </c>
      <c r="E3658" s="33" t="str">
        <f t="shared" si="1095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2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1"/>
        <v>1</v>
      </c>
      <c r="Z3658" s="196">
        <f t="shared" si="1080"/>
        <v>10750000</v>
      </c>
      <c r="AA3658" s="22">
        <v>5.1799999999999999E-2</v>
      </c>
      <c r="AB3658" s="197">
        <f t="shared" si="1096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3"/>
        <v>32082250.320460182</v>
      </c>
      <c r="AJ3658" s="200">
        <f t="shared" si="1084"/>
        <v>4323122.9746477893</v>
      </c>
      <c r="AK3658" s="201">
        <f t="shared" si="1089"/>
        <v>0.1347512388147771</v>
      </c>
      <c r="AL3658" s="24"/>
      <c r="AM3658" s="24"/>
      <c r="AN3658" s="24"/>
      <c r="AO3658" s="24"/>
      <c r="AP3658" s="165" t="str">
        <f t="shared" si="1090"/>
        <v>202411</v>
      </c>
      <c r="AQ3658" s="203" t="str">
        <f t="shared" si="1091"/>
        <v>202411JPY</v>
      </c>
      <c r="AR3658" s="206" t="str">
        <f t="shared" si="1092"/>
        <v>YAMAHA_Mounter</v>
      </c>
      <c r="AS3658" s="22">
        <f t="shared" si="1093"/>
        <v>3</v>
      </c>
      <c r="AT3658" s="24" t="str">
        <f t="shared" si="1094"/>
        <v>0-3 months</v>
      </c>
      <c r="AU3658" s="22" t="s">
        <v>3745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79"/>
        <v>Q2</v>
      </c>
      <c r="E3659" s="33" t="str">
        <f t="shared" si="1095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2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1"/>
        <v>1</v>
      </c>
      <c r="Z3659" s="196">
        <f t="shared" si="1080"/>
        <v>10750000</v>
      </c>
      <c r="AA3659" s="22">
        <v>5.1799999999999999E-2</v>
      </c>
      <c r="AB3659" s="197">
        <f t="shared" si="1096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3"/>
        <v>32082250.320460182</v>
      </c>
      <c r="AJ3659" s="200">
        <f t="shared" si="1084"/>
        <v>4323122.9746477893</v>
      </c>
      <c r="AK3659" s="201">
        <f t="shared" si="1089"/>
        <v>0.1347512388147771</v>
      </c>
      <c r="AL3659" s="24"/>
      <c r="AM3659" s="24"/>
      <c r="AN3659" s="24"/>
      <c r="AO3659" s="24"/>
      <c r="AP3659" s="165" t="str">
        <f t="shared" si="1090"/>
        <v>202411</v>
      </c>
      <c r="AQ3659" s="203" t="str">
        <f t="shared" si="1091"/>
        <v>202411JPY</v>
      </c>
      <c r="AR3659" s="206" t="str">
        <f t="shared" si="1092"/>
        <v>YAMAHA_Mounter</v>
      </c>
      <c r="AS3659" s="22">
        <f t="shared" si="1093"/>
        <v>3</v>
      </c>
      <c r="AT3659" s="24" t="str">
        <f t="shared" si="1094"/>
        <v>0-3 months</v>
      </c>
      <c r="AU3659" s="22" t="s">
        <v>3745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79"/>
        <v>Q2</v>
      </c>
      <c r="E3660" s="33" t="str">
        <f t="shared" si="1095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2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1081"/>
        <v>1</v>
      </c>
      <c r="Z3660" s="196">
        <f t="shared" si="1080"/>
        <v>13500000</v>
      </c>
      <c r="AA3660" s="22">
        <v>5.5599999999999997E-2</v>
      </c>
      <c r="AB3660" s="197">
        <f t="shared" si="1096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3"/>
        <v>22758096.38940867</v>
      </c>
      <c r="AJ3660" s="200">
        <f t="shared" si="1084"/>
        <v>2469357.2298956565</v>
      </c>
      <c r="AK3660" s="201">
        <f t="shared" si="1089"/>
        <v>0.10850455976822666</v>
      </c>
      <c r="AL3660" s="24"/>
      <c r="AM3660" s="24"/>
      <c r="AN3660" s="24"/>
      <c r="AO3660" s="24"/>
      <c r="AP3660" s="165" t="str">
        <f t="shared" si="1090"/>
        <v>202410</v>
      </c>
      <c r="AQ3660" s="203" t="str">
        <f t="shared" si="1091"/>
        <v>202410JPY</v>
      </c>
      <c r="AR3660" s="206" t="str">
        <f t="shared" si="1092"/>
        <v>YAMAHA_Mounter</v>
      </c>
      <c r="AS3660" s="22">
        <f t="shared" si="1093"/>
        <v>2</v>
      </c>
      <c r="AT3660" s="24" t="str">
        <f t="shared" si="1094"/>
        <v>0-3 months</v>
      </c>
      <c r="AU3660" s="22" t="s">
        <v>3745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79"/>
        <v>Q2</v>
      </c>
      <c r="E3661" s="33" t="str">
        <f t="shared" si="1095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2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1"/>
        <v>1.13</v>
      </c>
      <c r="Z3661" s="196">
        <f t="shared" si="1080"/>
        <v>530000</v>
      </c>
      <c r="AA3661" s="22">
        <v>1.073</v>
      </c>
      <c r="AB3661" s="197">
        <f t="shared" si="1096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3"/>
        <v>499582152.5142017</v>
      </c>
      <c r="AJ3661" s="200">
        <f t="shared" si="1084"/>
        <v>59520528.679470733</v>
      </c>
      <c r="AK3661" s="201">
        <f t="shared" si="1089"/>
        <v>0.11914062257814291</v>
      </c>
      <c r="AL3661" s="24"/>
      <c r="AM3661" s="24"/>
      <c r="AN3661" s="24"/>
      <c r="AO3661" s="24"/>
      <c r="AP3661" s="165" t="str">
        <f t="shared" si="1090"/>
        <v>CancelCancel</v>
      </c>
      <c r="AQ3661" s="203" t="str">
        <f t="shared" si="1091"/>
        <v>CancelCancelRMB</v>
      </c>
      <c r="AR3661" s="206" t="str">
        <f t="shared" si="1092"/>
        <v>YAMAHA_Mounter</v>
      </c>
      <c r="AS3661" s="22" t="str">
        <f t="shared" si="1093"/>
        <v/>
      </c>
      <c r="AT3661" s="24" t="str">
        <f t="shared" si="1094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79"/>
        <v>Q2</v>
      </c>
      <c r="E3662" s="33" t="str">
        <f t="shared" si="1095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2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1"/>
        <v>1.13</v>
      </c>
      <c r="Z3662" s="196">
        <f t="shared" si="1080"/>
        <v>620000</v>
      </c>
      <c r="AA3662" s="22">
        <v>1.0920000000000001</v>
      </c>
      <c r="AB3662" s="197">
        <f t="shared" si="1096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3"/>
        <v>32082250.320460182</v>
      </c>
      <c r="AJ3662" s="200">
        <f t="shared" si="1084"/>
        <v>4323122.9746477893</v>
      </c>
      <c r="AK3662" s="201">
        <f t="shared" si="1089"/>
        <v>0.1347512388147771</v>
      </c>
      <c r="AL3662" s="24"/>
      <c r="AM3662" s="24"/>
      <c r="AN3662" s="24"/>
      <c r="AO3662" s="24"/>
      <c r="AP3662" s="165" t="str">
        <f t="shared" si="1090"/>
        <v>202411</v>
      </c>
      <c r="AQ3662" s="203" t="str">
        <f t="shared" si="1091"/>
        <v>202411RMB</v>
      </c>
      <c r="AR3662" s="206" t="str">
        <f t="shared" si="1092"/>
        <v>YAMAHA_Mounter</v>
      </c>
      <c r="AS3662" s="22">
        <f t="shared" si="1093"/>
        <v>3</v>
      </c>
      <c r="AT3662" s="24" t="str">
        <f t="shared" si="1094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79"/>
        <v>Q2</v>
      </c>
      <c r="E3663" s="33" t="str">
        <f t="shared" si="1095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2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1"/>
        <v>1.13</v>
      </c>
      <c r="Z3663" s="196">
        <f t="shared" si="1080"/>
        <v>850000</v>
      </c>
      <c r="AA3663" s="22">
        <v>1.0640000000000001</v>
      </c>
      <c r="AB3663" s="197">
        <f t="shared" si="1096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3"/>
        <v>499582152.5142017</v>
      </c>
      <c r="AJ3663" s="200">
        <f t="shared" si="1084"/>
        <v>59520528.679470733</v>
      </c>
      <c r="AK3663" s="201">
        <f t="shared" si="1089"/>
        <v>0.11914062257814291</v>
      </c>
      <c r="AL3663" s="24"/>
      <c r="AM3663" s="24"/>
      <c r="AN3663" s="24"/>
      <c r="AO3663" s="24"/>
      <c r="AP3663" s="165" t="str">
        <f t="shared" si="1090"/>
        <v>Cancelcancel</v>
      </c>
      <c r="AQ3663" s="203" t="str">
        <f t="shared" si="1091"/>
        <v>CancelcancelRMB</v>
      </c>
      <c r="AR3663" s="206" t="str">
        <f t="shared" si="1092"/>
        <v>YAMAHA_Mounter</v>
      </c>
      <c r="AS3663" s="22" t="str">
        <f t="shared" si="1093"/>
        <v/>
      </c>
      <c r="AT3663" s="24" t="str">
        <f t="shared" si="1094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79"/>
        <v>Q2</v>
      </c>
      <c r="E3664" s="33" t="str">
        <f t="shared" si="1095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2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1"/>
        <v>1.13</v>
      </c>
      <c r="Z3664" s="196">
        <f t="shared" si="1080"/>
        <v>550000</v>
      </c>
      <c r="AA3664" s="22">
        <v>1.0980000000000001</v>
      </c>
      <c r="AB3664" s="197">
        <f t="shared" si="1096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3"/>
        <v>35931087.732566379</v>
      </c>
      <c r="AJ3664" s="200">
        <f t="shared" si="1084"/>
        <v>4347120.3954975223</v>
      </c>
      <c r="AK3664" s="201">
        <f t="shared" si="1089"/>
        <v>0.12098493727362117</v>
      </c>
      <c r="AL3664" s="24"/>
      <c r="AM3664" s="24"/>
      <c r="AN3664" s="24"/>
      <c r="AO3664" s="24"/>
      <c r="AP3664" s="165" t="str">
        <f t="shared" si="1090"/>
        <v>20249</v>
      </c>
      <c r="AQ3664" s="203" t="str">
        <f t="shared" si="1091"/>
        <v>20249RMB</v>
      </c>
      <c r="AR3664" s="206" t="str">
        <f t="shared" si="1092"/>
        <v>YAMAHA_Mounter</v>
      </c>
      <c r="AS3664" s="22">
        <f t="shared" si="1093"/>
        <v>2</v>
      </c>
      <c r="AT3664" s="24" t="str">
        <f t="shared" si="1094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79"/>
        <v>Q2</v>
      </c>
      <c r="E3665" s="33" t="str">
        <f t="shared" si="1095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2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1"/>
        <v>1.13</v>
      </c>
      <c r="Z3665" s="196">
        <f t="shared" si="1080"/>
        <v>1587500.2749999999</v>
      </c>
      <c r="AA3665" s="22">
        <v>1.0980000000000001</v>
      </c>
      <c r="AB3665" s="197">
        <f t="shared" si="1096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3"/>
        <v>35931087.732566379</v>
      </c>
      <c r="AJ3665" s="200">
        <f t="shared" si="1084"/>
        <v>4347120.3954975223</v>
      </c>
      <c r="AK3665" s="201">
        <f t="shared" si="1089"/>
        <v>0.12098493727362117</v>
      </c>
      <c r="AL3665" s="24"/>
      <c r="AM3665" s="24"/>
      <c r="AN3665" s="24"/>
      <c r="AO3665" s="24"/>
      <c r="AP3665" s="165" t="str">
        <f t="shared" si="1090"/>
        <v>20249</v>
      </c>
      <c r="AQ3665" s="203" t="str">
        <f t="shared" si="1091"/>
        <v>20249RMB</v>
      </c>
      <c r="AR3665" s="206" t="str">
        <f t="shared" si="1092"/>
        <v>YAMAHA_Mounter</v>
      </c>
      <c r="AS3665" s="22">
        <f t="shared" si="1093"/>
        <v>1</v>
      </c>
      <c r="AT3665" s="24" t="str">
        <f t="shared" si="1094"/>
        <v>0-3 months</v>
      </c>
      <c r="AU3665" s="22" t="s">
        <v>3751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79"/>
        <v>Q2</v>
      </c>
      <c r="E3666" s="33" t="str">
        <f t="shared" si="1095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2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1"/>
        <v>1.13</v>
      </c>
      <c r="Z3666" s="196">
        <f t="shared" si="1080"/>
        <v>1587500.2749999999</v>
      </c>
      <c r="AA3666" s="22">
        <v>1.0980000000000001</v>
      </c>
      <c r="AB3666" s="197">
        <f t="shared" si="1096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3"/>
        <v>35931087.732566379</v>
      </c>
      <c r="AJ3666" s="200">
        <f t="shared" si="1084"/>
        <v>4347120.3954975223</v>
      </c>
      <c r="AK3666" s="201">
        <f t="shared" si="1089"/>
        <v>0.12098493727362117</v>
      </c>
      <c r="AL3666" s="24"/>
      <c r="AM3666" s="24"/>
      <c r="AN3666" s="24"/>
      <c r="AO3666" s="24"/>
      <c r="AP3666" s="165" t="str">
        <f t="shared" si="1090"/>
        <v>20249</v>
      </c>
      <c r="AQ3666" s="203" t="str">
        <f t="shared" si="1091"/>
        <v>20249RMB</v>
      </c>
      <c r="AR3666" s="206" t="str">
        <f t="shared" si="1092"/>
        <v>YAMAHA_Mounter</v>
      </c>
      <c r="AS3666" s="22">
        <f t="shared" si="1093"/>
        <v>1</v>
      </c>
      <c r="AT3666" s="24" t="str">
        <f t="shared" si="1094"/>
        <v>0-3 months</v>
      </c>
      <c r="AU3666" s="22" t="s">
        <v>3751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79"/>
        <v>Q2</v>
      </c>
      <c r="E3667" s="33" t="str">
        <f t="shared" si="1095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3628</v>
      </c>
      <c r="K3667" s="29" t="s">
        <v>3629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2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1"/>
        <v>1.13</v>
      </c>
      <c r="Z3667" s="196">
        <f t="shared" si="1080"/>
        <v>655000</v>
      </c>
      <c r="AA3667" s="22">
        <v>1.0640000000000001</v>
      </c>
      <c r="AB3667" s="197">
        <f t="shared" si="1096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3"/>
        <v>16190947.162761064</v>
      </c>
      <c r="AJ3667" s="200">
        <f t="shared" si="1084"/>
        <v>2256328.1660673413</v>
      </c>
      <c r="AK3667" s="201">
        <f t="shared" si="1089"/>
        <v>0.13935739171929745</v>
      </c>
      <c r="AL3667" s="24"/>
      <c r="AM3667" s="24"/>
      <c r="AN3667" s="24"/>
      <c r="AO3667" s="24" t="s">
        <v>3560</v>
      </c>
      <c r="AP3667" s="165" t="str">
        <f t="shared" si="1090"/>
        <v>20251</v>
      </c>
      <c r="AQ3667" s="203" t="str">
        <f t="shared" si="1091"/>
        <v>20251RMB</v>
      </c>
      <c r="AR3667" s="206" t="str">
        <f t="shared" si="1092"/>
        <v>YAMAHA_Mounter</v>
      </c>
      <c r="AS3667" s="22">
        <f t="shared" si="1093"/>
        <v>4</v>
      </c>
      <c r="AT3667" s="24" t="str">
        <f t="shared" si="1094"/>
        <v>4-6 months</v>
      </c>
      <c r="AU3667" s="22" t="s">
        <v>3751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79"/>
        <v>Q2</v>
      </c>
      <c r="E3668" s="33" t="str">
        <f t="shared" si="1095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2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7">IF(W3668="","",IF(W3668="RMB","1.13", "1"))</f>
        <v>1.13</v>
      </c>
      <c r="Z3668" s="196">
        <f t="shared" si="1080"/>
        <v>1587500.2749999999</v>
      </c>
      <c r="AA3668" s="22">
        <v>1.0980000000000001</v>
      </c>
      <c r="AB3668" s="197">
        <f t="shared" si="1096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3"/>
        <v>35931087.732566379</v>
      </c>
      <c r="AJ3668" s="200">
        <f t="shared" si="1084"/>
        <v>4347120.3954975223</v>
      </c>
      <c r="AK3668" s="201">
        <f t="shared" si="1089"/>
        <v>0.12098493727362117</v>
      </c>
      <c r="AL3668" s="24"/>
      <c r="AM3668" s="24"/>
      <c r="AN3668" s="24"/>
      <c r="AO3668" s="24"/>
      <c r="AP3668" s="165" t="str">
        <f t="shared" si="1090"/>
        <v>20249</v>
      </c>
      <c r="AQ3668" s="203" t="str">
        <f t="shared" si="1091"/>
        <v>20249RMB</v>
      </c>
      <c r="AR3668" s="206" t="str">
        <f t="shared" si="1092"/>
        <v>YAMAHA_Mounter</v>
      </c>
      <c r="AS3668" s="22">
        <f t="shared" si="1093"/>
        <v>1</v>
      </c>
      <c r="AT3668" s="24" t="str">
        <f t="shared" si="1094"/>
        <v>0-3 months</v>
      </c>
      <c r="AU3668" s="22" t="s">
        <v>3751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79"/>
        <v>Q2</v>
      </c>
      <c r="E3669" s="33" t="str">
        <f t="shared" si="1095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2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7"/>
        <v>1.13</v>
      </c>
      <c r="Z3669" s="196">
        <f t="shared" si="1080"/>
        <v>1587500.2749999999</v>
      </c>
      <c r="AA3669" s="22">
        <v>1.0980000000000001</v>
      </c>
      <c r="AB3669" s="197">
        <f t="shared" si="1096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3"/>
        <v>35931087.732566379</v>
      </c>
      <c r="AJ3669" s="200">
        <f t="shared" si="1084"/>
        <v>4347120.3954975223</v>
      </c>
      <c r="AK3669" s="201">
        <f t="shared" si="1089"/>
        <v>0.12098493727362117</v>
      </c>
      <c r="AL3669" s="24"/>
      <c r="AM3669" s="24"/>
      <c r="AN3669" s="24"/>
      <c r="AO3669" s="24"/>
      <c r="AP3669" s="165" t="str">
        <f t="shared" si="1090"/>
        <v>20249</v>
      </c>
      <c r="AQ3669" s="203" t="str">
        <f t="shared" si="1091"/>
        <v>20249RMB</v>
      </c>
      <c r="AR3669" s="206" t="str">
        <f t="shared" si="1092"/>
        <v>YAMAHA_Mounter</v>
      </c>
      <c r="AS3669" s="22">
        <f t="shared" si="1093"/>
        <v>1</v>
      </c>
      <c r="AT3669" s="24" t="str">
        <f t="shared" si="1094"/>
        <v>0-3 months</v>
      </c>
      <c r="AU3669" s="22" t="s">
        <v>3751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79"/>
        <v>Q2</v>
      </c>
      <c r="E3670" s="33" t="str">
        <f t="shared" si="1095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2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7"/>
        <v>1</v>
      </c>
      <c r="Z3670" s="196">
        <f t="shared" si="1080"/>
        <v>12280000</v>
      </c>
      <c r="AA3670" s="22">
        <v>5.5100000000000003E-2</v>
      </c>
      <c r="AB3670" s="197">
        <f t="shared" si="1096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3"/>
        <v>35931087.732566379</v>
      </c>
      <c r="AJ3670" s="200">
        <f t="shared" si="1084"/>
        <v>4347120.3954975223</v>
      </c>
      <c r="AK3670" s="201">
        <f t="shared" si="1089"/>
        <v>0.12098493727362117</v>
      </c>
      <c r="AL3670" s="24"/>
      <c r="AM3670" s="24"/>
      <c r="AN3670" s="24"/>
      <c r="AO3670" s="24"/>
      <c r="AP3670" s="165" t="str">
        <f t="shared" si="1090"/>
        <v>20249</v>
      </c>
      <c r="AQ3670" s="203" t="str">
        <f t="shared" si="1091"/>
        <v>20249JPY</v>
      </c>
      <c r="AR3670" s="206" t="str">
        <f t="shared" si="1092"/>
        <v>YAMAHA_Mounter</v>
      </c>
      <c r="AS3670" s="22">
        <f t="shared" si="1093"/>
        <v>2</v>
      </c>
      <c r="AT3670" s="24" t="str">
        <f t="shared" si="1094"/>
        <v>0-3 months</v>
      </c>
      <c r="AU3670" s="22" t="s">
        <v>3745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79"/>
        <v>Q2</v>
      </c>
      <c r="E3671" s="33" t="str">
        <f t="shared" si="1095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2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7"/>
        <v>1.13</v>
      </c>
      <c r="Z3671" s="196">
        <f t="shared" si="1080"/>
        <v>432999</v>
      </c>
      <c r="AA3671" s="22">
        <v>1.0980000000000001</v>
      </c>
      <c r="AB3671" s="197">
        <f t="shared" si="1096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3"/>
        <v>35931087.732566379</v>
      </c>
      <c r="AJ3671" s="200">
        <f t="shared" si="1084"/>
        <v>4347120.3954975223</v>
      </c>
      <c r="AK3671" s="201">
        <f t="shared" si="1089"/>
        <v>0.12098493727362117</v>
      </c>
      <c r="AL3671" s="24"/>
      <c r="AM3671" s="24"/>
      <c r="AN3671" s="24"/>
      <c r="AO3671" s="24"/>
      <c r="AP3671" s="165" t="str">
        <f t="shared" si="1090"/>
        <v>20249</v>
      </c>
      <c r="AQ3671" s="203" t="str">
        <f t="shared" si="1091"/>
        <v>20249RMB</v>
      </c>
      <c r="AR3671" s="206" t="str">
        <f t="shared" si="1092"/>
        <v>YAMAHA_Mounter</v>
      </c>
      <c r="AS3671" s="22">
        <f t="shared" si="1093"/>
        <v>2</v>
      </c>
      <c r="AT3671" s="24" t="str">
        <f t="shared" si="1094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79"/>
        <v>Q2</v>
      </c>
      <c r="E3672" s="33" t="str">
        <f t="shared" si="1095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2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7"/>
        <v>1.13</v>
      </c>
      <c r="Z3672" s="196">
        <f t="shared" si="1080"/>
        <v>398000</v>
      </c>
      <c r="AA3672" s="22">
        <v>1.1080000000000001</v>
      </c>
      <c r="AB3672" s="197">
        <f t="shared" si="1096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3"/>
        <v>22758096.38940867</v>
      </c>
      <c r="AJ3672" s="200">
        <f t="shared" si="1084"/>
        <v>2469357.2298956565</v>
      </c>
      <c r="AK3672" s="201">
        <f t="shared" si="1089"/>
        <v>0.10850455976822666</v>
      </c>
      <c r="AL3672" s="24"/>
      <c r="AM3672" s="24"/>
      <c r="AN3672" s="24"/>
      <c r="AO3672" s="24"/>
      <c r="AP3672" s="165" t="str">
        <f t="shared" si="1090"/>
        <v>202410</v>
      </c>
      <c r="AQ3672" s="203" t="str">
        <f t="shared" si="1091"/>
        <v>202410RMB</v>
      </c>
      <c r="AR3672" s="206" t="str">
        <f t="shared" si="1092"/>
        <v>YAMAHA_Mounter</v>
      </c>
      <c r="AS3672" s="22">
        <f t="shared" si="1093"/>
        <v>2</v>
      </c>
      <c r="AT3672" s="24" t="str">
        <f t="shared" si="1094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79"/>
        <v>Q2</v>
      </c>
      <c r="E3673" s="33" t="str">
        <f t="shared" si="1095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2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7"/>
        <v>1</v>
      </c>
      <c r="Z3673" s="196">
        <f t="shared" si="1080"/>
        <v>13210000</v>
      </c>
      <c r="AA3673" s="22">
        <v>5.5100000000000003E-2</v>
      </c>
      <c r="AB3673" s="197">
        <f t="shared" si="1096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3"/>
        <v>35931087.732566379</v>
      </c>
      <c r="AJ3673" s="200">
        <f t="shared" si="1084"/>
        <v>4347120.3954975223</v>
      </c>
      <c r="AK3673" s="201">
        <f t="shared" si="1089"/>
        <v>0.12098493727362117</v>
      </c>
      <c r="AL3673" s="24"/>
      <c r="AM3673" s="24"/>
      <c r="AN3673" s="24"/>
      <c r="AO3673" s="24"/>
      <c r="AP3673" s="165" t="str">
        <f t="shared" si="1090"/>
        <v>20249</v>
      </c>
      <c r="AQ3673" s="203" t="str">
        <f t="shared" si="1091"/>
        <v>20249JPY</v>
      </c>
      <c r="AR3673" s="206" t="str">
        <f t="shared" si="1092"/>
        <v>YAMAHA_Mounter</v>
      </c>
      <c r="AS3673" s="22">
        <f t="shared" si="1093"/>
        <v>2</v>
      </c>
      <c r="AT3673" s="24" t="str">
        <f t="shared" si="1094"/>
        <v>0-3 months</v>
      </c>
      <c r="AU3673" s="22" t="s">
        <v>3745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79"/>
        <v>Q2</v>
      </c>
      <c r="E3674" s="33" t="str">
        <f t="shared" si="1095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098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7"/>
        <v>1.13</v>
      </c>
      <c r="Z3674" s="196">
        <f t="shared" si="1080"/>
        <v>675000</v>
      </c>
      <c r="AA3674" s="22">
        <v>1.0980000000000001</v>
      </c>
      <c r="AB3674" s="197">
        <f t="shared" si="1096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3"/>
        <v>35931087.732566379</v>
      </c>
      <c r="AJ3674" s="200">
        <f t="shared" si="1084"/>
        <v>4347120.3954975223</v>
      </c>
      <c r="AK3674" s="201">
        <f t="shared" si="1089"/>
        <v>0.12098493727362117</v>
      </c>
      <c r="AL3674" s="24"/>
      <c r="AM3674" s="24"/>
      <c r="AN3674" s="24"/>
      <c r="AO3674" s="24"/>
      <c r="AP3674" s="165" t="str">
        <f t="shared" si="1090"/>
        <v>20249</v>
      </c>
      <c r="AQ3674" s="203" t="str">
        <f t="shared" si="1091"/>
        <v>20249RMB</v>
      </c>
      <c r="AR3674" s="206" t="str">
        <f t="shared" si="1092"/>
        <v>YAMAHA_Mounter</v>
      </c>
      <c r="AS3674" s="22">
        <f t="shared" si="1093"/>
        <v>2</v>
      </c>
      <c r="AT3674" s="24" t="str">
        <f t="shared" si="1094"/>
        <v>0-3 months</v>
      </c>
      <c r="AU3674" s="22" t="s">
        <v>3751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79"/>
        <v>Q2</v>
      </c>
      <c r="E3675" s="33" t="str">
        <f t="shared" si="1095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098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7"/>
        <v>1.13</v>
      </c>
      <c r="Z3675" s="196">
        <v>380666</v>
      </c>
      <c r="AA3675" s="22">
        <v>1.1080000000000001</v>
      </c>
      <c r="AB3675" s="197">
        <f t="shared" si="1096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3"/>
        <v>22758096.38940867</v>
      </c>
      <c r="AJ3675" s="200">
        <f t="shared" si="1084"/>
        <v>2469357.2298956565</v>
      </c>
      <c r="AK3675" s="201">
        <f t="shared" si="1089"/>
        <v>0.10850455976822666</v>
      </c>
      <c r="AL3675" s="24"/>
      <c r="AM3675" s="24"/>
      <c r="AN3675" s="24"/>
      <c r="AO3675" s="24"/>
      <c r="AP3675" s="165" t="str">
        <f t="shared" si="1090"/>
        <v>202410</v>
      </c>
      <c r="AQ3675" s="203" t="str">
        <f t="shared" si="1091"/>
        <v>202410RMB</v>
      </c>
      <c r="AR3675" s="206" t="str">
        <f t="shared" si="1092"/>
        <v>YAMAHA_Non_Mounter</v>
      </c>
      <c r="AS3675" s="22">
        <f t="shared" si="1093"/>
        <v>3</v>
      </c>
      <c r="AT3675" s="24" t="str">
        <f t="shared" si="1094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79"/>
        <v>Q2</v>
      </c>
      <c r="E3676" s="33" t="str">
        <f t="shared" si="1095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098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7"/>
        <v>1.13</v>
      </c>
      <c r="Z3676" s="196">
        <v>380666</v>
      </c>
      <c r="AA3676" s="22">
        <v>1.1080000000000001</v>
      </c>
      <c r="AB3676" s="197">
        <f t="shared" si="1096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3"/>
        <v>22758096.38940867</v>
      </c>
      <c r="AJ3676" s="200">
        <f t="shared" si="1084"/>
        <v>2469357.2298956565</v>
      </c>
      <c r="AK3676" s="201">
        <f t="shared" si="1089"/>
        <v>0.10850455976822666</v>
      </c>
      <c r="AL3676" s="24"/>
      <c r="AM3676" s="24"/>
      <c r="AN3676" s="24"/>
      <c r="AO3676" s="24"/>
      <c r="AP3676" s="165" t="str">
        <f t="shared" si="1090"/>
        <v>202410</v>
      </c>
      <c r="AQ3676" s="203" t="str">
        <f t="shared" si="1091"/>
        <v>202410RMB</v>
      </c>
      <c r="AR3676" s="206" t="str">
        <f t="shared" si="1092"/>
        <v>YAMAHA_Non_Mounter</v>
      </c>
      <c r="AS3676" s="22">
        <f t="shared" si="1093"/>
        <v>3</v>
      </c>
      <c r="AT3676" s="24" t="str">
        <f t="shared" si="1094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79"/>
        <v>Q2</v>
      </c>
      <c r="E3677" s="33" t="str">
        <f t="shared" si="1095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098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7"/>
        <v>1.13</v>
      </c>
      <c r="Z3677" s="196">
        <f t="shared" si="1080"/>
        <v>780000</v>
      </c>
      <c r="AA3677" s="22">
        <v>1.0980000000000001</v>
      </c>
      <c r="AB3677" s="197">
        <f t="shared" si="1096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3"/>
        <v>35931087.732566379</v>
      </c>
      <c r="AJ3677" s="200">
        <f t="shared" si="1084"/>
        <v>4347120.3954975223</v>
      </c>
      <c r="AK3677" s="201">
        <f t="shared" si="1089"/>
        <v>0.12098493727362117</v>
      </c>
      <c r="AL3677" s="24"/>
      <c r="AM3677" s="24"/>
      <c r="AN3677" s="24"/>
      <c r="AO3677" s="24"/>
      <c r="AP3677" s="165" t="str">
        <f t="shared" si="1090"/>
        <v>20249</v>
      </c>
      <c r="AQ3677" s="203" t="str">
        <f t="shared" si="1091"/>
        <v>20249RMB</v>
      </c>
      <c r="AR3677" s="206" t="str">
        <f t="shared" si="1092"/>
        <v>YAMAHA_Mounter</v>
      </c>
      <c r="AS3677" s="22">
        <f t="shared" si="1093"/>
        <v>1</v>
      </c>
      <c r="AT3677" s="24" t="str">
        <f t="shared" si="1094"/>
        <v>0-3 months</v>
      </c>
      <c r="AU3677" s="22" t="s">
        <v>3751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79"/>
        <v>Q2</v>
      </c>
      <c r="E3678" s="33" t="str">
        <f t="shared" si="1095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098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7"/>
        <v>1.13</v>
      </c>
      <c r="Z3678" s="196">
        <f t="shared" si="1080"/>
        <v>571000</v>
      </c>
      <c r="AA3678" s="22">
        <v>1.0980000000000001</v>
      </c>
      <c r="AB3678" s="197">
        <f t="shared" si="1096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3"/>
        <v>35931087.732566379</v>
      </c>
      <c r="AJ3678" s="200">
        <f t="shared" si="1084"/>
        <v>4347120.3954975223</v>
      </c>
      <c r="AK3678" s="201">
        <f t="shared" si="1089"/>
        <v>0.12098493727362117</v>
      </c>
      <c r="AL3678" s="24"/>
      <c r="AM3678" s="24"/>
      <c r="AN3678" s="24"/>
      <c r="AO3678" s="24"/>
      <c r="AP3678" s="165" t="str">
        <f t="shared" si="1090"/>
        <v>20249</v>
      </c>
      <c r="AQ3678" s="203" t="str">
        <f t="shared" si="1091"/>
        <v>20249RMB</v>
      </c>
      <c r="AR3678" s="206" t="str">
        <f t="shared" si="1092"/>
        <v>YAMAHA_Mounter</v>
      </c>
      <c r="AS3678" s="22">
        <f t="shared" si="1093"/>
        <v>1</v>
      </c>
      <c r="AT3678" s="24" t="str">
        <f t="shared" si="1094"/>
        <v>0-3 months</v>
      </c>
      <c r="AU3678" s="22" t="s">
        <v>3751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79"/>
        <v>Q2</v>
      </c>
      <c r="E3679" s="33" t="str">
        <f t="shared" si="1095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098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7"/>
        <v>1</v>
      </c>
      <c r="Z3679" s="196">
        <f t="shared" si="1080"/>
        <v>13430000</v>
      </c>
      <c r="AA3679" s="22">
        <v>5.5100000000000003E-2</v>
      </c>
      <c r="AB3679" s="197">
        <f t="shared" si="1096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3"/>
        <v>35931087.732566379</v>
      </c>
      <c r="AJ3679" s="200">
        <f t="shared" si="1084"/>
        <v>4347120.3954975223</v>
      </c>
      <c r="AK3679" s="201">
        <f t="shared" si="1089"/>
        <v>0.12098493727362117</v>
      </c>
      <c r="AL3679" s="24"/>
      <c r="AM3679" s="24"/>
      <c r="AN3679" s="24"/>
      <c r="AO3679" s="24"/>
      <c r="AP3679" s="165" t="str">
        <f t="shared" si="1090"/>
        <v>20249</v>
      </c>
      <c r="AQ3679" s="203" t="str">
        <f t="shared" si="1091"/>
        <v>20249JPY</v>
      </c>
      <c r="AR3679" s="206" t="str">
        <f t="shared" si="1092"/>
        <v>YAMAHA_Mounter</v>
      </c>
      <c r="AS3679" s="22">
        <f t="shared" si="1093"/>
        <v>1</v>
      </c>
      <c r="AT3679" s="24" t="str">
        <f t="shared" si="1094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79"/>
        <v>Q2</v>
      </c>
      <c r="E3680" s="33" t="str">
        <f t="shared" si="1095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098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7"/>
        <v>1.13</v>
      </c>
      <c r="Z3680" s="196">
        <f t="shared" si="1080"/>
        <v>672500</v>
      </c>
      <c r="AA3680" s="22">
        <v>1.0980000000000001</v>
      </c>
      <c r="AB3680" s="197">
        <f t="shared" si="1096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3"/>
        <v>35931087.732566379</v>
      </c>
      <c r="AJ3680" s="200">
        <f t="shared" si="1084"/>
        <v>4347120.3954975223</v>
      </c>
      <c r="AK3680" s="201">
        <f t="shared" si="1089"/>
        <v>0.12098493727362117</v>
      </c>
      <c r="AL3680" s="24"/>
      <c r="AM3680" s="24"/>
      <c r="AN3680" s="24"/>
      <c r="AO3680" s="24"/>
      <c r="AP3680" s="165" t="str">
        <f t="shared" si="1090"/>
        <v>20249</v>
      </c>
      <c r="AQ3680" s="203" t="str">
        <f t="shared" si="1091"/>
        <v>20249RMB</v>
      </c>
      <c r="AR3680" s="206" t="str">
        <f t="shared" si="1092"/>
        <v>YAMAHA_Mounter</v>
      </c>
      <c r="AS3680" s="22">
        <f t="shared" si="1093"/>
        <v>1</v>
      </c>
      <c r="AT3680" s="24" t="str">
        <f t="shared" si="1094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79"/>
        <v>Q2</v>
      </c>
      <c r="E3681" s="33" t="str">
        <f t="shared" si="1095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098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7"/>
        <v>1.13</v>
      </c>
      <c r="Z3681" s="196">
        <f t="shared" si="1080"/>
        <v>672500</v>
      </c>
      <c r="AA3681" s="22">
        <v>1.0980000000000001</v>
      </c>
      <c r="AB3681" s="197">
        <f t="shared" si="1096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3"/>
        <v>35931087.732566379</v>
      </c>
      <c r="AJ3681" s="200">
        <f t="shared" si="1084"/>
        <v>4347120.3954975223</v>
      </c>
      <c r="AK3681" s="201">
        <f t="shared" si="1089"/>
        <v>0.12098493727362117</v>
      </c>
      <c r="AL3681" s="24"/>
      <c r="AM3681" s="24"/>
      <c r="AN3681" s="24"/>
      <c r="AO3681" s="24"/>
      <c r="AP3681" s="165" t="str">
        <f t="shared" si="1090"/>
        <v>20249</v>
      </c>
      <c r="AQ3681" s="203" t="str">
        <f t="shared" si="1091"/>
        <v>20249RMB</v>
      </c>
      <c r="AR3681" s="206" t="str">
        <f t="shared" si="1092"/>
        <v>YAMAHA_Mounter</v>
      </c>
      <c r="AS3681" s="22">
        <f t="shared" si="1093"/>
        <v>1</v>
      </c>
      <c r="AT3681" s="24" t="str">
        <f t="shared" si="1094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79"/>
        <v>Q2</v>
      </c>
      <c r="E3682" s="33" t="str">
        <f t="shared" si="1095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098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7"/>
        <v>1</v>
      </c>
      <c r="Z3682" s="196">
        <f t="shared" si="1080"/>
        <v>12200000</v>
      </c>
      <c r="AA3682" s="22">
        <v>5.1799999999999999E-2</v>
      </c>
      <c r="AB3682" s="197">
        <f t="shared" si="1096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3"/>
        <v>32082250.320460182</v>
      </c>
      <c r="AJ3682" s="200">
        <f t="shared" si="1084"/>
        <v>4323122.9746477893</v>
      </c>
      <c r="AK3682" s="201">
        <f t="shared" si="1089"/>
        <v>0.1347512388147771</v>
      </c>
      <c r="AL3682" s="24"/>
      <c r="AM3682" s="24"/>
      <c r="AN3682" s="24"/>
      <c r="AO3682" s="24"/>
      <c r="AP3682" s="165" t="str">
        <f t="shared" si="1090"/>
        <v>202411</v>
      </c>
      <c r="AQ3682" s="203" t="str">
        <f t="shared" si="1091"/>
        <v>202411JPY</v>
      </c>
      <c r="AR3682" s="206" t="str">
        <f t="shared" si="1092"/>
        <v>YAMAHA_Mounter</v>
      </c>
      <c r="AS3682" s="22">
        <f t="shared" si="1093"/>
        <v>3</v>
      </c>
      <c r="AT3682" s="24" t="str">
        <f t="shared" si="1094"/>
        <v>0-3 months</v>
      </c>
      <c r="AU3682" s="22" t="s">
        <v>3745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79"/>
        <v>Q2</v>
      </c>
      <c r="E3683" s="33" t="str">
        <f t="shared" si="1095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098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7"/>
        <v>1</v>
      </c>
      <c r="Z3683" s="196">
        <f t="shared" si="1080"/>
        <v>12200000</v>
      </c>
      <c r="AA3683" s="22">
        <v>5.1799999999999999E-2</v>
      </c>
      <c r="AB3683" s="197">
        <f t="shared" si="1096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3"/>
        <v>32082250.320460182</v>
      </c>
      <c r="AJ3683" s="200">
        <f t="shared" si="1084"/>
        <v>4323122.9746477893</v>
      </c>
      <c r="AK3683" s="201">
        <f t="shared" si="1089"/>
        <v>0.1347512388147771</v>
      </c>
      <c r="AL3683" s="24"/>
      <c r="AM3683" s="24"/>
      <c r="AN3683" s="24"/>
      <c r="AO3683" s="24"/>
      <c r="AP3683" s="165" t="str">
        <f t="shared" si="1090"/>
        <v>202411</v>
      </c>
      <c r="AQ3683" s="203" t="str">
        <f t="shared" si="1091"/>
        <v>202411JPY</v>
      </c>
      <c r="AR3683" s="206" t="str">
        <f t="shared" si="1092"/>
        <v>YAMAHA_Mounter</v>
      </c>
      <c r="AS3683" s="22">
        <f t="shared" si="1093"/>
        <v>3</v>
      </c>
      <c r="AT3683" s="24" t="str">
        <f t="shared" si="1094"/>
        <v>0-3 months</v>
      </c>
      <c r="AU3683" s="22" t="s">
        <v>3745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79"/>
        <v>Q2</v>
      </c>
      <c r="E3684" s="33" t="str">
        <f t="shared" si="1095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098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7"/>
        <v>1</v>
      </c>
      <c r="Z3684" s="196">
        <f t="shared" si="1080"/>
        <v>12200000</v>
      </c>
      <c r="AA3684" s="22">
        <v>5.1799999999999999E-2</v>
      </c>
      <c r="AB3684" s="197">
        <f t="shared" si="1096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3"/>
        <v>32082250.320460182</v>
      </c>
      <c r="AJ3684" s="200">
        <f t="shared" si="1084"/>
        <v>4323122.9746477893</v>
      </c>
      <c r="AK3684" s="201">
        <f t="shared" si="1089"/>
        <v>0.1347512388147771</v>
      </c>
      <c r="AL3684" s="24"/>
      <c r="AM3684" s="24"/>
      <c r="AN3684" s="24"/>
      <c r="AO3684" s="24"/>
      <c r="AP3684" s="165" t="str">
        <f t="shared" si="1090"/>
        <v>202411</v>
      </c>
      <c r="AQ3684" s="203" t="str">
        <f t="shared" si="1091"/>
        <v>202411JPY</v>
      </c>
      <c r="AR3684" s="206" t="str">
        <f t="shared" si="1092"/>
        <v>YAMAHA_Mounter</v>
      </c>
      <c r="AS3684" s="22">
        <f t="shared" si="1093"/>
        <v>3</v>
      </c>
      <c r="AT3684" s="24" t="str">
        <f t="shared" si="1094"/>
        <v>0-3 months</v>
      </c>
      <c r="AU3684" s="22" t="s">
        <v>3745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79"/>
        <v>Q2</v>
      </c>
      <c r="E3685" s="33" t="str">
        <f t="shared" si="1095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098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7"/>
        <v>1</v>
      </c>
      <c r="Z3685" s="196">
        <f t="shared" si="1080"/>
        <v>7200000</v>
      </c>
      <c r="AA3685" s="22">
        <v>5.1799999999999999E-2</v>
      </c>
      <c r="AB3685" s="197">
        <f t="shared" si="1096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3"/>
        <v>32082250.320460182</v>
      </c>
      <c r="AJ3685" s="200">
        <f t="shared" si="1084"/>
        <v>4323122.9746477893</v>
      </c>
      <c r="AK3685" s="201">
        <f t="shared" si="1089"/>
        <v>0.1347512388147771</v>
      </c>
      <c r="AL3685" s="24"/>
      <c r="AM3685" s="24"/>
      <c r="AN3685" s="24"/>
      <c r="AO3685" s="24"/>
      <c r="AP3685" s="165" t="str">
        <f t="shared" si="1090"/>
        <v>202411</v>
      </c>
      <c r="AQ3685" s="203" t="str">
        <f t="shared" si="1091"/>
        <v>202411JPY</v>
      </c>
      <c r="AR3685" s="206" t="str">
        <f t="shared" si="1092"/>
        <v>YAMAHA_Mounter</v>
      </c>
      <c r="AS3685" s="22">
        <f t="shared" si="1093"/>
        <v>3</v>
      </c>
      <c r="AT3685" s="24" t="str">
        <f t="shared" si="1094"/>
        <v>0-3 months</v>
      </c>
      <c r="AU3685" s="22" t="s">
        <v>3745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79"/>
        <v>Q2</v>
      </c>
      <c r="E3686" s="33" t="str">
        <f t="shared" si="1095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098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7"/>
        <v>1</v>
      </c>
      <c r="Z3686" s="196">
        <f t="shared" si="1080"/>
        <v>7200000</v>
      </c>
      <c r="AA3686" s="22">
        <v>5.1799999999999999E-2</v>
      </c>
      <c r="AB3686" s="197">
        <f t="shared" si="1096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3"/>
        <v>32082250.320460182</v>
      </c>
      <c r="AJ3686" s="200">
        <f t="shared" si="1084"/>
        <v>4323122.9746477893</v>
      </c>
      <c r="AK3686" s="201">
        <f t="shared" si="1089"/>
        <v>0.1347512388147771</v>
      </c>
      <c r="AL3686" s="24"/>
      <c r="AM3686" s="24"/>
      <c r="AN3686" s="24"/>
      <c r="AO3686" s="24"/>
      <c r="AP3686" s="165" t="str">
        <f t="shared" si="1090"/>
        <v>202411</v>
      </c>
      <c r="AQ3686" s="203" t="str">
        <f t="shared" si="1091"/>
        <v>202411JPY</v>
      </c>
      <c r="AR3686" s="206" t="str">
        <f t="shared" si="1092"/>
        <v>YAMAHA_Mounter</v>
      </c>
      <c r="AS3686" s="22">
        <f t="shared" si="1093"/>
        <v>3</v>
      </c>
      <c r="AT3686" s="24" t="str">
        <f t="shared" si="1094"/>
        <v>0-3 months</v>
      </c>
      <c r="AU3686" s="22" t="s">
        <v>3745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79"/>
        <v>Q2</v>
      </c>
      <c r="E3687" s="33" t="str">
        <f t="shared" ref="E3687:E3718" si="1099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098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7"/>
        <v>1</v>
      </c>
      <c r="Z3687" s="196">
        <f t="shared" si="1080"/>
        <v>15530000</v>
      </c>
      <c r="AA3687" s="22">
        <v>5.1799999999999999E-2</v>
      </c>
      <c r="AB3687" s="197">
        <f t="shared" si="1096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3"/>
        <v>499582152.5142017</v>
      </c>
      <c r="AJ3687" s="200">
        <f t="shared" si="1084"/>
        <v>59520528.679470733</v>
      </c>
      <c r="AK3687" s="201">
        <f t="shared" si="1089"/>
        <v>0.11914062257814291</v>
      </c>
      <c r="AL3687" s="24"/>
      <c r="AM3687" s="24"/>
      <c r="AN3687" s="24"/>
      <c r="AO3687" s="24"/>
      <c r="AP3687" s="165" t="str">
        <f t="shared" si="1090"/>
        <v>CancelCancel</v>
      </c>
      <c r="AQ3687" s="203" t="str">
        <f t="shared" si="1091"/>
        <v>CancelCancelJPY</v>
      </c>
      <c r="AR3687" s="206" t="str">
        <f t="shared" si="1092"/>
        <v>YAMAHA_Mounter</v>
      </c>
      <c r="AS3687" s="22" t="str">
        <f t="shared" si="1093"/>
        <v/>
      </c>
      <c r="AT3687" s="24" t="str">
        <f t="shared" si="1094"/>
        <v/>
      </c>
      <c r="AU3687" s="22" t="s">
        <v>3745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79"/>
        <v>Q2</v>
      </c>
      <c r="E3688" s="33" t="str">
        <f t="shared" si="1099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098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7"/>
        <v>1</v>
      </c>
      <c r="Z3688" s="196">
        <f t="shared" si="1080"/>
        <v>8170000</v>
      </c>
      <c r="AA3688" s="22">
        <v>5.1799999999999999E-2</v>
      </c>
      <c r="AB3688" s="197">
        <f t="shared" si="1096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3"/>
        <v>499582152.5142017</v>
      </c>
      <c r="AJ3688" s="200">
        <f t="shared" si="1084"/>
        <v>59520528.679470733</v>
      </c>
      <c r="AK3688" s="201">
        <f t="shared" si="1089"/>
        <v>0.11914062257814291</v>
      </c>
      <c r="AL3688" s="24"/>
      <c r="AM3688" s="24"/>
      <c r="AN3688" s="24"/>
      <c r="AO3688" s="24"/>
      <c r="AP3688" s="165" t="str">
        <f t="shared" si="1090"/>
        <v>CancelCancel</v>
      </c>
      <c r="AQ3688" s="203" t="str">
        <f t="shared" si="1091"/>
        <v>CancelCancelJPY</v>
      </c>
      <c r="AR3688" s="206" t="str">
        <f t="shared" si="1092"/>
        <v>YAMAHA_Mounter</v>
      </c>
      <c r="AS3688" s="22" t="str">
        <f t="shared" si="1093"/>
        <v/>
      </c>
      <c r="AT3688" s="24" t="str">
        <f t="shared" si="1094"/>
        <v/>
      </c>
      <c r="AU3688" s="22" t="s">
        <v>3745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79"/>
        <v>Q2</v>
      </c>
      <c r="E3689" s="33" t="str">
        <f t="shared" si="1099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098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7"/>
        <v>1.13</v>
      </c>
      <c r="Z3689" s="196">
        <f t="shared" si="1080"/>
        <v>397500</v>
      </c>
      <c r="AA3689" s="22">
        <v>1.0980000000000001</v>
      </c>
      <c r="AB3689" s="197">
        <f t="shared" ref="AB3689:AB3720" si="1100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3"/>
        <v>35931087.732566379</v>
      </c>
      <c r="AJ3689" s="200">
        <f t="shared" si="1084"/>
        <v>4347120.3954975223</v>
      </c>
      <c r="AK3689" s="201">
        <f t="shared" si="1089"/>
        <v>0.12098493727362117</v>
      </c>
      <c r="AL3689" s="24"/>
      <c r="AM3689" s="24"/>
      <c r="AN3689" s="24"/>
      <c r="AO3689" s="24"/>
      <c r="AP3689" s="165" t="str">
        <f t="shared" si="1090"/>
        <v>20249</v>
      </c>
      <c r="AQ3689" s="203" t="str">
        <f t="shared" si="1091"/>
        <v>20249RMB</v>
      </c>
      <c r="AR3689" s="206" t="str">
        <f t="shared" si="1092"/>
        <v>YAMAHA_Mounter</v>
      </c>
      <c r="AS3689" s="22">
        <f t="shared" si="1093"/>
        <v>1</v>
      </c>
      <c r="AT3689" s="24" t="str">
        <f t="shared" si="1094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79"/>
        <v>Q2</v>
      </c>
      <c r="E3690" s="33" t="str">
        <f t="shared" si="1099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098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7"/>
        <v>1.13</v>
      </c>
      <c r="Z3690" s="196">
        <f t="shared" si="1080"/>
        <v>397500</v>
      </c>
      <c r="AA3690" s="22">
        <v>1.0980000000000001</v>
      </c>
      <c r="AB3690" s="197">
        <f t="shared" si="1100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3"/>
        <v>35931087.732566379</v>
      </c>
      <c r="AJ3690" s="200">
        <f t="shared" si="1084"/>
        <v>4347120.3954975223</v>
      </c>
      <c r="AK3690" s="201">
        <f t="shared" si="1089"/>
        <v>0.12098493727362117</v>
      </c>
      <c r="AL3690" s="24"/>
      <c r="AM3690" s="24"/>
      <c r="AN3690" s="24"/>
      <c r="AO3690" s="24"/>
      <c r="AP3690" s="165" t="str">
        <f t="shared" si="1090"/>
        <v>20249</v>
      </c>
      <c r="AQ3690" s="203" t="str">
        <f t="shared" si="1091"/>
        <v>20249RMB</v>
      </c>
      <c r="AR3690" s="206" t="str">
        <f t="shared" si="1092"/>
        <v>YAMAHA_Mounter</v>
      </c>
      <c r="AS3690" s="22">
        <f t="shared" si="1093"/>
        <v>1</v>
      </c>
      <c r="AT3690" s="24" t="str">
        <f t="shared" si="1094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79"/>
        <v>Q3</v>
      </c>
      <c r="E3691" s="33" t="str">
        <f t="shared" si="1099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098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7"/>
        <v>1.13</v>
      </c>
      <c r="Z3691" s="18">
        <f t="shared" si="1080"/>
        <v>350000</v>
      </c>
      <c r="AA3691" s="22">
        <v>1.0980000000000001</v>
      </c>
      <c r="AB3691" s="21">
        <f t="shared" si="1100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3"/>
        <v>35931087.732566379</v>
      </c>
      <c r="AJ3691" s="27">
        <f t="shared" si="1084"/>
        <v>4347120.3954975223</v>
      </c>
      <c r="AK3691" s="28">
        <f t="shared" si="1089"/>
        <v>0.12098493727362117</v>
      </c>
      <c r="AL3691" s="24"/>
      <c r="AM3691" s="24"/>
      <c r="AN3691" s="24"/>
      <c r="AO3691" s="24"/>
      <c r="AP3691" s="95" t="str">
        <f t="shared" si="1090"/>
        <v>20249</v>
      </c>
      <c r="AQ3691" s="203" t="str">
        <f t="shared" si="1091"/>
        <v>20249RMB</v>
      </c>
      <c r="AR3691" s="206" t="str">
        <f t="shared" si="1092"/>
        <v>YAMAHA_Non_Mounter</v>
      </c>
      <c r="AS3691" s="22">
        <f t="shared" si="1093"/>
        <v>9</v>
      </c>
      <c r="AT3691" s="24" t="str">
        <f t="shared" si="1094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79"/>
        <v>Q2</v>
      </c>
      <c r="E3692" s="33" t="str">
        <f t="shared" si="1099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098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7"/>
        <v>1.13</v>
      </c>
      <c r="Z3692" s="196">
        <f t="shared" si="1080"/>
        <v>810000</v>
      </c>
      <c r="AA3692" s="22">
        <v>1.0980000000000001</v>
      </c>
      <c r="AB3692" s="197">
        <f t="shared" si="1100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3"/>
        <v>35931087.732566379</v>
      </c>
      <c r="AJ3692" s="200">
        <f t="shared" si="1084"/>
        <v>4347120.3954975223</v>
      </c>
      <c r="AK3692" s="201">
        <f t="shared" si="1089"/>
        <v>0.12098493727362117</v>
      </c>
      <c r="AL3692" s="24"/>
      <c r="AM3692" s="24"/>
      <c r="AN3692" s="24"/>
      <c r="AO3692" s="24"/>
      <c r="AP3692" s="165" t="str">
        <f t="shared" si="1090"/>
        <v>20249</v>
      </c>
      <c r="AQ3692" s="203" t="str">
        <f t="shared" si="1091"/>
        <v>20249RMB</v>
      </c>
      <c r="AR3692" s="206" t="str">
        <f t="shared" si="1092"/>
        <v>YAMAHA_Mounter</v>
      </c>
      <c r="AS3692" s="22">
        <f t="shared" si="1093"/>
        <v>1</v>
      </c>
      <c r="AT3692" s="24" t="str">
        <f t="shared" si="1094"/>
        <v>0-3 months</v>
      </c>
      <c r="AU3692" s="22" t="s">
        <v>3751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79"/>
        <v>Q2</v>
      </c>
      <c r="E3693" s="33" t="str">
        <f t="shared" si="1099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3543</v>
      </c>
      <c r="K3693" s="29" t="s">
        <v>2716</v>
      </c>
      <c r="L3693" s="24" t="s">
        <v>3698</v>
      </c>
      <c r="M3693" s="13" t="s">
        <v>60</v>
      </c>
      <c r="N3693" s="13">
        <v>1</v>
      </c>
      <c r="O3693" s="22"/>
      <c r="P3693" s="202" t="str">
        <f t="shared" si="1098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7"/>
        <v>1</v>
      </c>
      <c r="Z3693" s="196">
        <f t="shared" si="1080"/>
        <v>16400000</v>
      </c>
      <c r="AA3693" s="22">
        <v>5.1799999999999999E-2</v>
      </c>
      <c r="AB3693" s="197">
        <f t="shared" si="1100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3"/>
        <v>32082250.320460182</v>
      </c>
      <c r="AJ3693" s="200">
        <f t="shared" si="1084"/>
        <v>4323122.9746477893</v>
      </c>
      <c r="AK3693" s="201">
        <f t="shared" si="1089"/>
        <v>0.1347512388147771</v>
      </c>
      <c r="AL3693" s="24"/>
      <c r="AM3693" s="24"/>
      <c r="AN3693" s="24"/>
      <c r="AO3693" s="24"/>
      <c r="AP3693" s="165" t="str">
        <f t="shared" si="1090"/>
        <v>202411</v>
      </c>
      <c r="AQ3693" s="203" t="str">
        <f t="shared" si="1091"/>
        <v>202411JPY</v>
      </c>
      <c r="AR3693" s="206" t="str">
        <f t="shared" si="1092"/>
        <v>YAMAHA_Mounter</v>
      </c>
      <c r="AS3693" s="22">
        <f t="shared" si="1093"/>
        <v>2</v>
      </c>
      <c r="AT3693" s="24" t="str">
        <f t="shared" si="1094"/>
        <v>0-3 months</v>
      </c>
      <c r="AU3693" s="22" t="s">
        <v>3745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79"/>
        <v>Q2</v>
      </c>
      <c r="E3694" s="33" t="str">
        <f t="shared" si="1099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3544</v>
      </c>
      <c r="K3694" s="29" t="s">
        <v>2716</v>
      </c>
      <c r="L3694" s="24" t="s">
        <v>3698</v>
      </c>
      <c r="M3694" s="13" t="s">
        <v>60</v>
      </c>
      <c r="N3694" s="13">
        <v>1</v>
      </c>
      <c r="O3694" s="22"/>
      <c r="P3694" s="202" t="str">
        <f t="shared" si="1098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7"/>
        <v>1.13</v>
      </c>
      <c r="Z3694" s="196">
        <f t="shared" si="1080"/>
        <v>930000</v>
      </c>
      <c r="AA3694" s="22">
        <v>1.1080000000000001</v>
      </c>
      <c r="AB3694" s="197">
        <f t="shared" si="1100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3"/>
        <v>22758096.38940867</v>
      </c>
      <c r="AJ3694" s="200">
        <f t="shared" si="1084"/>
        <v>2469357.2298956565</v>
      </c>
      <c r="AK3694" s="201">
        <f t="shared" si="1089"/>
        <v>0.10850455976822666</v>
      </c>
      <c r="AL3694" s="24"/>
      <c r="AM3694" s="24"/>
      <c r="AN3694" s="24"/>
      <c r="AO3694" s="24"/>
      <c r="AP3694" s="165" t="str">
        <f t="shared" si="1090"/>
        <v>202410</v>
      </c>
      <c r="AQ3694" s="203" t="str">
        <f t="shared" si="1091"/>
        <v>202410RMB</v>
      </c>
      <c r="AR3694" s="206" t="str">
        <f t="shared" si="1092"/>
        <v>YAMAHA_Mounter</v>
      </c>
      <c r="AS3694" s="22">
        <f t="shared" si="1093"/>
        <v>1</v>
      </c>
      <c r="AT3694" s="24" t="str">
        <f t="shared" si="1094"/>
        <v>0-3 months</v>
      </c>
      <c r="AU3694" s="22" t="s">
        <v>3751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79"/>
        <v>Q2</v>
      </c>
      <c r="E3695" s="33" t="str">
        <f t="shared" si="1099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3545</v>
      </c>
      <c r="K3695" s="29" t="s">
        <v>1932</v>
      </c>
      <c r="L3695" s="24" t="s">
        <v>3698</v>
      </c>
      <c r="M3695" s="13" t="s">
        <v>60</v>
      </c>
      <c r="N3695" s="22">
        <v>1</v>
      </c>
      <c r="O3695" s="22"/>
      <c r="P3695" s="202" t="str">
        <f t="shared" si="1098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7"/>
        <v>1.13</v>
      </c>
      <c r="Z3695" s="196">
        <f t="shared" si="1080"/>
        <v>779936</v>
      </c>
      <c r="AA3695" s="22">
        <v>1.0980000000000001</v>
      </c>
      <c r="AB3695" s="197">
        <f t="shared" si="1100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3"/>
        <v>35931087.732566379</v>
      </c>
      <c r="AJ3695" s="200">
        <f t="shared" si="1084"/>
        <v>4347120.3954975223</v>
      </c>
      <c r="AK3695" s="201">
        <f t="shared" si="1089"/>
        <v>0.12098493727362117</v>
      </c>
      <c r="AL3695" s="24"/>
      <c r="AM3695" s="24"/>
      <c r="AN3695" s="24"/>
      <c r="AO3695" s="24"/>
      <c r="AP3695" s="165" t="str">
        <f t="shared" si="1090"/>
        <v>20249</v>
      </c>
      <c r="AQ3695" s="203" t="str">
        <f t="shared" si="1091"/>
        <v>20249RMB</v>
      </c>
      <c r="AR3695" s="206" t="str">
        <f t="shared" si="1092"/>
        <v>YAMAHA_Mounter</v>
      </c>
      <c r="AS3695" s="22">
        <f t="shared" si="1093"/>
        <v>0</v>
      </c>
      <c r="AT3695" s="24" t="str">
        <f t="shared" si="1094"/>
        <v>0-3 months</v>
      </c>
      <c r="AU3695" s="22" t="s">
        <v>3751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79"/>
        <v>Q2</v>
      </c>
      <c r="E3696" s="33" t="str">
        <f t="shared" si="1099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098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7"/>
        <v>1.13</v>
      </c>
      <c r="Z3696" s="196">
        <f t="shared" si="1080"/>
        <v>420000</v>
      </c>
      <c r="AA3696" s="22">
        <v>1.1080000000000001</v>
      </c>
      <c r="AB3696" s="197">
        <f t="shared" si="1100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3"/>
        <v>22758096.38940867</v>
      </c>
      <c r="AJ3696" s="200">
        <f t="shared" si="1084"/>
        <v>2469357.2298956565</v>
      </c>
      <c r="AK3696" s="201">
        <f t="shared" si="1089"/>
        <v>0.10850455976822666</v>
      </c>
      <c r="AL3696" s="24"/>
      <c r="AM3696" s="24"/>
      <c r="AN3696" s="24"/>
      <c r="AO3696" s="24"/>
      <c r="AP3696" s="165" t="str">
        <f t="shared" si="1090"/>
        <v>202410</v>
      </c>
      <c r="AQ3696" s="203" t="str">
        <f t="shared" si="1091"/>
        <v>202410RMB</v>
      </c>
      <c r="AR3696" s="206" t="str">
        <f t="shared" si="1092"/>
        <v>YAMAHA_Mounter</v>
      </c>
      <c r="AS3696" s="22">
        <f t="shared" si="1093"/>
        <v>1</v>
      </c>
      <c r="AT3696" s="24" t="str">
        <f t="shared" si="1094"/>
        <v>0-3 months</v>
      </c>
      <c r="AU3696" s="22" t="s">
        <v>3751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79"/>
        <v>Q2</v>
      </c>
      <c r="E3697" s="33" t="str">
        <f t="shared" si="1099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098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7"/>
        <v>1.13</v>
      </c>
      <c r="Z3697" s="196">
        <f t="shared" si="1080"/>
        <v>420000</v>
      </c>
      <c r="AA3697" s="22">
        <v>1.1080000000000001</v>
      </c>
      <c r="AB3697" s="197">
        <f t="shared" si="1100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3"/>
        <v>22758096.38940867</v>
      </c>
      <c r="AJ3697" s="200">
        <f t="shared" si="1084"/>
        <v>2469357.2298956565</v>
      </c>
      <c r="AK3697" s="201">
        <f t="shared" si="1089"/>
        <v>0.10850455976822666</v>
      </c>
      <c r="AL3697" s="24"/>
      <c r="AM3697" s="24"/>
      <c r="AN3697" s="24"/>
      <c r="AO3697" s="24"/>
      <c r="AP3697" s="165" t="str">
        <f t="shared" si="1090"/>
        <v>202410</v>
      </c>
      <c r="AQ3697" s="203" t="str">
        <f t="shared" si="1091"/>
        <v>202410RMB</v>
      </c>
      <c r="AR3697" s="206" t="str">
        <f t="shared" si="1092"/>
        <v>YAMAHA_Mounter</v>
      </c>
      <c r="AS3697" s="22">
        <f t="shared" si="1093"/>
        <v>1</v>
      </c>
      <c r="AT3697" s="24" t="str">
        <f t="shared" si="1094"/>
        <v>0-3 months</v>
      </c>
      <c r="AU3697" s="22" t="s">
        <v>3751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1">IF(B3698="","",IF(AND(C3698&gt;=10,C3698&lt;=12),"Q3",IF(AND(C3698&gt;=1,C3698&lt;=3),"Q4",IF(AND(C3698&gt;=7,C3698&lt;=9),"Q2",IF(AND(C3698&gt;=4,C3698&lt;=6),"Q1")))))</f>
        <v>Q2</v>
      </c>
      <c r="E3698" s="33" t="str">
        <f t="shared" si="1099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1098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7"/>
        <v>1</v>
      </c>
      <c r="Z3698" s="196">
        <f t="shared" ref="Z3698:Z3724" si="1102">IF(X3698="","",X3698*MAX(O3698,N3698))</f>
        <v>71000</v>
      </c>
      <c r="AA3698" s="22">
        <v>7.8</v>
      </c>
      <c r="AB3698" s="197">
        <f t="shared" si="1100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3"/>
        <v>23146578.081415929</v>
      </c>
      <c r="AJ3698" s="200">
        <f t="shared" si="1084"/>
        <v>2745231.3889985834</v>
      </c>
      <c r="AK3698" s="201">
        <f t="shared" si="1089"/>
        <v>0.11860204041143742</v>
      </c>
      <c r="AL3698" s="24"/>
      <c r="AM3698" s="24"/>
      <c r="AN3698" s="24"/>
      <c r="AO3698" s="24"/>
      <c r="AP3698" s="165" t="str">
        <f t="shared" si="1090"/>
        <v>20241</v>
      </c>
      <c r="AQ3698" s="203" t="str">
        <f t="shared" si="1091"/>
        <v>20241USD</v>
      </c>
      <c r="AR3698" s="206" t="str">
        <f t="shared" si="1092"/>
        <v>YAMAHA_Mounter</v>
      </c>
      <c r="AS3698" s="22" t="str">
        <f t="shared" si="1093"/>
        <v/>
      </c>
      <c r="AT3698" s="24" t="str">
        <f t="shared" si="1094"/>
        <v/>
      </c>
      <c r="AU3698" s="22" t="s">
        <v>3746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1"/>
        <v>Q2</v>
      </c>
      <c r="E3699" s="33" t="str">
        <f t="shared" si="1099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1098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7"/>
        <v>1</v>
      </c>
      <c r="Z3699" s="196">
        <f t="shared" si="1102"/>
        <v>71000</v>
      </c>
      <c r="AA3699" s="22">
        <v>7.8</v>
      </c>
      <c r="AB3699" s="197">
        <f t="shared" si="1100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3"/>
        <v>23146578.081415929</v>
      </c>
      <c r="AJ3699" s="200">
        <f t="shared" si="1084"/>
        <v>2745231.3889985834</v>
      </c>
      <c r="AK3699" s="201">
        <f t="shared" si="1089"/>
        <v>0.11860204041143742</v>
      </c>
      <c r="AL3699" s="24"/>
      <c r="AM3699" s="24"/>
      <c r="AN3699" s="24"/>
      <c r="AO3699" s="24"/>
      <c r="AP3699" s="165" t="str">
        <f t="shared" si="1090"/>
        <v>20241</v>
      </c>
      <c r="AQ3699" s="203" t="str">
        <f t="shared" si="1091"/>
        <v>20241USD</v>
      </c>
      <c r="AR3699" s="206" t="str">
        <f t="shared" si="1092"/>
        <v>YAMAHA_Mounter</v>
      </c>
      <c r="AS3699" s="22" t="str">
        <f t="shared" si="1093"/>
        <v/>
      </c>
      <c r="AT3699" s="24" t="str">
        <f t="shared" si="1094"/>
        <v/>
      </c>
      <c r="AU3699" s="22" t="s">
        <v>3746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1"/>
        <v>Q2</v>
      </c>
      <c r="E3700" s="33" t="str">
        <f t="shared" si="1099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098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3">IF(W3700="","",IF(W3700="RMB","1.13", "1"))</f>
        <v>1.13</v>
      </c>
      <c r="Z3700" s="196">
        <f t="shared" si="1102"/>
        <v>375000</v>
      </c>
      <c r="AA3700" s="22">
        <v>1.1080000000000001</v>
      </c>
      <c r="AB3700" s="197">
        <f t="shared" si="1100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3"/>
        <v>22758096.38940867</v>
      </c>
      <c r="AJ3700" s="200">
        <f t="shared" si="1084"/>
        <v>2469357.2298956565</v>
      </c>
      <c r="AK3700" s="201">
        <f t="shared" si="1089"/>
        <v>0.10850455976822666</v>
      </c>
      <c r="AL3700" s="24"/>
      <c r="AM3700" s="24"/>
      <c r="AN3700" s="24"/>
      <c r="AO3700" s="24"/>
      <c r="AP3700" s="165" t="str">
        <f t="shared" si="1090"/>
        <v>202410</v>
      </c>
      <c r="AQ3700" s="203" t="str">
        <f t="shared" si="1091"/>
        <v>202410RMB</v>
      </c>
      <c r="AR3700" s="206" t="str">
        <f t="shared" si="1092"/>
        <v>YAMAHA_Non_Mounter</v>
      </c>
      <c r="AS3700" s="22">
        <f t="shared" si="1093"/>
        <v>1</v>
      </c>
      <c r="AT3700" s="24" t="str">
        <f t="shared" si="1094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1"/>
        <v>Q2</v>
      </c>
      <c r="E3701" s="33" t="str">
        <f t="shared" si="1099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098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3"/>
        <v>1.13</v>
      </c>
      <c r="Z3701" s="196">
        <f t="shared" si="1102"/>
        <v>375000</v>
      </c>
      <c r="AA3701" s="22">
        <v>1.1080000000000001</v>
      </c>
      <c r="AB3701" s="197">
        <f t="shared" si="1100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3"/>
        <v>22758096.38940867</v>
      </c>
      <c r="AJ3701" s="200">
        <f t="shared" si="1084"/>
        <v>2469357.2298956565</v>
      </c>
      <c r="AK3701" s="201">
        <f t="shared" si="1089"/>
        <v>0.10850455976822666</v>
      </c>
      <c r="AL3701" s="24"/>
      <c r="AM3701" s="24"/>
      <c r="AN3701" s="24"/>
      <c r="AO3701" s="24"/>
      <c r="AP3701" s="165" t="str">
        <f t="shared" si="1090"/>
        <v>202410</v>
      </c>
      <c r="AQ3701" s="203" t="str">
        <f t="shared" si="1091"/>
        <v>202410RMB</v>
      </c>
      <c r="AR3701" s="206" t="str">
        <f t="shared" si="1092"/>
        <v>YAMAHA_Non_Mounter</v>
      </c>
      <c r="AS3701" s="22">
        <f t="shared" si="1093"/>
        <v>1</v>
      </c>
      <c r="AT3701" s="24" t="str">
        <f t="shared" si="1094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1"/>
        <v>Q2</v>
      </c>
      <c r="E3702" s="33" t="str">
        <f t="shared" si="1099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098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3"/>
        <v>1.13</v>
      </c>
      <c r="Z3702" s="196">
        <f t="shared" si="1102"/>
        <v>740000.00000320002</v>
      </c>
      <c r="AA3702" s="22">
        <v>1.1080000000000001</v>
      </c>
      <c r="AB3702" s="197">
        <f t="shared" si="1100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3"/>
        <v>22758096.38940867</v>
      </c>
      <c r="AJ3702" s="200">
        <f t="shared" si="1084"/>
        <v>2469357.2298956565</v>
      </c>
      <c r="AK3702" s="201">
        <f t="shared" si="1089"/>
        <v>0.10850455976822666</v>
      </c>
      <c r="AL3702" s="24"/>
      <c r="AM3702" s="24"/>
      <c r="AN3702" s="24"/>
      <c r="AO3702" s="24"/>
      <c r="AP3702" s="165" t="str">
        <f t="shared" si="1090"/>
        <v>202410</v>
      </c>
      <c r="AQ3702" s="203" t="str">
        <f t="shared" si="1091"/>
        <v>202410RMB</v>
      </c>
      <c r="AR3702" s="206" t="str">
        <f t="shared" si="1092"/>
        <v>YAMAHA_Mounter</v>
      </c>
      <c r="AS3702" s="22">
        <f t="shared" si="1093"/>
        <v>2</v>
      </c>
      <c r="AT3702" s="24" t="str">
        <f t="shared" si="1094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1"/>
        <v>Q2</v>
      </c>
      <c r="E3703" s="33" t="str">
        <f t="shared" si="1099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098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3"/>
        <v>1.13</v>
      </c>
      <c r="Z3703" s="196">
        <f t="shared" si="1102"/>
        <v>740000.00000320002</v>
      </c>
      <c r="AA3703" s="22">
        <v>1.1080000000000001</v>
      </c>
      <c r="AB3703" s="197">
        <f t="shared" si="1100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3"/>
        <v>22758096.38940867</v>
      </c>
      <c r="AJ3703" s="200">
        <f t="shared" si="1084"/>
        <v>2469357.2298956565</v>
      </c>
      <c r="AK3703" s="201">
        <f t="shared" si="1089"/>
        <v>0.10850455976822666</v>
      </c>
      <c r="AL3703" s="24"/>
      <c r="AM3703" s="24"/>
      <c r="AN3703" s="24"/>
      <c r="AO3703" s="24"/>
      <c r="AP3703" s="165" t="str">
        <f t="shared" si="1090"/>
        <v>202410</v>
      </c>
      <c r="AQ3703" s="203" t="str">
        <f t="shared" si="1091"/>
        <v>202410RMB</v>
      </c>
      <c r="AR3703" s="206" t="str">
        <f t="shared" si="1092"/>
        <v>YAMAHA_Mounter</v>
      </c>
      <c r="AS3703" s="22">
        <f t="shared" si="1093"/>
        <v>2</v>
      </c>
      <c r="AT3703" s="24" t="str">
        <f t="shared" si="1094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1"/>
        <v>Q2</v>
      </c>
      <c r="E3704" s="33" t="str">
        <f t="shared" si="1099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098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3"/>
        <v>1.13</v>
      </c>
      <c r="Z3704" s="196">
        <f t="shared" si="1102"/>
        <v>520000.00001079991</v>
      </c>
      <c r="AA3704" s="22">
        <v>1.1080000000000001</v>
      </c>
      <c r="AB3704" s="197">
        <f t="shared" si="1100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3"/>
        <v>22758096.38940867</v>
      </c>
      <c r="AJ3704" s="200">
        <f t="shared" si="1084"/>
        <v>2469357.2298956565</v>
      </c>
      <c r="AK3704" s="201">
        <f t="shared" si="1089"/>
        <v>0.10850455976822666</v>
      </c>
      <c r="AL3704" s="24"/>
      <c r="AM3704" s="24"/>
      <c r="AN3704" s="24"/>
      <c r="AO3704" s="24"/>
      <c r="AP3704" s="165" t="str">
        <f t="shared" si="1090"/>
        <v>202410</v>
      </c>
      <c r="AQ3704" s="203" t="str">
        <f t="shared" si="1091"/>
        <v>202410RMB</v>
      </c>
      <c r="AR3704" s="206" t="str">
        <f t="shared" si="1092"/>
        <v>YAMAHA_Mounter</v>
      </c>
      <c r="AS3704" s="22">
        <f t="shared" si="1093"/>
        <v>2</v>
      </c>
      <c r="AT3704" s="24" t="str">
        <f t="shared" si="1094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1"/>
        <v>Q2</v>
      </c>
      <c r="E3705" s="33" t="str">
        <f t="shared" si="1099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098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3"/>
        <v>1.13</v>
      </c>
      <c r="Z3705" s="196">
        <f t="shared" si="1102"/>
        <v>520000.00001079991</v>
      </c>
      <c r="AA3705" s="22">
        <v>1.1080000000000001</v>
      </c>
      <c r="AB3705" s="197">
        <f t="shared" si="1100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3"/>
        <v>22758096.38940867</v>
      </c>
      <c r="AJ3705" s="200">
        <f t="shared" si="1084"/>
        <v>2469357.2298956565</v>
      </c>
      <c r="AK3705" s="201">
        <f t="shared" si="1089"/>
        <v>0.10850455976822666</v>
      </c>
      <c r="AL3705" s="24"/>
      <c r="AM3705" s="24"/>
      <c r="AN3705" s="24"/>
      <c r="AO3705" s="24"/>
      <c r="AP3705" s="165" t="str">
        <f t="shared" si="1090"/>
        <v>202410</v>
      </c>
      <c r="AQ3705" s="203" t="str">
        <f t="shared" si="1091"/>
        <v>202410RMB</v>
      </c>
      <c r="AR3705" s="206" t="str">
        <f t="shared" si="1092"/>
        <v>YAMAHA_Mounter</v>
      </c>
      <c r="AS3705" s="22">
        <f t="shared" si="1093"/>
        <v>2</v>
      </c>
      <c r="AT3705" s="24" t="str">
        <f t="shared" si="1094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1"/>
        <v>Q2</v>
      </c>
      <c r="E3706" s="33" t="str">
        <f t="shared" si="1099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4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3"/>
        <v>1.13</v>
      </c>
      <c r="Z3706" s="196">
        <f t="shared" si="1102"/>
        <v>435000.00000068999</v>
      </c>
      <c r="AA3706" s="22">
        <v>1.1080000000000001</v>
      </c>
      <c r="AB3706" s="197">
        <f t="shared" si="1100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3"/>
        <v>22758096.38940867</v>
      </c>
      <c r="AJ3706" s="200">
        <f t="shared" si="1084"/>
        <v>2469357.2298956565</v>
      </c>
      <c r="AK3706" s="201">
        <f t="shared" si="1089"/>
        <v>0.10850455976822666</v>
      </c>
      <c r="AL3706" s="24"/>
      <c r="AM3706" s="24"/>
      <c r="AN3706" s="24"/>
      <c r="AO3706" s="24"/>
      <c r="AP3706" s="165" t="str">
        <f t="shared" si="1090"/>
        <v>202410</v>
      </c>
      <c r="AQ3706" s="203" t="str">
        <f t="shared" si="1091"/>
        <v>202410RMB</v>
      </c>
      <c r="AR3706" s="206" t="str">
        <f t="shared" si="1092"/>
        <v>YAMAHA_Non_Mounter</v>
      </c>
      <c r="AS3706" s="22">
        <f t="shared" si="1093"/>
        <v>2</v>
      </c>
      <c r="AT3706" s="24" t="str">
        <f t="shared" si="1094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1"/>
        <v>Q2</v>
      </c>
      <c r="E3707" s="33" t="str">
        <f t="shared" si="1099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4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3"/>
        <v>1.13</v>
      </c>
      <c r="Z3707" s="196">
        <f t="shared" si="1102"/>
        <v>515000</v>
      </c>
      <c r="AA3707" s="22">
        <v>1.0760000000000001</v>
      </c>
      <c r="AB3707" s="197">
        <f t="shared" si="1100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3"/>
        <v>15965524.256637167</v>
      </c>
      <c r="AJ3707" s="200">
        <f t="shared" si="1084"/>
        <v>2480116.5996584073</v>
      </c>
      <c r="AK3707" s="201">
        <f t="shared" si="1089"/>
        <v>0.15534200817911609</v>
      </c>
      <c r="AL3707" s="24"/>
      <c r="AM3707" s="24"/>
      <c r="AN3707" s="24"/>
      <c r="AO3707" s="24"/>
      <c r="AP3707" s="165" t="str">
        <f t="shared" si="1090"/>
        <v>202412</v>
      </c>
      <c r="AQ3707" s="203" t="str">
        <f t="shared" si="1091"/>
        <v>202412RMB</v>
      </c>
      <c r="AR3707" s="206" t="str">
        <f t="shared" si="1092"/>
        <v>YAMAHA_Mounter</v>
      </c>
      <c r="AS3707" s="22">
        <f t="shared" si="1093"/>
        <v>3</v>
      </c>
      <c r="AT3707" s="24" t="str">
        <f t="shared" si="1094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1"/>
        <v>Q2</v>
      </c>
      <c r="E3708" s="33" t="str">
        <f t="shared" si="1099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4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3"/>
        <v>1.13</v>
      </c>
      <c r="Z3708" s="196">
        <f t="shared" si="1102"/>
        <v>800000</v>
      </c>
      <c r="AA3708" s="22">
        <v>1.0920000000000001</v>
      </c>
      <c r="AB3708" s="197">
        <f t="shared" si="1100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3"/>
        <v>32082250.320460182</v>
      </c>
      <c r="AJ3708" s="200">
        <f t="shared" si="1084"/>
        <v>4323122.9746477893</v>
      </c>
      <c r="AK3708" s="201">
        <f t="shared" si="1089"/>
        <v>0.1347512388147771</v>
      </c>
      <c r="AL3708" s="24"/>
      <c r="AM3708" s="24"/>
      <c r="AN3708" s="24"/>
      <c r="AO3708" s="24"/>
      <c r="AP3708" s="165" t="str">
        <f t="shared" si="1090"/>
        <v>202411</v>
      </c>
      <c r="AQ3708" s="203" t="str">
        <f t="shared" si="1091"/>
        <v>202411RMB</v>
      </c>
      <c r="AR3708" s="206" t="str">
        <f t="shared" si="1092"/>
        <v>YAMAHA_Mounter</v>
      </c>
      <c r="AS3708" s="22">
        <f t="shared" si="1093"/>
        <v>2</v>
      </c>
      <c r="AT3708" s="24" t="str">
        <f t="shared" si="1094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1"/>
        <v>Q2</v>
      </c>
      <c r="E3709" s="33" t="str">
        <f t="shared" si="1099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4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3"/>
        <v>1.13</v>
      </c>
      <c r="Z3709" s="196">
        <f t="shared" si="1102"/>
        <v>800000</v>
      </c>
      <c r="AA3709" s="22">
        <v>1.0920000000000001</v>
      </c>
      <c r="AB3709" s="197">
        <f t="shared" si="1100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3"/>
        <v>32082250.320460182</v>
      </c>
      <c r="AJ3709" s="200">
        <f t="shared" si="1084"/>
        <v>4323122.9746477893</v>
      </c>
      <c r="AK3709" s="201">
        <f t="shared" si="1089"/>
        <v>0.1347512388147771</v>
      </c>
      <c r="AL3709" s="24"/>
      <c r="AM3709" s="24"/>
      <c r="AN3709" s="24"/>
      <c r="AO3709" s="24"/>
      <c r="AP3709" s="165" t="str">
        <f t="shared" si="1090"/>
        <v>202411</v>
      </c>
      <c r="AQ3709" s="203" t="str">
        <f t="shared" si="1091"/>
        <v>202411RMB</v>
      </c>
      <c r="AR3709" s="206" t="str">
        <f t="shared" si="1092"/>
        <v>YAMAHA_Mounter</v>
      </c>
      <c r="AS3709" s="22">
        <f t="shared" si="1093"/>
        <v>2</v>
      </c>
      <c r="AT3709" s="24" t="str">
        <f t="shared" si="1094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1"/>
        <v>Q2</v>
      </c>
      <c r="E3710" s="33" t="str">
        <f t="shared" si="1099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4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3"/>
        <v>1.13</v>
      </c>
      <c r="Z3710" s="196">
        <f t="shared" si="1102"/>
        <v>540000</v>
      </c>
      <c r="AA3710" s="22">
        <v>1.0920000000000001</v>
      </c>
      <c r="AB3710" s="197">
        <f t="shared" si="1100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3"/>
        <v>32082250.320460182</v>
      </c>
      <c r="AJ3710" s="200">
        <f t="shared" si="1084"/>
        <v>4323122.9746477893</v>
      </c>
      <c r="AK3710" s="201">
        <f t="shared" si="1089"/>
        <v>0.1347512388147771</v>
      </c>
      <c r="AL3710" s="24"/>
      <c r="AM3710" s="24"/>
      <c r="AN3710" s="24"/>
      <c r="AO3710" s="24"/>
      <c r="AP3710" s="165" t="str">
        <f t="shared" si="1090"/>
        <v>202411</v>
      </c>
      <c r="AQ3710" s="203" t="str">
        <f t="shared" si="1091"/>
        <v>202411RMB</v>
      </c>
      <c r="AR3710" s="206" t="str">
        <f t="shared" si="1092"/>
        <v>YAMAHA_Mounter</v>
      </c>
      <c r="AS3710" s="22">
        <f t="shared" si="1093"/>
        <v>2</v>
      </c>
      <c r="AT3710" s="24" t="str">
        <f t="shared" si="1094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1"/>
        <v>Q2</v>
      </c>
      <c r="E3711" s="33" t="str">
        <f t="shared" si="1099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4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3"/>
        <v>1.13</v>
      </c>
      <c r="Z3711" s="196">
        <f t="shared" si="1102"/>
        <v>540000</v>
      </c>
      <c r="AA3711" s="22">
        <v>1.0920000000000001</v>
      </c>
      <c r="AB3711" s="197">
        <f t="shared" si="1100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3"/>
        <v>32082250.320460182</v>
      </c>
      <c r="AJ3711" s="200">
        <f t="shared" si="1084"/>
        <v>4323122.9746477893</v>
      </c>
      <c r="AK3711" s="201">
        <f t="shared" si="1089"/>
        <v>0.1347512388147771</v>
      </c>
      <c r="AL3711" s="24"/>
      <c r="AM3711" s="24"/>
      <c r="AN3711" s="24"/>
      <c r="AO3711" s="24"/>
      <c r="AP3711" s="165" t="str">
        <f t="shared" si="1090"/>
        <v>202411</v>
      </c>
      <c r="AQ3711" s="203" t="str">
        <f t="shared" si="1091"/>
        <v>202411RMB</v>
      </c>
      <c r="AR3711" s="206" t="str">
        <f t="shared" si="1092"/>
        <v>YAMAHA_Mounter</v>
      </c>
      <c r="AS3711" s="22">
        <f t="shared" si="1093"/>
        <v>2</v>
      </c>
      <c r="AT3711" s="24" t="str">
        <f t="shared" si="1094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1"/>
        <v>Q2</v>
      </c>
      <c r="E3712" s="33" t="str">
        <f t="shared" si="1099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4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3"/>
        <v>1.13</v>
      </c>
      <c r="Z3712" s="196">
        <f t="shared" si="1102"/>
        <v>350000</v>
      </c>
      <c r="AA3712" s="22">
        <v>1.0920000000000001</v>
      </c>
      <c r="AB3712" s="197">
        <f t="shared" si="1100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3"/>
        <v>32082250.320460182</v>
      </c>
      <c r="AJ3712" s="200">
        <f t="shared" si="1084"/>
        <v>4323122.9746477893</v>
      </c>
      <c r="AK3712" s="201">
        <f t="shared" si="1089"/>
        <v>0.1347512388147771</v>
      </c>
      <c r="AL3712" s="24"/>
      <c r="AM3712" s="24"/>
      <c r="AN3712" s="24"/>
      <c r="AO3712" s="24"/>
      <c r="AP3712" s="165" t="str">
        <f t="shared" si="1090"/>
        <v>202411</v>
      </c>
      <c r="AQ3712" s="203" t="str">
        <f t="shared" si="1091"/>
        <v>202411RMB</v>
      </c>
      <c r="AR3712" s="206" t="str">
        <f t="shared" si="1092"/>
        <v>YAMAHA_Non_Mounter</v>
      </c>
      <c r="AS3712" s="22">
        <f t="shared" si="1093"/>
        <v>2</v>
      </c>
      <c r="AT3712" s="24" t="str">
        <f t="shared" si="1094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1"/>
        <v>Q2</v>
      </c>
      <c r="E3713" s="33" t="str">
        <f t="shared" si="1099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4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3"/>
        <v>1.13</v>
      </c>
      <c r="Z3713" s="196">
        <f t="shared" si="1102"/>
        <v>350000</v>
      </c>
      <c r="AA3713" s="22">
        <v>1.0920000000000001</v>
      </c>
      <c r="AB3713" s="197">
        <f t="shared" si="1100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3"/>
        <v>32082250.320460182</v>
      </c>
      <c r="AJ3713" s="200">
        <f t="shared" si="1084"/>
        <v>4323122.9746477893</v>
      </c>
      <c r="AK3713" s="201">
        <f t="shared" si="1089"/>
        <v>0.1347512388147771</v>
      </c>
      <c r="AL3713" s="24"/>
      <c r="AM3713" s="24"/>
      <c r="AN3713" s="24"/>
      <c r="AO3713" s="24"/>
      <c r="AP3713" s="165" t="str">
        <f t="shared" si="1090"/>
        <v>202411</v>
      </c>
      <c r="AQ3713" s="203" t="str">
        <f t="shared" si="1091"/>
        <v>202411RMB</v>
      </c>
      <c r="AR3713" s="206" t="str">
        <f t="shared" si="1092"/>
        <v>YAMAHA_Non_Mounter</v>
      </c>
      <c r="AS3713" s="22">
        <f t="shared" si="1093"/>
        <v>2</v>
      </c>
      <c r="AT3713" s="24" t="str">
        <f t="shared" si="1094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1"/>
        <v>Q2</v>
      </c>
      <c r="E3714" s="33" t="str">
        <f t="shared" si="1099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4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3"/>
        <v>1.13</v>
      </c>
      <c r="Z3714" s="196">
        <f t="shared" si="1102"/>
        <v>460000</v>
      </c>
      <c r="AA3714" s="22">
        <v>1.1080000000000001</v>
      </c>
      <c r="AB3714" s="197">
        <f t="shared" si="1100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05">IF(P3714="C66 SERVICE","",SUMIFS(AB:AB,F:F,F3714,G:G,G3714,E:E,E3714))</f>
        <v>499582152.5142017</v>
      </c>
      <c r="AJ3714" s="200">
        <f t="shared" ref="AJ3714:AJ3777" si="1106">IF(P3714="C66 SERVICE","",SUMIFS(AC:AC,F:F,F3714,G:G,G3714,E:E,E3714))</f>
        <v>59520528.679470733</v>
      </c>
      <c r="AK3714" s="201">
        <f t="shared" si="1089"/>
        <v>0.11914062257814291</v>
      </c>
      <c r="AL3714" s="24"/>
      <c r="AM3714" s="24"/>
      <c r="AN3714" s="24"/>
      <c r="AO3714" s="24"/>
      <c r="AP3714" s="165" t="str">
        <f t="shared" si="1090"/>
        <v>CancelCancel</v>
      </c>
      <c r="AQ3714" s="203" t="str">
        <f t="shared" si="1091"/>
        <v>CancelCancelRMB</v>
      </c>
      <c r="AR3714" s="206" t="str">
        <f t="shared" si="1092"/>
        <v>YAMAHA_Mounter</v>
      </c>
      <c r="AS3714" s="22" t="str">
        <f t="shared" si="1093"/>
        <v/>
      </c>
      <c r="AT3714" s="24" t="str">
        <f t="shared" si="1094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1"/>
        <v>Q2</v>
      </c>
      <c r="E3715" s="33" t="str">
        <f t="shared" si="1099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4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3"/>
        <v>1.13</v>
      </c>
      <c r="Z3715" s="196">
        <f t="shared" si="1102"/>
        <v>685278</v>
      </c>
      <c r="AA3715" s="22">
        <v>1.1080000000000001</v>
      </c>
      <c r="AB3715" s="197">
        <f t="shared" si="1100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05"/>
        <v>22758096.38940867</v>
      </c>
      <c r="AJ3715" s="200">
        <f t="shared" si="1106"/>
        <v>2469357.2298956565</v>
      </c>
      <c r="AK3715" s="201">
        <f t="shared" si="1089"/>
        <v>0.10850455976822666</v>
      </c>
      <c r="AL3715" s="24"/>
      <c r="AM3715" s="24"/>
      <c r="AN3715" s="24"/>
      <c r="AO3715" s="24"/>
      <c r="AP3715" s="165" t="str">
        <f t="shared" si="1090"/>
        <v>202410</v>
      </c>
      <c r="AQ3715" s="203" t="str">
        <f t="shared" si="1091"/>
        <v>202410RMB</v>
      </c>
      <c r="AR3715" s="206" t="str">
        <f t="shared" si="1092"/>
        <v>YAMAHA_Mounter</v>
      </c>
      <c r="AS3715" s="22">
        <f t="shared" si="1093"/>
        <v>1</v>
      </c>
      <c r="AT3715" s="24" t="str">
        <f t="shared" si="1094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1"/>
        <v>Q2</v>
      </c>
      <c r="E3716" s="33" t="str">
        <f t="shared" si="1099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4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3"/>
        <v>1.13</v>
      </c>
      <c r="Z3716" s="196">
        <f t="shared" si="1102"/>
        <v>685278</v>
      </c>
      <c r="AA3716" s="22">
        <v>1.1080000000000001</v>
      </c>
      <c r="AB3716" s="197">
        <f t="shared" si="1100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05"/>
        <v>22758096.38940867</v>
      </c>
      <c r="AJ3716" s="200">
        <f t="shared" si="1106"/>
        <v>2469357.2298956565</v>
      </c>
      <c r="AK3716" s="201">
        <f t="shared" si="1089"/>
        <v>0.10850455976822666</v>
      </c>
      <c r="AL3716" s="24"/>
      <c r="AM3716" s="24"/>
      <c r="AN3716" s="24"/>
      <c r="AO3716" s="24"/>
      <c r="AP3716" s="165" t="str">
        <f t="shared" si="1090"/>
        <v>202410</v>
      </c>
      <c r="AQ3716" s="203" t="str">
        <f t="shared" si="1091"/>
        <v>202410RMB</v>
      </c>
      <c r="AR3716" s="206" t="str">
        <f t="shared" si="1092"/>
        <v>YAMAHA_Mounter</v>
      </c>
      <c r="AS3716" s="22">
        <f t="shared" si="1093"/>
        <v>1</v>
      </c>
      <c r="AT3716" s="24" t="str">
        <f t="shared" si="1094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1"/>
        <v>Q2</v>
      </c>
      <c r="E3717" s="33" t="str">
        <f t="shared" si="1099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4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3"/>
        <v>1.13</v>
      </c>
      <c r="Z3717" s="196">
        <f t="shared" si="1102"/>
        <v>820000</v>
      </c>
      <c r="AA3717" s="22">
        <v>1.0640000000000001</v>
      </c>
      <c r="AB3717" s="197">
        <f t="shared" si="1100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05"/>
        <v>32082250.320460182</v>
      </c>
      <c r="AJ3717" s="200">
        <f t="shared" si="1106"/>
        <v>4323122.9746477893</v>
      </c>
      <c r="AK3717" s="201">
        <f t="shared" si="1089"/>
        <v>0.1347512388147771</v>
      </c>
      <c r="AL3717" s="24"/>
      <c r="AM3717" s="24"/>
      <c r="AN3717" s="24"/>
      <c r="AO3717" s="24"/>
      <c r="AP3717" s="165" t="str">
        <f t="shared" si="1090"/>
        <v>202411</v>
      </c>
      <c r="AQ3717" s="203" t="str">
        <f t="shared" si="1091"/>
        <v>202411RMB</v>
      </c>
      <c r="AR3717" s="206" t="str">
        <f t="shared" si="1092"/>
        <v>YAMAHA_Mounter</v>
      </c>
      <c r="AS3717" s="22">
        <f t="shared" si="1093"/>
        <v>2</v>
      </c>
      <c r="AT3717" s="24" t="str">
        <f t="shared" si="1094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1"/>
        <v>Q2</v>
      </c>
      <c r="E3718" s="33" t="str">
        <f t="shared" si="1099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4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3"/>
        <v>1.13</v>
      </c>
      <c r="Z3718" s="196">
        <f t="shared" si="1102"/>
        <v>723360</v>
      </c>
      <c r="AA3718" s="22">
        <v>1.0640000000000001</v>
      </c>
      <c r="AB3718" s="197">
        <f t="shared" si="1100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05"/>
        <v>32082250.320460182</v>
      </c>
      <c r="AJ3718" s="200">
        <f t="shared" si="1106"/>
        <v>4323122.9746477893</v>
      </c>
      <c r="AK3718" s="201">
        <f t="shared" ref="AK3718:AK3724" si="1111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2">IF(F3718="","",F3718&amp;G3718)</f>
        <v>202411</v>
      </c>
      <c r="AQ3718" s="203" t="str">
        <f t="shared" ref="AQ3718:AQ3724" si="1113">IF(W3718="","",F3718&amp;G3718&amp;W3718)</f>
        <v>202411RMB</v>
      </c>
      <c r="AR3718" s="206" t="str">
        <f t="shared" ref="AR3718:AR3724" si="1114">IFERROR(IF(AND(M3718="YAMAHA", R3718="C28"), "YAMAHA_Non_Mounter", IF(AND(M3718="YAMAHA", R3718="C49"), "YAMAHA_Mounter", M3718)),"")</f>
        <v>YAMAHA_Mounter</v>
      </c>
      <c r="AS3718" s="22">
        <f t="shared" ref="AS3718:AS3724" si="1115">IFERROR(IF(OR(G3718="TBA", G3718=""), "", DATEDIF(DATE(B3718, C3718, 1), DATE(F3718, G3718, 1), "M")),"")</f>
        <v>2</v>
      </c>
      <c r="AT3718" s="24" t="str">
        <f t="shared" ref="AT3718:AT3724" si="1116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1"/>
        <v>Q2</v>
      </c>
      <c r="E3719" s="33" t="str">
        <f t="shared" ref="E3719:E3720" si="1117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4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3"/>
        <v>1.13</v>
      </c>
      <c r="Z3719" s="196">
        <f t="shared" si="1102"/>
        <v>645000</v>
      </c>
      <c r="AA3719" s="22">
        <v>1.1080000000000001</v>
      </c>
      <c r="AB3719" s="197">
        <f t="shared" si="1100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05"/>
        <v>22758096.38940867</v>
      </c>
      <c r="AJ3719" s="200">
        <f t="shared" si="1106"/>
        <v>2469357.2298956565</v>
      </c>
      <c r="AK3719" s="201">
        <f t="shared" si="1111"/>
        <v>0.10850455976822666</v>
      </c>
      <c r="AL3719" s="24"/>
      <c r="AM3719" s="24"/>
      <c r="AN3719" s="24"/>
      <c r="AO3719" s="24"/>
      <c r="AP3719" s="165" t="str">
        <f t="shared" si="1112"/>
        <v>202410</v>
      </c>
      <c r="AQ3719" s="203" t="str">
        <f t="shared" si="1113"/>
        <v>202410RMB</v>
      </c>
      <c r="AR3719" s="206" t="str">
        <f t="shared" si="1114"/>
        <v>YAMAHA_Mounter</v>
      </c>
      <c r="AS3719" s="22">
        <f t="shared" si="1115"/>
        <v>1</v>
      </c>
      <c r="AT3719" s="24" t="str">
        <f t="shared" si="1116"/>
        <v>0-3 months</v>
      </c>
      <c r="AU3719" s="22" t="s">
        <v>3751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1"/>
        <v>Q2</v>
      </c>
      <c r="E3720" s="33" t="str">
        <f t="shared" si="1117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4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3"/>
        <v>1.13</v>
      </c>
      <c r="Z3720" s="196">
        <f t="shared" si="1102"/>
        <v>645000</v>
      </c>
      <c r="AA3720" s="22">
        <v>1.1080000000000001</v>
      </c>
      <c r="AB3720" s="197">
        <f t="shared" si="1100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05"/>
        <v>22758096.38940867</v>
      </c>
      <c r="AJ3720" s="200">
        <f t="shared" si="1106"/>
        <v>2469357.2298956565</v>
      </c>
      <c r="AK3720" s="201">
        <f t="shared" si="1111"/>
        <v>0.10850455976822666</v>
      </c>
      <c r="AL3720" s="24"/>
      <c r="AM3720" s="24"/>
      <c r="AN3720" s="24"/>
      <c r="AO3720" s="24"/>
      <c r="AP3720" s="165" t="str">
        <f t="shared" si="1112"/>
        <v>202410</v>
      </c>
      <c r="AQ3720" s="203" t="str">
        <f t="shared" si="1113"/>
        <v>202410RMB</v>
      </c>
      <c r="AR3720" s="206" t="str">
        <f t="shared" si="1114"/>
        <v>YAMAHA_Mounter</v>
      </c>
      <c r="AS3720" s="22">
        <f t="shared" si="1115"/>
        <v>1</v>
      </c>
      <c r="AT3720" s="24" t="str">
        <f t="shared" si="1116"/>
        <v>0-3 months</v>
      </c>
      <c r="AU3720" s="22" t="s">
        <v>3751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1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4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3"/>
        <v/>
      </c>
      <c r="Z3721" s="196" t="str">
        <f t="shared" si="1102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05"/>
        <v>35931087.732566379</v>
      </c>
      <c r="AJ3721" s="200">
        <f t="shared" si="1106"/>
        <v>4347120.3954975223</v>
      </c>
      <c r="AK3721" s="201">
        <f t="shared" si="1111"/>
        <v>0.12098493727362117</v>
      </c>
      <c r="AL3721" s="24"/>
      <c r="AM3721" s="24"/>
      <c r="AN3721" s="24"/>
      <c r="AO3721" s="24"/>
      <c r="AP3721" s="165" t="str">
        <f t="shared" si="1112"/>
        <v>20249</v>
      </c>
      <c r="AQ3721" s="203" t="str">
        <f t="shared" si="1113"/>
        <v/>
      </c>
      <c r="AR3721" s="206" t="str">
        <f t="shared" si="1114"/>
        <v>C66 SERVICE</v>
      </c>
      <c r="AS3721" s="22" t="str">
        <f t="shared" si="1115"/>
        <v/>
      </c>
      <c r="AT3721" s="24" t="str">
        <f t="shared" si="1116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1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4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3"/>
        <v/>
      </c>
      <c r="Z3722" s="196" t="str">
        <f t="shared" si="1102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05"/>
        <v>35931087.732566379</v>
      </c>
      <c r="AJ3722" s="200">
        <f t="shared" si="1106"/>
        <v>4347120.3954975223</v>
      </c>
      <c r="AK3722" s="201">
        <f t="shared" si="1111"/>
        <v>0.12098493727362117</v>
      </c>
      <c r="AL3722" s="24"/>
      <c r="AM3722" s="24"/>
      <c r="AN3722" s="24"/>
      <c r="AO3722" s="24"/>
      <c r="AP3722" s="165" t="str">
        <f t="shared" si="1112"/>
        <v>20249</v>
      </c>
      <c r="AQ3722" s="203" t="str">
        <f t="shared" si="1113"/>
        <v/>
      </c>
      <c r="AR3722" s="206" t="str">
        <f t="shared" si="1114"/>
        <v>C66 SERVICE</v>
      </c>
      <c r="AS3722" s="22" t="str">
        <f t="shared" si="1115"/>
        <v/>
      </c>
      <c r="AT3722" s="24" t="str">
        <f t="shared" si="1116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1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4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3"/>
        <v/>
      </c>
      <c r="Z3723" s="196" t="str">
        <f t="shared" si="1102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05"/>
        <v>35931087.732566379</v>
      </c>
      <c r="AJ3723" s="200">
        <f t="shared" si="1106"/>
        <v>4347120.3954975223</v>
      </c>
      <c r="AK3723" s="201">
        <f t="shared" si="1111"/>
        <v>0.12098493727362117</v>
      </c>
      <c r="AL3723" s="24"/>
      <c r="AM3723" s="24"/>
      <c r="AN3723" s="24"/>
      <c r="AO3723" s="24"/>
      <c r="AP3723" s="165" t="str">
        <f t="shared" si="1112"/>
        <v>20249</v>
      </c>
      <c r="AQ3723" s="203" t="str">
        <f t="shared" si="1113"/>
        <v/>
      </c>
      <c r="AR3723" s="206" t="str">
        <f t="shared" si="1114"/>
        <v>C66 SERVICE</v>
      </c>
      <c r="AS3723" s="22" t="str">
        <f t="shared" si="1115"/>
        <v/>
      </c>
      <c r="AT3723" s="24" t="str">
        <f t="shared" si="1116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1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4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3"/>
        <v/>
      </c>
      <c r="Z3724" s="196" t="str">
        <f t="shared" si="1102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05"/>
        <v>35931087.732566379</v>
      </c>
      <c r="AJ3724" s="200">
        <f t="shared" si="1106"/>
        <v>4347120.3954975223</v>
      </c>
      <c r="AK3724" s="201">
        <f t="shared" si="1111"/>
        <v>0.12098493727362117</v>
      </c>
      <c r="AL3724" s="24"/>
      <c r="AM3724" s="24"/>
      <c r="AN3724" s="24"/>
      <c r="AO3724" s="24"/>
      <c r="AP3724" s="165" t="str">
        <f t="shared" si="1112"/>
        <v>20249</v>
      </c>
      <c r="AQ3724" s="203" t="str">
        <f t="shared" si="1113"/>
        <v/>
      </c>
      <c r="AR3724" s="206" t="str">
        <f t="shared" si="1114"/>
        <v>C66 SERVICE</v>
      </c>
      <c r="AS3724" s="22" t="str">
        <f t="shared" si="1115"/>
        <v/>
      </c>
      <c r="AT3724" s="24" t="str">
        <f t="shared" si="1116"/>
        <v/>
      </c>
      <c r="AU3724" s="22">
        <v>0</v>
      </c>
    </row>
    <row r="3725" spans="1:47">
      <c r="A3725" s="33" t="str">
        <f t="shared" ref="A3725:A3743" si="1118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19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0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1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2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123">IF(W3725="","",IF(W3725="RMB","1.13", "1"))</f>
        <v>1.13</v>
      </c>
      <c r="Z3725" s="196">
        <f t="shared" ref="Z3725:Z3761" si="1124">IF(X3725="","",X3725*MAX(O3725,N3725))</f>
        <v>355000</v>
      </c>
      <c r="AA3725" s="22">
        <v>1.1080000000000001</v>
      </c>
      <c r="AB3725" s="197">
        <f t="shared" ref="AB3725:AB3729" si="1125">IF(AND(R3725&lt;&gt;"C66",R3725&lt;&gt;""),Z3725/Y3725*AA3725,"")</f>
        <v>348088.49557522131</v>
      </c>
      <c r="AC3725" s="198">
        <f t="shared" ref="AC3725:AC3743" si="1126">IF(R3725&lt;&gt;"",AB3725*AD3725,"")</f>
        <v>-120682.28141592923</v>
      </c>
      <c r="AD3725" s="169">
        <v>-0.34670000000000001</v>
      </c>
      <c r="AE3725" s="199">
        <f t="shared" ref="AE3725:AE3743" si="1127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05"/>
        <v>22758096.38940867</v>
      </c>
      <c r="AJ3725" s="200">
        <f t="shared" si="1106"/>
        <v>2469357.2298956565</v>
      </c>
      <c r="AK3725" s="201">
        <f t="shared" ref="AK3725:AK3743" si="1128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29">IF(F3725="","",F3725&amp;G3725)</f>
        <v>202410</v>
      </c>
      <c r="AQ3725" s="203" t="str">
        <f t="shared" ref="AQ3725:AQ3743" si="1130">IF(W3725="","",F3725&amp;G3725&amp;W3725)</f>
        <v>202410RMB</v>
      </c>
      <c r="AR3725" s="206" t="str">
        <f t="shared" ref="AR3725:AR3743" si="1131">IFERROR(IF(AND(M3725="YAMAHA", R3725="C28"), "YAMAHA_Non_Mounter", IF(AND(M3725="YAMAHA", R3725="C49"), "YAMAHA_Mounter", M3725)),"")</f>
        <v>PEMTRON</v>
      </c>
      <c r="AS3725" s="22">
        <f t="shared" ref="AS3725:AS3743" si="1132">IFERROR(IF(OR(G3725="TBA", G3725=""), "", DATEDIF(DATE(B3725, C3725, 1), DATE(F3725, G3725, 1), "M")),"")</f>
        <v>0</v>
      </c>
      <c r="AT3725" s="24" t="str">
        <f t="shared" ref="AT3725:AT3743" si="1133">IF(ISNUMBER(AS3725), IF(AS3725&gt;=0, IF(AS3725&lt;=3, "0-3 months", IF(AS3725&lt;=6, "4-6 months", "&gt; 6 months"))), "")</f>
        <v>0-3 months</v>
      </c>
      <c r="AU3725" s="22" t="s">
        <v>3751</v>
      </c>
    </row>
    <row r="3726" spans="1:47">
      <c r="A3726" s="33" t="str">
        <f t="shared" si="1118"/>
        <v>FY 24/25</v>
      </c>
      <c r="B3726" s="23">
        <v>2024</v>
      </c>
      <c r="C3726" s="23">
        <v>10</v>
      </c>
      <c r="D3726" s="202" t="str">
        <f t="shared" si="1119"/>
        <v>Q3</v>
      </c>
      <c r="E3726" s="33" t="str">
        <f t="shared" si="1120"/>
        <v>FY 24/25</v>
      </c>
      <c r="F3726" s="23">
        <v>2025</v>
      </c>
      <c r="G3726" s="23">
        <v>1</v>
      </c>
      <c r="H3726" s="29"/>
      <c r="I3726" s="204" t="str">
        <f t="shared" si="1121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2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3"/>
        <v>1.13</v>
      </c>
      <c r="Z3726" s="196">
        <f t="shared" si="1124"/>
        <v>855000</v>
      </c>
      <c r="AA3726" s="22">
        <v>1.0640000000000001</v>
      </c>
      <c r="AB3726" s="197">
        <f t="shared" si="1125"/>
        <v>805061.94690265495</v>
      </c>
      <c r="AC3726" s="198">
        <f t="shared" si="1126"/>
        <v>100793.7557522124</v>
      </c>
      <c r="AD3726" s="169">
        <v>0.12520000000000001</v>
      </c>
      <c r="AE3726" s="199">
        <f t="shared" si="1127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05"/>
        <v>16190947.162761064</v>
      </c>
      <c r="AJ3726" s="200">
        <f t="shared" si="1106"/>
        <v>2256328.1660673413</v>
      </c>
      <c r="AK3726" s="201">
        <f t="shared" si="1128"/>
        <v>0.13935739171929745</v>
      </c>
      <c r="AL3726" s="24"/>
      <c r="AM3726" s="24"/>
      <c r="AN3726" s="24"/>
      <c r="AO3726" s="24"/>
      <c r="AP3726" s="165" t="str">
        <f t="shared" si="1129"/>
        <v>20251</v>
      </c>
      <c r="AQ3726" s="203" t="str">
        <f t="shared" si="1130"/>
        <v>20251RMB</v>
      </c>
      <c r="AR3726" s="206" t="str">
        <f t="shared" si="1131"/>
        <v>YAMAHA_Mounter</v>
      </c>
      <c r="AS3726" s="22">
        <f t="shared" si="1132"/>
        <v>3</v>
      </c>
      <c r="AT3726" s="24" t="str">
        <f t="shared" si="1133"/>
        <v>0-3 months</v>
      </c>
      <c r="AU3726" s="22" t="s">
        <v>3751</v>
      </c>
    </row>
    <row r="3727" spans="1:47">
      <c r="A3727" s="33" t="str">
        <f t="shared" si="1118"/>
        <v>FY 24/25</v>
      </c>
      <c r="B3727" s="23">
        <v>2024</v>
      </c>
      <c r="C3727" s="23">
        <v>10</v>
      </c>
      <c r="D3727" s="202" t="str">
        <f t="shared" si="1119"/>
        <v>Q3</v>
      </c>
      <c r="E3727" s="33" t="str">
        <f t="shared" si="1120"/>
        <v>FY 24/25</v>
      </c>
      <c r="F3727" s="23">
        <v>2024</v>
      </c>
      <c r="G3727" s="23">
        <v>11</v>
      </c>
      <c r="H3727" s="29"/>
      <c r="I3727" s="204" t="str">
        <f t="shared" si="1121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2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3"/>
        <v>1.13</v>
      </c>
      <c r="Z3727" s="196">
        <f t="shared" si="1124"/>
        <v>759998</v>
      </c>
      <c r="AA3727" s="22">
        <v>1.0920000000000001</v>
      </c>
      <c r="AB3727" s="197">
        <f t="shared" si="1125"/>
        <v>734440.54513274354</v>
      </c>
      <c r="AC3727" s="198">
        <f t="shared" si="1126"/>
        <v>76455.2607483186</v>
      </c>
      <c r="AD3727" s="169">
        <v>0.1041</v>
      </c>
      <c r="AE3727" s="199">
        <f t="shared" si="1127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05"/>
        <v>32082250.320460182</v>
      </c>
      <c r="AJ3727" s="200">
        <f t="shared" si="1106"/>
        <v>4323122.9746477893</v>
      </c>
      <c r="AK3727" s="201">
        <f t="shared" si="1128"/>
        <v>0.1347512388147771</v>
      </c>
      <c r="AL3727" s="24"/>
      <c r="AM3727" s="24"/>
      <c r="AN3727" s="24"/>
      <c r="AO3727" s="24"/>
      <c r="AP3727" s="165" t="str">
        <f t="shared" si="1129"/>
        <v>202411</v>
      </c>
      <c r="AQ3727" s="203" t="str">
        <f t="shared" si="1130"/>
        <v>202411RMB</v>
      </c>
      <c r="AR3727" s="206" t="str">
        <f t="shared" si="1131"/>
        <v>YAMAHA_Mounter</v>
      </c>
      <c r="AS3727" s="22">
        <f t="shared" si="1132"/>
        <v>1</v>
      </c>
      <c r="AT3727" s="24" t="str">
        <f t="shared" si="1133"/>
        <v>0-3 months</v>
      </c>
      <c r="AU3727" s="22" t="s">
        <v>3240</v>
      </c>
    </row>
    <row r="3728" spans="1:47">
      <c r="A3728" s="33" t="str">
        <f t="shared" si="1118"/>
        <v>FY 24/25</v>
      </c>
      <c r="B3728" s="23">
        <v>2024</v>
      </c>
      <c r="C3728" s="23">
        <v>10</v>
      </c>
      <c r="D3728" s="202" t="str">
        <f t="shared" si="1119"/>
        <v>Q3</v>
      </c>
      <c r="E3728" s="33" t="str">
        <f t="shared" si="1120"/>
        <v>FY 24/25</v>
      </c>
      <c r="F3728" s="23">
        <v>2024</v>
      </c>
      <c r="G3728" s="23">
        <v>12</v>
      </c>
      <c r="H3728" s="29"/>
      <c r="I3728" s="204" t="str">
        <f t="shared" si="1121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2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3"/>
        <v>1.13</v>
      </c>
      <c r="Z3728" s="196">
        <f t="shared" si="1124"/>
        <v>370000</v>
      </c>
      <c r="AA3728" s="22">
        <v>1.0760000000000001</v>
      </c>
      <c r="AB3728" s="197">
        <f t="shared" si="1125"/>
        <v>352318.58407079655</v>
      </c>
      <c r="AC3728" s="198">
        <f t="shared" si="1126"/>
        <v>42278.230088495584</v>
      </c>
      <c r="AD3728" s="169">
        <v>0.12</v>
      </c>
      <c r="AE3728" s="199">
        <f t="shared" si="1127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05"/>
        <v>15965524.256637167</v>
      </c>
      <c r="AJ3728" s="200">
        <f t="shared" si="1106"/>
        <v>2480116.5996584073</v>
      </c>
      <c r="AK3728" s="201">
        <f t="shared" si="1128"/>
        <v>0.15534200817911609</v>
      </c>
      <c r="AL3728" s="24"/>
      <c r="AM3728" s="24"/>
      <c r="AN3728" s="24"/>
      <c r="AO3728" s="24"/>
      <c r="AP3728" s="165" t="str">
        <f t="shared" si="1129"/>
        <v>202412</v>
      </c>
      <c r="AQ3728" s="203" t="str">
        <f t="shared" si="1130"/>
        <v>202412RMB</v>
      </c>
      <c r="AR3728" s="206" t="str">
        <f t="shared" si="1131"/>
        <v>YAMAHA_Non_Mounter</v>
      </c>
      <c r="AS3728" s="22">
        <f t="shared" si="1132"/>
        <v>2</v>
      </c>
      <c r="AT3728" s="24" t="str">
        <f t="shared" si="1133"/>
        <v>0-3 months</v>
      </c>
      <c r="AU3728" s="22" t="s">
        <v>3240</v>
      </c>
    </row>
    <row r="3729" spans="1:47">
      <c r="A3729" s="33" t="str">
        <f t="shared" si="1118"/>
        <v>FY 24/25</v>
      </c>
      <c r="B3729" s="23">
        <v>2024</v>
      </c>
      <c r="C3729" s="23">
        <v>10</v>
      </c>
      <c r="D3729" s="202" t="str">
        <f t="shared" si="1119"/>
        <v>Q3</v>
      </c>
      <c r="E3729" s="33" t="str">
        <f t="shared" si="1120"/>
        <v>FY 24/25</v>
      </c>
      <c r="F3729" s="23">
        <v>2024</v>
      </c>
      <c r="G3729" s="23">
        <v>12</v>
      </c>
      <c r="H3729" s="29"/>
      <c r="I3729" s="204" t="str">
        <f t="shared" si="1121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2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3"/>
        <v>1.13</v>
      </c>
      <c r="Z3729" s="196">
        <f t="shared" si="1124"/>
        <v>368000</v>
      </c>
      <c r="AA3729" s="22">
        <v>1.0760000000000001</v>
      </c>
      <c r="AB3729" s="197">
        <f t="shared" si="1125"/>
        <v>350414.15929203545</v>
      </c>
      <c r="AC3729" s="198">
        <f t="shared" si="1126"/>
        <v>62583.968849557532</v>
      </c>
      <c r="AD3729" s="169">
        <v>0.17860000000000001</v>
      </c>
      <c r="AE3729" s="199">
        <f t="shared" si="1127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05"/>
        <v>15965524.256637167</v>
      </c>
      <c r="AJ3729" s="200">
        <f t="shared" si="1106"/>
        <v>2480116.5996584073</v>
      </c>
      <c r="AK3729" s="201">
        <f t="shared" si="1128"/>
        <v>0.15534200817911609</v>
      </c>
      <c r="AL3729" s="24"/>
      <c r="AM3729" s="24"/>
      <c r="AN3729" s="24"/>
      <c r="AO3729" s="24"/>
      <c r="AP3729" s="165" t="str">
        <f t="shared" si="1129"/>
        <v>202412</v>
      </c>
      <c r="AQ3729" s="203" t="str">
        <f t="shared" si="1130"/>
        <v>202412RMB</v>
      </c>
      <c r="AR3729" s="206" t="str">
        <f t="shared" si="1131"/>
        <v>YAMAHA_Non_Mounter</v>
      </c>
      <c r="AS3729" s="22">
        <f t="shared" si="1132"/>
        <v>2</v>
      </c>
      <c r="AT3729" s="24" t="str">
        <f t="shared" si="1133"/>
        <v>0-3 months</v>
      </c>
      <c r="AU3729" s="22" t="s">
        <v>3240</v>
      </c>
    </row>
    <row r="3730" spans="1:47">
      <c r="A3730" s="33" t="str">
        <f t="shared" si="1118"/>
        <v>FY 24/25</v>
      </c>
      <c r="B3730" s="23">
        <v>2024</v>
      </c>
      <c r="C3730" s="23">
        <v>10</v>
      </c>
      <c r="D3730" s="202" t="str">
        <f t="shared" si="1119"/>
        <v>Q3</v>
      </c>
      <c r="E3730" s="33" t="str">
        <f t="shared" si="1120"/>
        <v>FY 24/25</v>
      </c>
      <c r="F3730" s="23">
        <v>2024</v>
      </c>
      <c r="G3730" s="23">
        <v>11</v>
      </c>
      <c r="H3730" s="29"/>
      <c r="I3730" s="204" t="str">
        <f t="shared" si="1121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2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3"/>
        <v>1.13</v>
      </c>
      <c r="Z3730" s="196">
        <f t="shared" si="1124"/>
        <v>347000</v>
      </c>
      <c r="AA3730" s="22">
        <v>1.0920000000000001</v>
      </c>
      <c r="AB3730" s="197">
        <f t="shared" ref="AB3730:AB3793" si="1134">IF(AND(R3730&lt;&gt;"C66",R3730&lt;&gt;""),Z3730/Y3730*AA3730,"")</f>
        <v>335330.97345132747</v>
      </c>
      <c r="AC3730" s="198">
        <f t="shared" si="1126"/>
        <v>50031.381238938062</v>
      </c>
      <c r="AD3730" s="169">
        <v>0.1492</v>
      </c>
      <c r="AE3730" s="199">
        <f t="shared" si="1127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05"/>
        <v>32082250.320460182</v>
      </c>
      <c r="AJ3730" s="200">
        <f t="shared" si="1106"/>
        <v>4323122.9746477893</v>
      </c>
      <c r="AK3730" s="201">
        <f t="shared" si="1128"/>
        <v>0.1347512388147771</v>
      </c>
      <c r="AL3730" s="24"/>
      <c r="AM3730" s="24"/>
      <c r="AN3730" s="24"/>
      <c r="AO3730" s="24"/>
      <c r="AP3730" s="165" t="str">
        <f t="shared" si="1129"/>
        <v>202411</v>
      </c>
      <c r="AQ3730" s="203" t="str">
        <f t="shared" si="1130"/>
        <v>202411RMB</v>
      </c>
      <c r="AR3730" s="206" t="str">
        <f t="shared" si="1131"/>
        <v>YAMAHA_Non_Mounter</v>
      </c>
      <c r="AS3730" s="22">
        <f t="shared" si="1132"/>
        <v>1</v>
      </c>
      <c r="AT3730" s="24" t="str">
        <f t="shared" si="1133"/>
        <v>0-3 months</v>
      </c>
      <c r="AU3730" s="22" t="s">
        <v>3240</v>
      </c>
    </row>
    <row r="3731" spans="1:47">
      <c r="A3731" s="33" t="str">
        <f t="shared" si="1118"/>
        <v>FY 24/25</v>
      </c>
      <c r="B3731" s="23">
        <v>2024</v>
      </c>
      <c r="C3731" s="23">
        <v>10</v>
      </c>
      <c r="D3731" s="202" t="str">
        <f t="shared" si="1119"/>
        <v>Q3</v>
      </c>
      <c r="E3731" s="33" t="str">
        <f t="shared" si="1120"/>
        <v>FY 24/25</v>
      </c>
      <c r="F3731" s="23">
        <v>2024</v>
      </c>
      <c r="G3731" s="23">
        <v>11</v>
      </c>
      <c r="H3731" s="29"/>
      <c r="I3731" s="204" t="str">
        <f t="shared" si="1121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2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3"/>
        <v>1.13</v>
      </c>
      <c r="Z3731" s="196">
        <f t="shared" si="1124"/>
        <v>677000</v>
      </c>
      <c r="AA3731" s="22">
        <v>1.1080000000000001</v>
      </c>
      <c r="AB3731" s="197">
        <f t="shared" si="1134"/>
        <v>663819.46902654879</v>
      </c>
      <c r="AC3731" s="198">
        <f t="shared" si="1126"/>
        <v>68771.696991150457</v>
      </c>
      <c r="AD3731" s="169">
        <v>0.1036</v>
      </c>
      <c r="AE3731" s="199">
        <f t="shared" si="1127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05"/>
        <v>32082250.320460182</v>
      </c>
      <c r="AJ3731" s="200">
        <f t="shared" si="1106"/>
        <v>4323122.9746477893</v>
      </c>
      <c r="AK3731" s="201">
        <f t="shared" si="1128"/>
        <v>0.1347512388147771</v>
      </c>
      <c r="AL3731" s="24"/>
      <c r="AM3731" s="24"/>
      <c r="AN3731" s="24"/>
      <c r="AO3731" s="24"/>
      <c r="AP3731" s="165" t="str">
        <f t="shared" si="1129"/>
        <v>202411</v>
      </c>
      <c r="AQ3731" s="203" t="str">
        <f t="shared" si="1130"/>
        <v>202411RMB</v>
      </c>
      <c r="AR3731" s="206" t="str">
        <f t="shared" si="1131"/>
        <v>YAMAHA_Mounter</v>
      </c>
      <c r="AS3731" s="22">
        <f t="shared" si="1132"/>
        <v>1</v>
      </c>
      <c r="AT3731" s="24" t="str">
        <f t="shared" si="1133"/>
        <v>0-3 months</v>
      </c>
      <c r="AU3731" s="22" t="s">
        <v>3751</v>
      </c>
    </row>
    <row r="3732" spans="1:47">
      <c r="A3732" s="33" t="str">
        <f t="shared" si="1118"/>
        <v>FY 24/25</v>
      </c>
      <c r="B3732" s="23">
        <v>2024</v>
      </c>
      <c r="C3732" s="23">
        <v>10</v>
      </c>
      <c r="D3732" s="202" t="str">
        <f t="shared" si="1119"/>
        <v>Q3</v>
      </c>
      <c r="E3732" s="33" t="str">
        <f t="shared" si="1120"/>
        <v>FY 24/25</v>
      </c>
      <c r="F3732" s="23">
        <v>2024</v>
      </c>
      <c r="G3732" s="23">
        <v>11</v>
      </c>
      <c r="H3732" s="29"/>
      <c r="I3732" s="204" t="str">
        <f t="shared" si="1121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2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3"/>
        <v>1</v>
      </c>
      <c r="Z3732" s="196">
        <f t="shared" si="1124"/>
        <v>11974790</v>
      </c>
      <c r="AA3732" s="22">
        <v>5.5599999999999997E-2</v>
      </c>
      <c r="AB3732" s="197">
        <f t="shared" si="1134"/>
        <v>665798.32399999991</v>
      </c>
      <c r="AC3732" s="198">
        <f t="shared" si="1126"/>
        <v>79895.798879999988</v>
      </c>
      <c r="AD3732" s="169">
        <v>0.12</v>
      </c>
      <c r="AE3732" s="199">
        <f t="shared" si="1127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05"/>
        <v>32082250.320460182</v>
      </c>
      <c r="AJ3732" s="200">
        <f t="shared" si="1106"/>
        <v>4323122.9746477893</v>
      </c>
      <c r="AK3732" s="201">
        <f t="shared" si="1128"/>
        <v>0.1347512388147771</v>
      </c>
      <c r="AL3732" s="24"/>
      <c r="AM3732" s="24"/>
      <c r="AN3732" s="24"/>
      <c r="AO3732" s="24"/>
      <c r="AP3732" s="165" t="str">
        <f t="shared" si="1129"/>
        <v>202411</v>
      </c>
      <c r="AQ3732" s="203" t="str">
        <f t="shared" si="1130"/>
        <v>202411JPY</v>
      </c>
      <c r="AR3732" s="206" t="str">
        <f t="shared" si="1131"/>
        <v>YAMAHA_Mounter</v>
      </c>
      <c r="AS3732" s="22">
        <f t="shared" si="1132"/>
        <v>1</v>
      </c>
      <c r="AT3732" s="24" t="str">
        <f t="shared" si="1133"/>
        <v>0-3 months</v>
      </c>
      <c r="AU3732" s="22" t="s">
        <v>3746</v>
      </c>
    </row>
    <row r="3733" spans="1:47">
      <c r="A3733" s="33" t="str">
        <f t="shared" si="1118"/>
        <v>FY 24/25</v>
      </c>
      <c r="B3733" s="23">
        <v>2024</v>
      </c>
      <c r="C3733" s="23">
        <v>10</v>
      </c>
      <c r="D3733" s="202" t="str">
        <f t="shared" si="1119"/>
        <v>Q3</v>
      </c>
      <c r="E3733" s="33" t="str">
        <f t="shared" si="1120"/>
        <v>FY 24/25</v>
      </c>
      <c r="F3733" s="23">
        <v>2024</v>
      </c>
      <c r="G3733" s="23">
        <v>11</v>
      </c>
      <c r="H3733" s="29"/>
      <c r="I3733" s="204" t="str">
        <f t="shared" si="1121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2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3"/>
        <v>1</v>
      </c>
      <c r="Z3733" s="196">
        <f t="shared" si="1124"/>
        <v>10000000</v>
      </c>
      <c r="AA3733" s="22">
        <v>5.5599999999999997E-2</v>
      </c>
      <c r="AB3733" s="197">
        <f t="shared" si="1134"/>
        <v>556000</v>
      </c>
      <c r="AC3733" s="198">
        <f t="shared" si="1126"/>
        <v>66720</v>
      </c>
      <c r="AD3733" s="169">
        <v>0.12</v>
      </c>
      <c r="AE3733" s="199">
        <f t="shared" si="1127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05"/>
        <v>32082250.320460182</v>
      </c>
      <c r="AJ3733" s="200">
        <f t="shared" si="1106"/>
        <v>4323122.9746477893</v>
      </c>
      <c r="AK3733" s="201">
        <f t="shared" si="1128"/>
        <v>0.1347512388147771</v>
      </c>
      <c r="AL3733" s="24"/>
      <c r="AM3733" s="24"/>
      <c r="AN3733" s="24"/>
      <c r="AO3733" s="24"/>
      <c r="AP3733" s="165" t="str">
        <f t="shared" si="1129"/>
        <v>202411</v>
      </c>
      <c r="AQ3733" s="203" t="str">
        <f t="shared" si="1130"/>
        <v>202411JPY</v>
      </c>
      <c r="AR3733" s="206" t="str">
        <f t="shared" si="1131"/>
        <v>YAMAHA_Mounter</v>
      </c>
      <c r="AS3733" s="22">
        <f t="shared" si="1132"/>
        <v>1</v>
      </c>
      <c r="AT3733" s="24" t="str">
        <f t="shared" si="1133"/>
        <v>0-3 months</v>
      </c>
      <c r="AU3733" s="22" t="s">
        <v>3746</v>
      </c>
    </row>
    <row r="3734" spans="1:47">
      <c r="A3734" s="33" t="str">
        <f t="shared" si="1118"/>
        <v>FY 24/25</v>
      </c>
      <c r="B3734" s="23">
        <v>2024</v>
      </c>
      <c r="C3734" s="23">
        <v>10</v>
      </c>
      <c r="D3734" s="202" t="str">
        <f t="shared" si="1119"/>
        <v>Q3</v>
      </c>
      <c r="E3734" s="33" t="str">
        <f t="shared" si="1120"/>
        <v>FY 24/25</v>
      </c>
      <c r="F3734" s="23">
        <v>2024</v>
      </c>
      <c r="G3734" s="23">
        <v>11</v>
      </c>
      <c r="H3734" s="29"/>
      <c r="I3734" s="204" t="str">
        <f t="shared" si="1121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2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3"/>
        <v>1.13</v>
      </c>
      <c r="Z3734" s="196">
        <f t="shared" si="1124"/>
        <v>390000</v>
      </c>
      <c r="AA3734" s="22">
        <v>1.1080000000000001</v>
      </c>
      <c r="AB3734" s="197">
        <f t="shared" si="1134"/>
        <v>382407.07964601775</v>
      </c>
      <c r="AC3734" s="198">
        <f t="shared" si="1126"/>
        <v>45888.849557522131</v>
      </c>
      <c r="AD3734" s="169">
        <v>0.12</v>
      </c>
      <c r="AE3734" s="199">
        <f t="shared" si="1127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05"/>
        <v>32082250.320460182</v>
      </c>
      <c r="AJ3734" s="200">
        <f t="shared" si="1106"/>
        <v>4323122.9746477893</v>
      </c>
      <c r="AK3734" s="201">
        <f t="shared" si="1128"/>
        <v>0.1347512388147771</v>
      </c>
      <c r="AL3734" s="24"/>
      <c r="AM3734" s="24"/>
      <c r="AN3734" s="24"/>
      <c r="AO3734" s="24"/>
      <c r="AP3734" s="165" t="str">
        <f t="shared" si="1129"/>
        <v>202411</v>
      </c>
      <c r="AQ3734" s="203" t="str">
        <f t="shared" si="1130"/>
        <v>202411RMB</v>
      </c>
      <c r="AR3734" s="206" t="str">
        <f t="shared" si="1131"/>
        <v>YAMAHA_Mounter</v>
      </c>
      <c r="AS3734" s="22">
        <f t="shared" si="1132"/>
        <v>1</v>
      </c>
      <c r="AT3734" s="24" t="str">
        <f t="shared" si="1133"/>
        <v>0-3 months</v>
      </c>
      <c r="AU3734" s="22" t="s">
        <v>3751</v>
      </c>
    </row>
    <row r="3735" spans="1:47">
      <c r="A3735" s="33" t="str">
        <f t="shared" si="1118"/>
        <v>FY 24/25</v>
      </c>
      <c r="B3735" s="23">
        <v>2024</v>
      </c>
      <c r="C3735" s="23">
        <v>10</v>
      </c>
      <c r="D3735" s="202" t="str">
        <f t="shared" si="1119"/>
        <v>Q3</v>
      </c>
      <c r="E3735" s="33" t="str">
        <f t="shared" si="1120"/>
        <v>FY 24/25</v>
      </c>
      <c r="F3735" s="23">
        <v>2024</v>
      </c>
      <c r="G3735" s="23">
        <v>12</v>
      </c>
      <c r="H3735" s="29"/>
      <c r="I3735" s="204" t="str">
        <f t="shared" si="1121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122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3"/>
        <v>1.13</v>
      </c>
      <c r="Z3735" s="196">
        <f t="shared" si="1124"/>
        <v>452000</v>
      </c>
      <c r="AA3735" s="22">
        <v>1.0760000000000001</v>
      </c>
      <c r="AB3735" s="197">
        <f t="shared" si="1134"/>
        <v>430400.00000000012</v>
      </c>
      <c r="AC3735" s="198">
        <f t="shared" si="1126"/>
        <v>51346.720000000016</v>
      </c>
      <c r="AD3735" s="169">
        <v>0.1193</v>
      </c>
      <c r="AE3735" s="199">
        <f t="shared" si="1127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05"/>
        <v>15965524.256637167</v>
      </c>
      <c r="AJ3735" s="200">
        <f t="shared" si="1106"/>
        <v>2480116.5996584073</v>
      </c>
      <c r="AK3735" s="201">
        <f t="shared" si="1128"/>
        <v>0.15534200817911609</v>
      </c>
      <c r="AL3735" s="24"/>
      <c r="AM3735" s="24"/>
      <c r="AN3735" s="24"/>
      <c r="AO3735" s="24"/>
      <c r="AP3735" s="165" t="str">
        <f t="shared" si="1129"/>
        <v>202412</v>
      </c>
      <c r="AQ3735" s="203" t="str">
        <f t="shared" si="1130"/>
        <v>202412RMB</v>
      </c>
      <c r="AR3735" s="206" t="str">
        <f t="shared" si="1131"/>
        <v>HELLER</v>
      </c>
      <c r="AS3735" s="22">
        <f t="shared" si="1132"/>
        <v>2</v>
      </c>
      <c r="AT3735" s="24" t="str">
        <f t="shared" si="1133"/>
        <v>0-3 months</v>
      </c>
      <c r="AU3735" s="22" t="s">
        <v>3751</v>
      </c>
    </row>
    <row r="3736" spans="1:47">
      <c r="A3736" s="33" t="str">
        <f t="shared" si="1118"/>
        <v>FY 24/25</v>
      </c>
      <c r="B3736" s="23">
        <v>2024</v>
      </c>
      <c r="C3736" s="23">
        <v>10</v>
      </c>
      <c r="D3736" s="202" t="str">
        <f t="shared" si="1119"/>
        <v>Q3</v>
      </c>
      <c r="E3736" s="33" t="str">
        <f t="shared" ref="E3736:E3799" si="1135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1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2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3"/>
        <v>1</v>
      </c>
      <c r="Z3736" s="196">
        <f t="shared" si="1124"/>
        <v>14350000</v>
      </c>
      <c r="AA3736" s="22">
        <v>5.5599999999999997E-2</v>
      </c>
      <c r="AB3736" s="197">
        <f t="shared" si="1134"/>
        <v>797860</v>
      </c>
      <c r="AC3736" s="198">
        <f t="shared" si="1126"/>
        <v>120875.79</v>
      </c>
      <c r="AD3736" s="169">
        <v>0.1515</v>
      </c>
      <c r="AE3736" s="199">
        <f t="shared" si="1127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05"/>
        <v>22758096.38940867</v>
      </c>
      <c r="AJ3736" s="200">
        <f t="shared" si="1106"/>
        <v>2469357.2298956565</v>
      </c>
      <c r="AK3736" s="201">
        <f t="shared" si="1128"/>
        <v>0.10850455976822666</v>
      </c>
      <c r="AL3736" s="24"/>
      <c r="AM3736" s="24"/>
      <c r="AN3736" s="24"/>
      <c r="AO3736" s="24"/>
      <c r="AP3736" s="165" t="str">
        <f t="shared" si="1129"/>
        <v>202410</v>
      </c>
      <c r="AQ3736" s="203" t="str">
        <f t="shared" si="1130"/>
        <v>202410JPY</v>
      </c>
      <c r="AR3736" s="206" t="str">
        <f t="shared" si="1131"/>
        <v>YAMAHA_Mounter</v>
      </c>
      <c r="AS3736" s="22">
        <f t="shared" si="1132"/>
        <v>0</v>
      </c>
      <c r="AT3736" s="24" t="str">
        <f t="shared" si="1133"/>
        <v>0-3 months</v>
      </c>
      <c r="AU3736" s="22" t="s">
        <v>3745</v>
      </c>
    </row>
    <row r="3737" spans="1:47">
      <c r="A3737" s="33" t="str">
        <f t="shared" si="1118"/>
        <v>FY 24/25</v>
      </c>
      <c r="B3737" s="23">
        <v>2024</v>
      </c>
      <c r="C3737" s="23">
        <v>10</v>
      </c>
      <c r="D3737" s="202" t="str">
        <f t="shared" si="1119"/>
        <v>Q3</v>
      </c>
      <c r="E3737" s="33" t="str">
        <f t="shared" si="1135"/>
        <v>FY 24/25</v>
      </c>
      <c r="F3737" s="23">
        <v>2025</v>
      </c>
      <c r="G3737" s="23">
        <v>2</v>
      </c>
      <c r="H3737" s="29"/>
      <c r="I3737" s="204" t="str">
        <f t="shared" si="1121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2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3"/>
        <v>1.13</v>
      </c>
      <c r="Z3737" s="196">
        <f t="shared" si="1124"/>
        <v>375000</v>
      </c>
      <c r="AA3737" s="22">
        <v>1.073</v>
      </c>
      <c r="AB3737" s="197">
        <f t="shared" si="1134"/>
        <v>356084.0707964602</v>
      </c>
      <c r="AC3737" s="198">
        <f t="shared" si="1126"/>
        <v>65839.944690265489</v>
      </c>
      <c r="AD3737" s="170">
        <v>0.18490000000000001</v>
      </c>
      <c r="AE3737" s="199">
        <f t="shared" si="1127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05"/>
        <v>30691842.970796466</v>
      </c>
      <c r="AJ3737" s="200">
        <f t="shared" si="1106"/>
        <v>4088324.205777524</v>
      </c>
      <c r="AK3737" s="201">
        <f t="shared" si="1128"/>
        <v>0.1332055624573473</v>
      </c>
      <c r="AL3737" s="24"/>
      <c r="AM3737" s="24"/>
      <c r="AN3737" s="24"/>
      <c r="AO3737" s="24"/>
      <c r="AP3737" s="165" t="str">
        <f t="shared" si="1129"/>
        <v>20252</v>
      </c>
      <c r="AQ3737" s="203" t="str">
        <f t="shared" si="1130"/>
        <v>20252RMB</v>
      </c>
      <c r="AR3737" s="206" t="str">
        <f t="shared" si="1131"/>
        <v>YAMAHA_Non_Mounter</v>
      </c>
      <c r="AS3737" s="22">
        <f t="shared" si="1132"/>
        <v>4</v>
      </c>
      <c r="AT3737" s="24" t="str">
        <f t="shared" si="1133"/>
        <v>4-6 months</v>
      </c>
      <c r="AU3737" s="22" t="s">
        <v>3240</v>
      </c>
    </row>
    <row r="3738" spans="1:47">
      <c r="A3738" s="33" t="str">
        <f t="shared" si="1118"/>
        <v>FY 24/25</v>
      </c>
      <c r="B3738" s="23">
        <v>2024</v>
      </c>
      <c r="C3738" s="23">
        <v>9</v>
      </c>
      <c r="D3738" s="202" t="str">
        <f t="shared" si="1119"/>
        <v>Q2</v>
      </c>
      <c r="E3738" s="33" t="str">
        <f t="shared" si="1135"/>
        <v>FY 24/25</v>
      </c>
      <c r="F3738" s="23">
        <v>2024</v>
      </c>
      <c r="G3738" s="23">
        <v>10</v>
      </c>
      <c r="H3738" s="29"/>
      <c r="I3738" s="204" t="str">
        <f t="shared" si="1121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2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3"/>
        <v>1.13</v>
      </c>
      <c r="Z3738" s="196">
        <f t="shared" si="1124"/>
        <v>920000</v>
      </c>
      <c r="AA3738" s="22">
        <v>1.1080000000000001</v>
      </c>
      <c r="AB3738" s="197">
        <f t="shared" si="1134"/>
        <v>902088.49557522137</v>
      </c>
      <c r="AC3738" s="198">
        <f t="shared" si="1126"/>
        <v>93546.576991150461</v>
      </c>
      <c r="AD3738" s="169">
        <v>0.1037</v>
      </c>
      <c r="AE3738" s="199">
        <f t="shared" si="1127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05"/>
        <v>22758096.38940867</v>
      </c>
      <c r="AJ3738" s="200">
        <f t="shared" si="1106"/>
        <v>2469357.2298956565</v>
      </c>
      <c r="AK3738" s="201">
        <f t="shared" si="1128"/>
        <v>0.10850455976822666</v>
      </c>
      <c r="AL3738" s="24"/>
      <c r="AM3738" s="24"/>
      <c r="AN3738" s="24"/>
      <c r="AO3738" s="24"/>
      <c r="AP3738" s="165" t="str">
        <f t="shared" si="1129"/>
        <v>202410</v>
      </c>
      <c r="AQ3738" s="203" t="str">
        <f t="shared" si="1130"/>
        <v>202410RMB</v>
      </c>
      <c r="AR3738" s="206" t="str">
        <f t="shared" si="1131"/>
        <v>YAMAHA_Mounter</v>
      </c>
      <c r="AS3738" s="22">
        <f t="shared" si="1132"/>
        <v>1</v>
      </c>
      <c r="AT3738" s="24" t="str">
        <f t="shared" si="1133"/>
        <v>0-3 months</v>
      </c>
      <c r="AU3738" s="22" t="s">
        <v>3240</v>
      </c>
    </row>
    <row r="3739" spans="1:47">
      <c r="A3739" s="33" t="str">
        <f t="shared" si="1118"/>
        <v>FY 24/25</v>
      </c>
      <c r="B3739" s="23">
        <v>2024</v>
      </c>
      <c r="C3739" s="23">
        <v>9</v>
      </c>
      <c r="D3739" s="202" t="str">
        <f t="shared" si="1119"/>
        <v>Q2</v>
      </c>
      <c r="E3739" s="33" t="str">
        <f t="shared" si="1135"/>
        <v>FY 24/25</v>
      </c>
      <c r="F3739" s="23">
        <v>2024</v>
      </c>
      <c r="G3739" s="23">
        <v>10</v>
      </c>
      <c r="H3739" s="29"/>
      <c r="I3739" s="204" t="str">
        <f t="shared" si="1121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2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3"/>
        <v>1.13</v>
      </c>
      <c r="Z3739" s="196">
        <f t="shared" si="1124"/>
        <v>920000</v>
      </c>
      <c r="AA3739" s="22">
        <v>1.1080000000000001</v>
      </c>
      <c r="AB3739" s="197">
        <f t="shared" si="1134"/>
        <v>902088.49557522137</v>
      </c>
      <c r="AC3739" s="198">
        <f t="shared" si="1126"/>
        <v>93546.576991150461</v>
      </c>
      <c r="AD3739" s="169">
        <v>0.1037</v>
      </c>
      <c r="AE3739" s="199">
        <f t="shared" si="1127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05"/>
        <v>22758096.38940867</v>
      </c>
      <c r="AJ3739" s="200">
        <f t="shared" si="1106"/>
        <v>2469357.2298956565</v>
      </c>
      <c r="AK3739" s="201">
        <f t="shared" si="1128"/>
        <v>0.10850455976822666</v>
      </c>
      <c r="AL3739" s="24"/>
      <c r="AM3739" s="24"/>
      <c r="AN3739" s="24"/>
      <c r="AO3739" s="24"/>
      <c r="AP3739" s="165" t="str">
        <f t="shared" si="1129"/>
        <v>202410</v>
      </c>
      <c r="AQ3739" s="203" t="str">
        <f t="shared" si="1130"/>
        <v>202410RMB</v>
      </c>
      <c r="AR3739" s="206" t="str">
        <f t="shared" si="1131"/>
        <v>YAMAHA_Mounter</v>
      </c>
      <c r="AS3739" s="22">
        <f t="shared" si="1132"/>
        <v>1</v>
      </c>
      <c r="AT3739" s="24" t="str">
        <f t="shared" si="1133"/>
        <v>0-3 months</v>
      </c>
      <c r="AU3739" s="22" t="s">
        <v>3240</v>
      </c>
    </row>
    <row r="3740" spans="1:47">
      <c r="A3740" s="33" t="str">
        <f t="shared" si="1118"/>
        <v>FY 24/25</v>
      </c>
      <c r="B3740" s="23">
        <v>2024</v>
      </c>
      <c r="C3740" s="23">
        <v>9</v>
      </c>
      <c r="D3740" s="202" t="str">
        <f t="shared" si="1119"/>
        <v>Q2</v>
      </c>
      <c r="E3740" s="33" t="str">
        <f t="shared" si="1135"/>
        <v>FY 24/25</v>
      </c>
      <c r="F3740" s="23">
        <v>2024</v>
      </c>
      <c r="G3740" s="23">
        <v>10</v>
      </c>
      <c r="H3740" s="29"/>
      <c r="I3740" s="204" t="str">
        <f t="shared" si="1121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2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3"/>
        <v>1.13</v>
      </c>
      <c r="Z3740" s="196">
        <f t="shared" si="1124"/>
        <v>920000</v>
      </c>
      <c r="AA3740" s="22">
        <v>1.1080000000000001</v>
      </c>
      <c r="AB3740" s="197">
        <f t="shared" si="1134"/>
        <v>902088.49557522137</v>
      </c>
      <c r="AC3740" s="198">
        <f t="shared" si="1126"/>
        <v>93546.576991150461</v>
      </c>
      <c r="AD3740" s="169">
        <v>0.1037</v>
      </c>
      <c r="AE3740" s="199">
        <f t="shared" si="1127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05"/>
        <v>22758096.38940867</v>
      </c>
      <c r="AJ3740" s="200">
        <f t="shared" si="1106"/>
        <v>2469357.2298956565</v>
      </c>
      <c r="AK3740" s="201">
        <f t="shared" si="1128"/>
        <v>0.10850455976822666</v>
      </c>
      <c r="AL3740" s="24"/>
      <c r="AM3740" s="24"/>
      <c r="AN3740" s="24"/>
      <c r="AO3740" s="24"/>
      <c r="AP3740" s="165" t="str">
        <f t="shared" si="1129"/>
        <v>202410</v>
      </c>
      <c r="AQ3740" s="203" t="str">
        <f t="shared" si="1130"/>
        <v>202410RMB</v>
      </c>
      <c r="AR3740" s="206" t="str">
        <f t="shared" si="1131"/>
        <v>YAMAHA_Mounter</v>
      </c>
      <c r="AS3740" s="22">
        <f t="shared" si="1132"/>
        <v>1</v>
      </c>
      <c r="AT3740" s="24" t="str">
        <f t="shared" si="1133"/>
        <v>0-3 months</v>
      </c>
      <c r="AU3740" s="22" t="s">
        <v>3240</v>
      </c>
    </row>
    <row r="3741" spans="1:47">
      <c r="A3741" s="33" t="str">
        <f t="shared" si="1118"/>
        <v>FY 24/25</v>
      </c>
      <c r="B3741" s="23">
        <v>2024</v>
      </c>
      <c r="C3741" s="23">
        <v>9</v>
      </c>
      <c r="D3741" s="202" t="str">
        <f t="shared" si="1119"/>
        <v>Q2</v>
      </c>
      <c r="E3741" s="33" t="str">
        <f t="shared" si="1135"/>
        <v>FY 24/25</v>
      </c>
      <c r="F3741" s="23">
        <v>2024</v>
      </c>
      <c r="G3741" s="23">
        <v>10</v>
      </c>
      <c r="H3741" s="29"/>
      <c r="I3741" s="204" t="str">
        <f t="shared" si="1121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2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3"/>
        <v>1.13</v>
      </c>
      <c r="Z3741" s="196">
        <f t="shared" si="1124"/>
        <v>707040</v>
      </c>
      <c r="AA3741" s="22">
        <v>1.1080000000000001</v>
      </c>
      <c r="AB3741" s="197">
        <f t="shared" si="1134"/>
        <v>693274.61946902669</v>
      </c>
      <c r="AC3741" s="198">
        <f t="shared" si="1126"/>
        <v>71892.578038938067</v>
      </c>
      <c r="AD3741" s="169">
        <v>0.1037</v>
      </c>
      <c r="AE3741" s="199">
        <f t="shared" si="1127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05"/>
        <v>22758096.38940867</v>
      </c>
      <c r="AJ3741" s="200">
        <f t="shared" si="1106"/>
        <v>2469357.2298956565</v>
      </c>
      <c r="AK3741" s="201">
        <f t="shared" si="1128"/>
        <v>0.10850455976822666</v>
      </c>
      <c r="AL3741" s="24"/>
      <c r="AM3741" s="24"/>
      <c r="AN3741" s="24"/>
      <c r="AO3741" s="24"/>
      <c r="AP3741" s="165" t="str">
        <f t="shared" si="1129"/>
        <v>202410</v>
      </c>
      <c r="AQ3741" s="203" t="str">
        <f t="shared" si="1130"/>
        <v>202410RMB</v>
      </c>
      <c r="AR3741" s="206" t="str">
        <f t="shared" si="1131"/>
        <v>YAMAHA_Mounter</v>
      </c>
      <c r="AS3741" s="22">
        <f t="shared" si="1132"/>
        <v>1</v>
      </c>
      <c r="AT3741" s="24" t="str">
        <f t="shared" si="1133"/>
        <v>0-3 months</v>
      </c>
      <c r="AU3741" s="22" t="s">
        <v>3240</v>
      </c>
    </row>
    <row r="3742" spans="1:47">
      <c r="A3742" s="33" t="str">
        <f t="shared" si="1118"/>
        <v>FY 24/25</v>
      </c>
      <c r="B3742" s="23">
        <v>2024</v>
      </c>
      <c r="C3742" s="23">
        <v>9</v>
      </c>
      <c r="D3742" s="202" t="str">
        <f t="shared" si="1119"/>
        <v>Q2</v>
      </c>
      <c r="E3742" s="33" t="str">
        <f t="shared" si="1135"/>
        <v>FY 24/25</v>
      </c>
      <c r="F3742" s="23">
        <v>2024</v>
      </c>
      <c r="G3742" s="23">
        <v>10</v>
      </c>
      <c r="H3742" s="29"/>
      <c r="I3742" s="204" t="str">
        <f t="shared" si="1121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2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3"/>
        <v>1.13</v>
      </c>
      <c r="Z3742" s="196">
        <f t="shared" si="1124"/>
        <v>707040</v>
      </c>
      <c r="AA3742" s="22">
        <v>1.1080000000000001</v>
      </c>
      <c r="AB3742" s="197">
        <f t="shared" si="1134"/>
        <v>693274.61946902669</v>
      </c>
      <c r="AC3742" s="198">
        <f t="shared" si="1126"/>
        <v>71892.578038938067</v>
      </c>
      <c r="AD3742" s="169">
        <v>0.1037</v>
      </c>
      <c r="AE3742" s="199">
        <f t="shared" si="1127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05"/>
        <v>22758096.38940867</v>
      </c>
      <c r="AJ3742" s="200">
        <f t="shared" si="1106"/>
        <v>2469357.2298956565</v>
      </c>
      <c r="AK3742" s="201">
        <f t="shared" si="1128"/>
        <v>0.10850455976822666</v>
      </c>
      <c r="AL3742" s="24"/>
      <c r="AM3742" s="24"/>
      <c r="AN3742" s="24"/>
      <c r="AO3742" s="24"/>
      <c r="AP3742" s="165" t="str">
        <f t="shared" si="1129"/>
        <v>202410</v>
      </c>
      <c r="AQ3742" s="203" t="str">
        <f t="shared" si="1130"/>
        <v>202410RMB</v>
      </c>
      <c r="AR3742" s="206" t="str">
        <f t="shared" si="1131"/>
        <v>YAMAHA_Mounter</v>
      </c>
      <c r="AS3742" s="22">
        <f t="shared" si="1132"/>
        <v>1</v>
      </c>
      <c r="AT3742" s="24" t="str">
        <f t="shared" si="1133"/>
        <v>0-3 months</v>
      </c>
      <c r="AU3742" s="22" t="s">
        <v>3240</v>
      </c>
    </row>
    <row r="3743" spans="1:47">
      <c r="A3743" s="33" t="str">
        <f t="shared" si="1118"/>
        <v>FY 24/25</v>
      </c>
      <c r="B3743" s="23">
        <v>2024</v>
      </c>
      <c r="C3743" s="23">
        <v>9</v>
      </c>
      <c r="D3743" s="202" t="str">
        <f t="shared" si="1119"/>
        <v>Q2</v>
      </c>
      <c r="E3743" s="33" t="str">
        <f t="shared" si="1135"/>
        <v>FY 24/25</v>
      </c>
      <c r="F3743" s="23">
        <v>2024</v>
      </c>
      <c r="G3743" s="23">
        <v>10</v>
      </c>
      <c r="H3743" s="29"/>
      <c r="I3743" s="204" t="str">
        <f t="shared" si="1121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2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3"/>
        <v>1.13</v>
      </c>
      <c r="Z3743" s="196">
        <f t="shared" si="1124"/>
        <v>707040</v>
      </c>
      <c r="AA3743" s="22">
        <v>1.1080000000000001</v>
      </c>
      <c r="AB3743" s="197">
        <f t="shared" si="1134"/>
        <v>693274.61946902669</v>
      </c>
      <c r="AC3743" s="198">
        <f t="shared" si="1126"/>
        <v>71892.578038938067</v>
      </c>
      <c r="AD3743" s="169">
        <v>0.1037</v>
      </c>
      <c r="AE3743" s="199">
        <f t="shared" si="1127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05"/>
        <v>22758096.38940867</v>
      </c>
      <c r="AJ3743" s="200">
        <f t="shared" si="1106"/>
        <v>2469357.2298956565</v>
      </c>
      <c r="AK3743" s="201">
        <f t="shared" si="1128"/>
        <v>0.10850455976822666</v>
      </c>
      <c r="AL3743" s="24"/>
      <c r="AM3743" s="24"/>
      <c r="AN3743" s="24"/>
      <c r="AO3743" s="24"/>
      <c r="AP3743" s="165" t="str">
        <f t="shared" si="1129"/>
        <v>202410</v>
      </c>
      <c r="AQ3743" s="203" t="str">
        <f t="shared" si="1130"/>
        <v>202410RMB</v>
      </c>
      <c r="AR3743" s="206" t="str">
        <f t="shared" si="1131"/>
        <v>YAMAHA_Mounter</v>
      </c>
      <c r="AS3743" s="22">
        <f t="shared" si="1132"/>
        <v>1</v>
      </c>
      <c r="AT3743" s="24" t="str">
        <f t="shared" si="1133"/>
        <v>0-3 months</v>
      </c>
      <c r="AU3743" s="22" t="s">
        <v>3240</v>
      </c>
    </row>
    <row r="3744" spans="1:47">
      <c r="A3744" s="33" t="str">
        <f t="shared" ref="A3744:A3807" si="1136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19"/>
        <v>Q2</v>
      </c>
      <c r="E3744" s="33" t="str">
        <f t="shared" si="1135"/>
        <v>FY 24/25</v>
      </c>
      <c r="F3744" s="23">
        <v>2024</v>
      </c>
      <c r="G3744" s="23">
        <v>12</v>
      </c>
      <c r="H3744" s="29"/>
      <c r="I3744" s="204" t="str">
        <f t="shared" ref="I3744:I3807" si="1137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2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3"/>
        <v>1.13</v>
      </c>
      <c r="Z3744" s="196">
        <f t="shared" si="1124"/>
        <v>375000</v>
      </c>
      <c r="AA3744" s="22">
        <v>1.0760000000000001</v>
      </c>
      <c r="AB3744" s="197">
        <f t="shared" si="1134"/>
        <v>357079.64601769921</v>
      </c>
      <c r="AC3744" s="198">
        <f t="shared" ref="AC3744:AC3807" si="1138">IF(R3744&lt;&gt;"",AB3744*AD3744,"")</f>
        <v>60774.955752212401</v>
      </c>
      <c r="AD3744" s="169">
        <v>0.17019999999999999</v>
      </c>
      <c r="AE3744" s="199">
        <f t="shared" ref="AE3744:AE3807" si="1139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05"/>
        <v>15965524.256637167</v>
      </c>
      <c r="AJ3744" s="200">
        <f t="shared" si="1106"/>
        <v>2480116.5996584073</v>
      </c>
      <c r="AK3744" s="201">
        <f t="shared" ref="AK3744:AK3807" si="1140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1">IF(F3744="","",F3744&amp;G3744)</f>
        <v>202412</v>
      </c>
      <c r="AQ3744" s="203" t="str">
        <f t="shared" ref="AQ3744:AQ3807" si="1142">IF(W3744="","",F3744&amp;G3744&amp;W3744)</f>
        <v>202412RMB</v>
      </c>
      <c r="AR3744" s="206" t="str">
        <f t="shared" ref="AR3744:AR3807" si="1143">IFERROR(IF(AND(M3744="YAMAHA", R3744="C28"), "YAMAHA_Non_Mounter", IF(AND(M3744="YAMAHA", R3744="C49"), "YAMAHA_Mounter", M3744)),"")</f>
        <v>YAMAHA_Non_Mounter</v>
      </c>
      <c r="AS3744" s="22">
        <f t="shared" ref="AS3744:AS3807" si="1144">IFERROR(IF(OR(G3744="TBA", G3744=""), "", DATEDIF(DATE(B3744, C3744, 1), DATE(F3744, G3744, 1), "M")),"")</f>
        <v>3</v>
      </c>
      <c r="AT3744" s="24" t="str">
        <f t="shared" ref="AT3744:AT3807" si="1145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36"/>
        <v>FY 24/25</v>
      </c>
      <c r="B3745" s="23">
        <v>2024</v>
      </c>
      <c r="C3745" s="23">
        <v>9</v>
      </c>
      <c r="D3745" s="202" t="str">
        <f t="shared" si="1119"/>
        <v>Q2</v>
      </c>
      <c r="E3745" s="33" t="str">
        <f t="shared" si="1135"/>
        <v>FY 24/25</v>
      </c>
      <c r="F3745" s="23">
        <v>2024</v>
      </c>
      <c r="G3745" s="23">
        <v>12</v>
      </c>
      <c r="H3745" s="29"/>
      <c r="I3745" s="204" t="str">
        <f t="shared" si="1137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46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3"/>
        <v>1.13</v>
      </c>
      <c r="Z3745" s="196">
        <f t="shared" si="1124"/>
        <v>375000</v>
      </c>
      <c r="AA3745" s="22">
        <v>1.0760000000000001</v>
      </c>
      <c r="AB3745" s="197">
        <f t="shared" si="1134"/>
        <v>357079.64601769921</v>
      </c>
      <c r="AC3745" s="198">
        <f t="shared" si="1138"/>
        <v>60774.955752212401</v>
      </c>
      <c r="AD3745" s="169">
        <v>0.17019999999999999</v>
      </c>
      <c r="AE3745" s="199">
        <f t="shared" si="1139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05"/>
        <v>15965524.256637167</v>
      </c>
      <c r="AJ3745" s="200">
        <f t="shared" si="1106"/>
        <v>2480116.5996584073</v>
      </c>
      <c r="AK3745" s="201">
        <f t="shared" si="1140"/>
        <v>0.15534200817911609</v>
      </c>
      <c r="AL3745" s="24"/>
      <c r="AM3745" s="24"/>
      <c r="AN3745" s="24"/>
      <c r="AO3745" s="24"/>
      <c r="AP3745" s="165" t="str">
        <f t="shared" si="1141"/>
        <v>202412</v>
      </c>
      <c r="AQ3745" s="203" t="str">
        <f t="shared" si="1142"/>
        <v>202412RMB</v>
      </c>
      <c r="AR3745" s="206" t="str">
        <f t="shared" si="1143"/>
        <v>YAMAHA_Non_Mounter</v>
      </c>
      <c r="AS3745" s="22">
        <f t="shared" si="1144"/>
        <v>3</v>
      </c>
      <c r="AT3745" s="24" t="str">
        <f t="shared" si="1145"/>
        <v>0-3 months</v>
      </c>
      <c r="AU3745" s="22" t="s">
        <v>3240</v>
      </c>
    </row>
    <row r="3746" spans="1:47">
      <c r="A3746" s="33" t="str">
        <f t="shared" si="1136"/>
        <v>FY 24/25</v>
      </c>
      <c r="B3746" s="23">
        <v>2024</v>
      </c>
      <c r="C3746" s="23">
        <v>9</v>
      </c>
      <c r="D3746" s="202" t="str">
        <f t="shared" si="1119"/>
        <v>Q2</v>
      </c>
      <c r="E3746" s="33" t="str">
        <f t="shared" si="1135"/>
        <v>FY 24/25</v>
      </c>
      <c r="F3746" s="23">
        <v>2024</v>
      </c>
      <c r="G3746" s="23">
        <v>12</v>
      </c>
      <c r="H3746" s="29"/>
      <c r="I3746" s="204" t="str">
        <f t="shared" si="1137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46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3"/>
        <v>1.13</v>
      </c>
      <c r="Z3746" s="196">
        <f t="shared" si="1124"/>
        <v>375000</v>
      </c>
      <c r="AA3746" s="22">
        <v>1.0760000000000001</v>
      </c>
      <c r="AB3746" s="197">
        <f t="shared" si="1134"/>
        <v>357079.64601769921</v>
      </c>
      <c r="AC3746" s="198">
        <f t="shared" si="1138"/>
        <v>60774.955752212401</v>
      </c>
      <c r="AD3746" s="169">
        <v>0.17019999999999999</v>
      </c>
      <c r="AE3746" s="199">
        <f t="shared" si="1139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05"/>
        <v>15965524.256637167</v>
      </c>
      <c r="AJ3746" s="200">
        <f t="shared" si="1106"/>
        <v>2480116.5996584073</v>
      </c>
      <c r="AK3746" s="201">
        <f t="shared" si="1140"/>
        <v>0.15534200817911609</v>
      </c>
      <c r="AL3746" s="24"/>
      <c r="AM3746" s="24"/>
      <c r="AN3746" s="24"/>
      <c r="AO3746" s="24"/>
      <c r="AP3746" s="165" t="str">
        <f t="shared" si="1141"/>
        <v>202412</v>
      </c>
      <c r="AQ3746" s="203" t="str">
        <f t="shared" si="1142"/>
        <v>202412RMB</v>
      </c>
      <c r="AR3746" s="206" t="str">
        <f t="shared" si="1143"/>
        <v>YAMAHA_Non_Mounter</v>
      </c>
      <c r="AS3746" s="22">
        <f t="shared" si="1144"/>
        <v>3</v>
      </c>
      <c r="AT3746" s="24" t="str">
        <f t="shared" si="1145"/>
        <v>0-3 months</v>
      </c>
      <c r="AU3746" s="22" t="s">
        <v>3240</v>
      </c>
    </row>
    <row r="3747" spans="1:47">
      <c r="A3747" s="33" t="str">
        <f t="shared" si="1136"/>
        <v>FY 24/25</v>
      </c>
      <c r="B3747" s="23">
        <v>2024</v>
      </c>
      <c r="C3747" s="23">
        <v>9</v>
      </c>
      <c r="D3747" s="202" t="str">
        <f t="shared" si="1119"/>
        <v>Q2</v>
      </c>
      <c r="E3747" s="33" t="str">
        <f t="shared" si="1135"/>
        <v>FY 24/25</v>
      </c>
      <c r="F3747" s="23">
        <v>2024</v>
      </c>
      <c r="G3747" s="23">
        <v>12</v>
      </c>
      <c r="H3747" s="29"/>
      <c r="I3747" s="204" t="str">
        <f t="shared" si="1137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46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3"/>
        <v>1.13</v>
      </c>
      <c r="Z3747" s="196">
        <f t="shared" si="1124"/>
        <v>375000</v>
      </c>
      <c r="AA3747" s="22">
        <v>1.0760000000000001</v>
      </c>
      <c r="AB3747" s="197">
        <f t="shared" si="1134"/>
        <v>357079.64601769921</v>
      </c>
      <c r="AC3747" s="198">
        <f t="shared" si="1138"/>
        <v>65881.194690265504</v>
      </c>
      <c r="AD3747" s="169">
        <v>0.1845</v>
      </c>
      <c r="AE3747" s="199">
        <f t="shared" si="1139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05"/>
        <v>15965524.256637167</v>
      </c>
      <c r="AJ3747" s="200">
        <f t="shared" si="1106"/>
        <v>2480116.5996584073</v>
      </c>
      <c r="AK3747" s="201">
        <f t="shared" si="1140"/>
        <v>0.15534200817911609</v>
      </c>
      <c r="AL3747" s="24"/>
      <c r="AM3747" s="24"/>
      <c r="AN3747" s="24"/>
      <c r="AO3747" s="24"/>
      <c r="AP3747" s="165" t="str">
        <f t="shared" si="1141"/>
        <v>202412</v>
      </c>
      <c r="AQ3747" s="203" t="str">
        <f t="shared" si="1142"/>
        <v>202412RMB</v>
      </c>
      <c r="AR3747" s="206" t="str">
        <f t="shared" si="1143"/>
        <v>YAMAHA_Non_Mounter</v>
      </c>
      <c r="AS3747" s="22">
        <f t="shared" si="1144"/>
        <v>3</v>
      </c>
      <c r="AT3747" s="24" t="str">
        <f t="shared" si="1145"/>
        <v>0-3 months</v>
      </c>
      <c r="AU3747" s="22" t="s">
        <v>3240</v>
      </c>
    </row>
    <row r="3748" spans="1:47">
      <c r="A3748" s="33" t="str">
        <f t="shared" si="1136"/>
        <v>FY 24/25</v>
      </c>
      <c r="B3748" s="23">
        <v>2024</v>
      </c>
      <c r="C3748" s="23">
        <v>9</v>
      </c>
      <c r="D3748" s="202" t="str">
        <f t="shared" si="1119"/>
        <v>Q2</v>
      </c>
      <c r="E3748" s="33" t="str">
        <f t="shared" si="1135"/>
        <v>FY 24/25</v>
      </c>
      <c r="F3748" s="23">
        <v>2024</v>
      </c>
      <c r="G3748" s="23">
        <v>12</v>
      </c>
      <c r="H3748" s="29"/>
      <c r="I3748" s="204" t="str">
        <f t="shared" si="1137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46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3"/>
        <v>1.13</v>
      </c>
      <c r="Z3748" s="196">
        <f t="shared" si="1124"/>
        <v>375000</v>
      </c>
      <c r="AA3748" s="22">
        <v>1.0760000000000001</v>
      </c>
      <c r="AB3748" s="197">
        <f t="shared" si="1134"/>
        <v>357079.64601769921</v>
      </c>
      <c r="AC3748" s="198">
        <f t="shared" si="1138"/>
        <v>65881.194690265504</v>
      </c>
      <c r="AD3748" s="169">
        <v>0.1845</v>
      </c>
      <c r="AE3748" s="199">
        <f t="shared" si="1139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05"/>
        <v>15965524.256637167</v>
      </c>
      <c r="AJ3748" s="200">
        <f t="shared" si="1106"/>
        <v>2480116.5996584073</v>
      </c>
      <c r="AK3748" s="201">
        <f t="shared" si="1140"/>
        <v>0.15534200817911609</v>
      </c>
      <c r="AL3748" s="24"/>
      <c r="AM3748" s="24"/>
      <c r="AN3748" s="24"/>
      <c r="AO3748" s="24"/>
      <c r="AP3748" s="165" t="str">
        <f t="shared" si="1141"/>
        <v>202412</v>
      </c>
      <c r="AQ3748" s="203" t="str">
        <f t="shared" si="1142"/>
        <v>202412RMB</v>
      </c>
      <c r="AR3748" s="206" t="str">
        <f t="shared" si="1143"/>
        <v>YAMAHA_Non_Mounter</v>
      </c>
      <c r="AS3748" s="22">
        <f t="shared" si="1144"/>
        <v>3</v>
      </c>
      <c r="AT3748" s="24" t="str">
        <f t="shared" si="1145"/>
        <v>0-3 months</v>
      </c>
      <c r="AU3748" s="22" t="s">
        <v>3240</v>
      </c>
    </row>
    <row r="3749" spans="1:47">
      <c r="A3749" s="33" t="str">
        <f t="shared" si="1136"/>
        <v>FY 24/25</v>
      </c>
      <c r="B3749" s="23">
        <v>2024</v>
      </c>
      <c r="C3749" s="23">
        <v>9</v>
      </c>
      <c r="D3749" s="202" t="str">
        <f t="shared" si="1119"/>
        <v>Q2</v>
      </c>
      <c r="E3749" s="33" t="str">
        <f t="shared" si="1135"/>
        <v>FY 24/25</v>
      </c>
      <c r="F3749" s="23">
        <v>2024</v>
      </c>
      <c r="G3749" s="23">
        <v>12</v>
      </c>
      <c r="H3749" s="29"/>
      <c r="I3749" s="204" t="str">
        <f t="shared" si="1137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46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3"/>
        <v>1.13</v>
      </c>
      <c r="Z3749" s="196">
        <f t="shared" si="1124"/>
        <v>375000</v>
      </c>
      <c r="AA3749" s="22">
        <v>1.0760000000000001</v>
      </c>
      <c r="AB3749" s="197">
        <f t="shared" si="1134"/>
        <v>357079.64601769921</v>
      </c>
      <c r="AC3749" s="198">
        <f t="shared" si="1138"/>
        <v>65881.194690265504</v>
      </c>
      <c r="AD3749" s="169">
        <v>0.1845</v>
      </c>
      <c r="AE3749" s="199">
        <f t="shared" si="1139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05"/>
        <v>15965524.256637167</v>
      </c>
      <c r="AJ3749" s="200">
        <f t="shared" si="1106"/>
        <v>2480116.5996584073</v>
      </c>
      <c r="AK3749" s="201">
        <f t="shared" si="1140"/>
        <v>0.15534200817911609</v>
      </c>
      <c r="AL3749" s="24"/>
      <c r="AM3749" s="24"/>
      <c r="AN3749" s="24"/>
      <c r="AO3749" s="24"/>
      <c r="AP3749" s="165" t="str">
        <f t="shared" si="1141"/>
        <v>202412</v>
      </c>
      <c r="AQ3749" s="203" t="str">
        <f t="shared" si="1142"/>
        <v>202412RMB</v>
      </c>
      <c r="AR3749" s="206" t="str">
        <f t="shared" si="1143"/>
        <v>YAMAHA_Non_Mounter</v>
      </c>
      <c r="AS3749" s="22">
        <f t="shared" si="1144"/>
        <v>3</v>
      </c>
      <c r="AT3749" s="24" t="str">
        <f t="shared" si="1145"/>
        <v>0-3 months</v>
      </c>
      <c r="AU3749" s="22" t="s">
        <v>3240</v>
      </c>
    </row>
    <row r="3750" spans="1:47">
      <c r="A3750" s="33" t="str">
        <f t="shared" si="1136"/>
        <v>FY 24/25</v>
      </c>
      <c r="B3750" s="23">
        <v>2024</v>
      </c>
      <c r="C3750" s="23">
        <v>10</v>
      </c>
      <c r="D3750" s="202" t="str">
        <f t="shared" si="1119"/>
        <v>Q3</v>
      </c>
      <c r="E3750" s="33" t="str">
        <f t="shared" si="1135"/>
        <v>FY 24/25</v>
      </c>
      <c r="F3750" s="23">
        <v>2025</v>
      </c>
      <c r="G3750" s="23">
        <v>2</v>
      </c>
      <c r="H3750" s="29"/>
      <c r="I3750" s="204" t="str">
        <f t="shared" si="1137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46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3"/>
        <v>1</v>
      </c>
      <c r="Z3750" s="196">
        <f t="shared" si="1124"/>
        <v>14000000</v>
      </c>
      <c r="AA3750" s="22">
        <v>5.11E-2</v>
      </c>
      <c r="AB3750" s="197">
        <f t="shared" si="1134"/>
        <v>715400</v>
      </c>
      <c r="AC3750" s="198">
        <f t="shared" si="1138"/>
        <v>84345.66</v>
      </c>
      <c r="AD3750" s="170">
        <v>0.1179</v>
      </c>
      <c r="AE3750" s="199">
        <f t="shared" si="1139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05"/>
        <v>30691842.970796466</v>
      </c>
      <c r="AJ3750" s="200">
        <f t="shared" si="1106"/>
        <v>4088324.205777524</v>
      </c>
      <c r="AK3750" s="201">
        <f t="shared" si="1140"/>
        <v>0.1332055624573473</v>
      </c>
      <c r="AL3750" s="24"/>
      <c r="AM3750" s="24"/>
      <c r="AN3750" s="24"/>
      <c r="AO3750" s="24"/>
      <c r="AP3750" s="165" t="str">
        <f t="shared" si="1141"/>
        <v>20252</v>
      </c>
      <c r="AQ3750" s="203" t="str">
        <f t="shared" si="1142"/>
        <v>20252JPY</v>
      </c>
      <c r="AR3750" s="206" t="str">
        <f t="shared" si="1143"/>
        <v>YAMAHA_Mounter</v>
      </c>
      <c r="AS3750" s="22">
        <f t="shared" si="1144"/>
        <v>4</v>
      </c>
      <c r="AT3750" s="24" t="str">
        <f t="shared" si="1145"/>
        <v>4-6 months</v>
      </c>
      <c r="AU3750" s="22" t="s">
        <v>3745</v>
      </c>
    </row>
    <row r="3751" spans="1:47">
      <c r="A3751" s="33" t="str">
        <f t="shared" si="1136"/>
        <v>FY 24/25</v>
      </c>
      <c r="B3751" s="23">
        <v>2024</v>
      </c>
      <c r="C3751" s="23">
        <v>10</v>
      </c>
      <c r="D3751" s="202" t="str">
        <f t="shared" si="1119"/>
        <v>Q3</v>
      </c>
      <c r="E3751" s="33" t="str">
        <f t="shared" si="1135"/>
        <v>FY 24/25</v>
      </c>
      <c r="F3751" s="23">
        <v>2025</v>
      </c>
      <c r="G3751" s="23">
        <v>2</v>
      </c>
      <c r="H3751" s="29"/>
      <c r="I3751" s="204" t="str">
        <f t="shared" si="1137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46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3"/>
        <v>1</v>
      </c>
      <c r="Z3751" s="196">
        <f t="shared" si="1124"/>
        <v>14000000</v>
      </c>
      <c r="AA3751" s="22">
        <v>5.11E-2</v>
      </c>
      <c r="AB3751" s="197">
        <f t="shared" si="1134"/>
        <v>715400</v>
      </c>
      <c r="AC3751" s="198">
        <f t="shared" si="1138"/>
        <v>84345.66</v>
      </c>
      <c r="AD3751" s="170">
        <v>0.1179</v>
      </c>
      <c r="AE3751" s="199">
        <f t="shared" si="1139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05"/>
        <v>30691842.970796466</v>
      </c>
      <c r="AJ3751" s="200">
        <f t="shared" si="1106"/>
        <v>4088324.205777524</v>
      </c>
      <c r="AK3751" s="201">
        <f t="shared" si="1140"/>
        <v>0.1332055624573473</v>
      </c>
      <c r="AL3751" s="24"/>
      <c r="AM3751" s="24"/>
      <c r="AN3751" s="24"/>
      <c r="AO3751" s="24"/>
      <c r="AP3751" s="165" t="str">
        <f t="shared" si="1141"/>
        <v>20252</v>
      </c>
      <c r="AQ3751" s="203" t="str">
        <f t="shared" si="1142"/>
        <v>20252JPY</v>
      </c>
      <c r="AR3751" s="206" t="str">
        <f t="shared" si="1143"/>
        <v>YAMAHA_Mounter</v>
      </c>
      <c r="AS3751" s="22">
        <f t="shared" si="1144"/>
        <v>4</v>
      </c>
      <c r="AT3751" s="24" t="str">
        <f t="shared" si="1145"/>
        <v>4-6 months</v>
      </c>
      <c r="AU3751" s="22" t="s">
        <v>3745</v>
      </c>
    </row>
    <row r="3752" spans="1:47">
      <c r="A3752" s="33" t="str">
        <f t="shared" si="1136"/>
        <v>FY 24/25</v>
      </c>
      <c r="B3752" s="23">
        <v>2024</v>
      </c>
      <c r="C3752" s="23">
        <v>10</v>
      </c>
      <c r="D3752" s="202" t="str">
        <f t="shared" si="1119"/>
        <v>Q3</v>
      </c>
      <c r="E3752" s="33" t="str">
        <f t="shared" si="1135"/>
        <v>FY 24/25</v>
      </c>
      <c r="F3752" s="23">
        <v>2025</v>
      </c>
      <c r="G3752" s="23">
        <v>2</v>
      </c>
      <c r="H3752" s="29"/>
      <c r="I3752" s="204" t="str">
        <f t="shared" si="1137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46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3"/>
        <v>1</v>
      </c>
      <c r="Z3752" s="196">
        <f t="shared" si="1124"/>
        <v>14000000</v>
      </c>
      <c r="AA3752" s="22">
        <v>5.11E-2</v>
      </c>
      <c r="AB3752" s="197">
        <f t="shared" si="1134"/>
        <v>715400</v>
      </c>
      <c r="AC3752" s="198">
        <f t="shared" si="1138"/>
        <v>84345.66</v>
      </c>
      <c r="AD3752" s="170">
        <v>0.1179</v>
      </c>
      <c r="AE3752" s="199">
        <f t="shared" si="1139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05"/>
        <v>30691842.970796466</v>
      </c>
      <c r="AJ3752" s="200">
        <f t="shared" si="1106"/>
        <v>4088324.205777524</v>
      </c>
      <c r="AK3752" s="201">
        <f t="shared" si="1140"/>
        <v>0.1332055624573473</v>
      </c>
      <c r="AL3752" s="24"/>
      <c r="AM3752" s="24"/>
      <c r="AN3752" s="24"/>
      <c r="AO3752" s="24"/>
      <c r="AP3752" s="165" t="str">
        <f t="shared" si="1141"/>
        <v>20252</v>
      </c>
      <c r="AQ3752" s="203" t="str">
        <f t="shared" si="1142"/>
        <v>20252JPY</v>
      </c>
      <c r="AR3752" s="206" t="str">
        <f t="shared" si="1143"/>
        <v>YAMAHA_Mounter</v>
      </c>
      <c r="AS3752" s="22">
        <f t="shared" si="1144"/>
        <v>4</v>
      </c>
      <c r="AT3752" s="24" t="str">
        <f t="shared" si="1145"/>
        <v>4-6 months</v>
      </c>
      <c r="AU3752" s="22" t="s">
        <v>3745</v>
      </c>
    </row>
    <row r="3753" spans="1:47">
      <c r="A3753" s="33" t="str">
        <f t="shared" si="1136"/>
        <v>FY 24/25</v>
      </c>
      <c r="B3753" s="23">
        <v>2024</v>
      </c>
      <c r="C3753" s="23">
        <v>10</v>
      </c>
      <c r="D3753" s="202" t="str">
        <f t="shared" si="1119"/>
        <v>Q3</v>
      </c>
      <c r="E3753" s="33" t="str">
        <f t="shared" si="1135"/>
        <v>FY 24/25</v>
      </c>
      <c r="F3753" s="23">
        <v>2025</v>
      </c>
      <c r="G3753" s="23">
        <v>2</v>
      </c>
      <c r="H3753" s="29"/>
      <c r="I3753" s="204" t="str">
        <f t="shared" si="1137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46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3"/>
        <v>1</v>
      </c>
      <c r="Z3753" s="196">
        <f t="shared" si="1124"/>
        <v>14000000</v>
      </c>
      <c r="AA3753" s="22">
        <v>5.11E-2</v>
      </c>
      <c r="AB3753" s="197">
        <f t="shared" si="1134"/>
        <v>715400</v>
      </c>
      <c r="AC3753" s="198">
        <f t="shared" si="1138"/>
        <v>84345.66</v>
      </c>
      <c r="AD3753" s="170">
        <v>0.1179</v>
      </c>
      <c r="AE3753" s="199">
        <f t="shared" si="1139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05"/>
        <v>30691842.970796466</v>
      </c>
      <c r="AJ3753" s="200">
        <f t="shared" si="1106"/>
        <v>4088324.205777524</v>
      </c>
      <c r="AK3753" s="201">
        <f t="shared" si="1140"/>
        <v>0.1332055624573473</v>
      </c>
      <c r="AL3753" s="24"/>
      <c r="AM3753" s="24"/>
      <c r="AN3753" s="24"/>
      <c r="AO3753" s="24"/>
      <c r="AP3753" s="165" t="str">
        <f t="shared" si="1141"/>
        <v>20252</v>
      </c>
      <c r="AQ3753" s="203" t="str">
        <f t="shared" si="1142"/>
        <v>20252JPY</v>
      </c>
      <c r="AR3753" s="206" t="str">
        <f t="shared" si="1143"/>
        <v>YAMAHA_Mounter</v>
      </c>
      <c r="AS3753" s="22">
        <f t="shared" si="1144"/>
        <v>4</v>
      </c>
      <c r="AT3753" s="24" t="str">
        <f t="shared" si="1145"/>
        <v>4-6 months</v>
      </c>
      <c r="AU3753" s="22" t="s">
        <v>3745</v>
      </c>
    </row>
    <row r="3754" spans="1:47">
      <c r="A3754" s="33" t="str">
        <f t="shared" si="1136"/>
        <v>FY 24/25</v>
      </c>
      <c r="B3754" s="23">
        <v>2024</v>
      </c>
      <c r="C3754" s="23">
        <v>10</v>
      </c>
      <c r="D3754" s="202" t="str">
        <f t="shared" si="1119"/>
        <v>Q3</v>
      </c>
      <c r="E3754" s="33" t="str">
        <f t="shared" si="1135"/>
        <v>FY 24/25</v>
      </c>
      <c r="F3754" s="23">
        <v>2025</v>
      </c>
      <c r="G3754" s="23">
        <v>1</v>
      </c>
      <c r="H3754" s="29"/>
      <c r="I3754" s="204" t="str">
        <f t="shared" si="1137"/>
        <v>Q4</v>
      </c>
      <c r="J3754" s="188" t="s">
        <v>3652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46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3"/>
        <v>1</v>
      </c>
      <c r="Z3754" s="196">
        <f t="shared" si="1124"/>
        <v>105570</v>
      </c>
      <c r="AA3754" s="22">
        <v>7.8</v>
      </c>
      <c r="AB3754" s="197">
        <f t="shared" si="1134"/>
        <v>823446</v>
      </c>
      <c r="AC3754" s="198">
        <f t="shared" si="1138"/>
        <v>138338.92800000001</v>
      </c>
      <c r="AD3754" s="169">
        <v>0.16800000000000001</v>
      </c>
      <c r="AE3754" s="199">
        <f t="shared" si="1139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05"/>
        <v>16190947.162761064</v>
      </c>
      <c r="AJ3754" s="200">
        <f t="shared" si="1106"/>
        <v>2256328.1660673413</v>
      </c>
      <c r="AK3754" s="201">
        <f t="shared" si="1140"/>
        <v>0.13935739171929745</v>
      </c>
      <c r="AL3754" s="24"/>
      <c r="AM3754" s="24"/>
      <c r="AN3754" s="24"/>
      <c r="AO3754" s="24"/>
      <c r="AP3754" s="165" t="str">
        <f t="shared" si="1141"/>
        <v>20251</v>
      </c>
      <c r="AQ3754" s="203" t="str">
        <f t="shared" si="1142"/>
        <v>20251USD</v>
      </c>
      <c r="AR3754" s="206" t="str">
        <f t="shared" si="1143"/>
        <v>YAMAHA_Mounter</v>
      </c>
      <c r="AS3754" s="22">
        <f t="shared" si="1144"/>
        <v>3</v>
      </c>
      <c r="AT3754" s="24" t="str">
        <f t="shared" si="1145"/>
        <v>0-3 months</v>
      </c>
      <c r="AU3754" s="22" t="s">
        <v>3748</v>
      </c>
    </row>
    <row r="3755" spans="1:47">
      <c r="A3755" s="33" t="str">
        <f t="shared" si="1136"/>
        <v>FY 24/25</v>
      </c>
      <c r="B3755" s="23">
        <v>2024</v>
      </c>
      <c r="C3755" s="23">
        <v>10</v>
      </c>
      <c r="D3755" s="202" t="str">
        <f t="shared" si="1119"/>
        <v>Q3</v>
      </c>
      <c r="E3755" s="33" t="str">
        <f t="shared" si="1135"/>
        <v>FY 24/25</v>
      </c>
      <c r="F3755" s="23">
        <v>2025</v>
      </c>
      <c r="G3755" s="23">
        <v>1</v>
      </c>
      <c r="H3755" s="29"/>
      <c r="I3755" s="204" t="str">
        <f t="shared" si="1137"/>
        <v>Q4</v>
      </c>
      <c r="J3755" s="188" t="s">
        <v>3652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46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3"/>
        <v>1</v>
      </c>
      <c r="Z3755" s="196">
        <f t="shared" si="1124"/>
        <v>105570</v>
      </c>
      <c r="AA3755" s="22">
        <v>7.8</v>
      </c>
      <c r="AB3755" s="197">
        <f t="shared" si="1134"/>
        <v>823446</v>
      </c>
      <c r="AC3755" s="198">
        <f t="shared" si="1138"/>
        <v>138338.92800000001</v>
      </c>
      <c r="AD3755" s="169">
        <v>0.16800000000000001</v>
      </c>
      <c r="AE3755" s="199">
        <f t="shared" si="1139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05"/>
        <v>16190947.162761064</v>
      </c>
      <c r="AJ3755" s="200">
        <f t="shared" si="1106"/>
        <v>2256328.1660673413</v>
      </c>
      <c r="AK3755" s="201">
        <f t="shared" si="1140"/>
        <v>0.13935739171929745</v>
      </c>
      <c r="AL3755" s="24"/>
      <c r="AM3755" s="24"/>
      <c r="AN3755" s="24"/>
      <c r="AO3755" s="24"/>
      <c r="AP3755" s="165" t="str">
        <f t="shared" si="1141"/>
        <v>20251</v>
      </c>
      <c r="AQ3755" s="203" t="str">
        <f t="shared" si="1142"/>
        <v>20251USD</v>
      </c>
      <c r="AR3755" s="206" t="str">
        <f t="shared" si="1143"/>
        <v>YAMAHA_Mounter</v>
      </c>
      <c r="AS3755" s="22">
        <f t="shared" si="1144"/>
        <v>3</v>
      </c>
      <c r="AT3755" s="24" t="str">
        <f t="shared" si="1145"/>
        <v>0-3 months</v>
      </c>
      <c r="AU3755" s="22" t="s">
        <v>3748</v>
      </c>
    </row>
    <row r="3756" spans="1:47">
      <c r="A3756" s="33" t="str">
        <f t="shared" si="1136"/>
        <v>FY 24/25</v>
      </c>
      <c r="B3756" s="23">
        <v>2024</v>
      </c>
      <c r="C3756" s="23">
        <v>10</v>
      </c>
      <c r="D3756" s="202" t="str">
        <f t="shared" si="1119"/>
        <v>Q3</v>
      </c>
      <c r="E3756" s="33" t="str">
        <f t="shared" si="1135"/>
        <v>FY 24/25</v>
      </c>
      <c r="F3756" s="23">
        <v>2025</v>
      </c>
      <c r="G3756" s="23">
        <v>1</v>
      </c>
      <c r="H3756" s="29"/>
      <c r="I3756" s="204" t="str">
        <f t="shared" si="1137"/>
        <v>Q4</v>
      </c>
      <c r="J3756" s="188" t="s">
        <v>3652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46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3"/>
        <v>1</v>
      </c>
      <c r="Z3756" s="196">
        <f t="shared" si="1124"/>
        <v>73440</v>
      </c>
      <c r="AA3756" s="22">
        <v>7.8</v>
      </c>
      <c r="AB3756" s="197">
        <f t="shared" si="1134"/>
        <v>572832</v>
      </c>
      <c r="AC3756" s="198">
        <f t="shared" si="1138"/>
        <v>96235.776000000013</v>
      </c>
      <c r="AD3756" s="169">
        <v>0.16800000000000001</v>
      </c>
      <c r="AE3756" s="199">
        <f t="shared" si="1139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05"/>
        <v>16190947.162761064</v>
      </c>
      <c r="AJ3756" s="200">
        <f t="shared" si="1106"/>
        <v>2256328.1660673413</v>
      </c>
      <c r="AK3756" s="201">
        <f t="shared" si="1140"/>
        <v>0.13935739171929745</v>
      </c>
      <c r="AL3756" s="24"/>
      <c r="AM3756" s="24"/>
      <c r="AN3756" s="24"/>
      <c r="AO3756" s="24"/>
      <c r="AP3756" s="165" t="str">
        <f t="shared" si="1141"/>
        <v>20251</v>
      </c>
      <c r="AQ3756" s="203" t="str">
        <f t="shared" si="1142"/>
        <v>20251USD</v>
      </c>
      <c r="AR3756" s="206" t="str">
        <f t="shared" si="1143"/>
        <v>YAMAHA_Mounter</v>
      </c>
      <c r="AS3756" s="22">
        <f t="shared" si="1144"/>
        <v>3</v>
      </c>
      <c r="AT3756" s="24" t="str">
        <f t="shared" si="1145"/>
        <v>0-3 months</v>
      </c>
      <c r="AU3756" s="22" t="s">
        <v>3748</v>
      </c>
    </row>
    <row r="3757" spans="1:47">
      <c r="A3757" s="33" t="str">
        <f t="shared" si="1136"/>
        <v>cancel</v>
      </c>
      <c r="B3757" s="23" t="s">
        <v>185</v>
      </c>
      <c r="C3757" s="23" t="s">
        <v>185</v>
      </c>
      <c r="D3757" s="202" t="b">
        <f t="shared" si="1119"/>
        <v>0</v>
      </c>
      <c r="E3757" s="33" t="str">
        <f t="shared" si="1135"/>
        <v>Cancel</v>
      </c>
      <c r="F3757" s="23" t="s">
        <v>185</v>
      </c>
      <c r="G3757" s="23" t="s">
        <v>185</v>
      </c>
      <c r="H3757" s="29"/>
      <c r="I3757" s="204" t="str">
        <f t="shared" si="1137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46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123"/>
        <v>1</v>
      </c>
      <c r="Z3757" s="196">
        <f t="shared" si="1124"/>
        <v>35000</v>
      </c>
      <c r="AA3757" s="22">
        <v>7.8</v>
      </c>
      <c r="AB3757" s="197">
        <f t="shared" si="1134"/>
        <v>273000</v>
      </c>
      <c r="AC3757" s="198">
        <f t="shared" si="1138"/>
        <v>32760</v>
      </c>
      <c r="AD3757" s="169">
        <v>0.12</v>
      </c>
      <c r="AE3757" s="199">
        <f t="shared" si="1139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05"/>
        <v>499582152.5142017</v>
      </c>
      <c r="AJ3757" s="200">
        <f t="shared" si="1106"/>
        <v>59520528.679470733</v>
      </c>
      <c r="AK3757" s="201">
        <f t="shared" si="1140"/>
        <v>0.11914062257814291</v>
      </c>
      <c r="AL3757" s="24"/>
      <c r="AM3757" s="24"/>
      <c r="AN3757" s="24"/>
      <c r="AO3757" s="24"/>
      <c r="AP3757" s="165" t="str">
        <f t="shared" si="1141"/>
        <v>CancelCancel</v>
      </c>
      <c r="AQ3757" s="203" t="str">
        <f t="shared" si="1142"/>
        <v>CancelCancelUSD</v>
      </c>
      <c r="AR3757" s="206" t="str">
        <f t="shared" si="1143"/>
        <v>YAMAHA_Non_Mounter</v>
      </c>
      <c r="AS3757" s="22" t="str">
        <f t="shared" si="1144"/>
        <v/>
      </c>
      <c r="AT3757" s="24" t="str">
        <f t="shared" si="1145"/>
        <v/>
      </c>
      <c r="AU3757" s="22" t="s">
        <v>3240</v>
      </c>
    </row>
    <row r="3758" spans="1:47">
      <c r="A3758" s="33" t="str">
        <f t="shared" si="1136"/>
        <v>cancel</v>
      </c>
      <c r="B3758" s="23" t="s">
        <v>185</v>
      </c>
      <c r="C3758" s="23" t="s">
        <v>185</v>
      </c>
      <c r="D3758" s="202" t="b">
        <f t="shared" si="1119"/>
        <v>0</v>
      </c>
      <c r="E3758" s="33" t="str">
        <f t="shared" si="1135"/>
        <v>Cancel</v>
      </c>
      <c r="F3758" s="23" t="s">
        <v>185</v>
      </c>
      <c r="G3758" s="23" t="s">
        <v>185</v>
      </c>
      <c r="H3758" s="29"/>
      <c r="I3758" s="204" t="str">
        <f t="shared" si="1137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46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123"/>
        <v>1</v>
      </c>
      <c r="Z3758" s="196">
        <f t="shared" si="1124"/>
        <v>82500</v>
      </c>
      <c r="AA3758" s="22">
        <v>7.8</v>
      </c>
      <c r="AB3758" s="197">
        <f t="shared" si="1134"/>
        <v>643500</v>
      </c>
      <c r="AC3758" s="198">
        <f t="shared" si="1138"/>
        <v>77220</v>
      </c>
      <c r="AD3758" s="169">
        <v>0.12</v>
      </c>
      <c r="AE3758" s="199">
        <f t="shared" si="1139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05"/>
        <v>499582152.5142017</v>
      </c>
      <c r="AJ3758" s="200">
        <f t="shared" si="1106"/>
        <v>59520528.679470733</v>
      </c>
      <c r="AK3758" s="201">
        <f t="shared" si="1140"/>
        <v>0.11914062257814291</v>
      </c>
      <c r="AL3758" s="24"/>
      <c r="AM3758" s="24"/>
      <c r="AN3758" s="24"/>
      <c r="AO3758" s="24"/>
      <c r="AP3758" s="165" t="str">
        <f t="shared" si="1141"/>
        <v>CancelCancel</v>
      </c>
      <c r="AQ3758" s="203" t="str">
        <f t="shared" si="1142"/>
        <v>CancelCancelUSD</v>
      </c>
      <c r="AR3758" s="206" t="str">
        <f t="shared" si="1143"/>
        <v>YAMAHA_Non_Mounter</v>
      </c>
      <c r="AS3758" s="22" t="str">
        <f t="shared" si="1144"/>
        <v/>
      </c>
      <c r="AT3758" s="24" t="str">
        <f t="shared" si="1145"/>
        <v/>
      </c>
      <c r="AU3758" s="22" t="s">
        <v>3240</v>
      </c>
    </row>
    <row r="3759" spans="1:47">
      <c r="A3759" s="33" t="str">
        <f t="shared" si="1136"/>
        <v>FY 24/25</v>
      </c>
      <c r="B3759" s="23">
        <v>2024</v>
      </c>
      <c r="C3759" s="23">
        <v>10</v>
      </c>
      <c r="D3759" s="33" t="str">
        <f t="shared" si="1119"/>
        <v>Q3</v>
      </c>
      <c r="E3759" s="33" t="str">
        <f t="shared" si="1135"/>
        <v>FY 24/25</v>
      </c>
      <c r="F3759" s="23">
        <v>2025</v>
      </c>
      <c r="G3759" s="23">
        <v>2</v>
      </c>
      <c r="H3759" s="29"/>
      <c r="I3759" s="93" t="str">
        <f t="shared" si="1137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46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3"/>
        <v>1</v>
      </c>
      <c r="Z3759" s="230">
        <f t="shared" si="1124"/>
        <v>13800000</v>
      </c>
      <c r="AA3759" s="22">
        <v>5.11E-2</v>
      </c>
      <c r="AB3759" s="231">
        <f t="shared" si="1134"/>
        <v>705180</v>
      </c>
      <c r="AC3759" s="25">
        <f t="shared" si="1138"/>
        <v>92942.724000000002</v>
      </c>
      <c r="AD3759" s="170">
        <v>0.1318</v>
      </c>
      <c r="AE3759" s="26">
        <f t="shared" si="1139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05"/>
        <v>30691842.970796466</v>
      </c>
      <c r="AJ3759" s="27">
        <f t="shared" si="1106"/>
        <v>4088324.205777524</v>
      </c>
      <c r="AK3759" s="232">
        <f t="shared" si="1140"/>
        <v>0.1332055624573473</v>
      </c>
      <c r="AL3759" s="24"/>
      <c r="AM3759" s="24"/>
      <c r="AN3759" s="24"/>
      <c r="AO3759" s="24"/>
      <c r="AP3759" s="165" t="str">
        <f t="shared" si="1141"/>
        <v>20252</v>
      </c>
      <c r="AQ3759" s="233" t="str">
        <f t="shared" si="1142"/>
        <v>20252JPY</v>
      </c>
      <c r="AR3759" s="234" t="str">
        <f t="shared" si="1143"/>
        <v>YAMAHA_Mounter</v>
      </c>
      <c r="AS3759" s="22">
        <f t="shared" si="1144"/>
        <v>4</v>
      </c>
      <c r="AT3759" s="24" t="str">
        <f t="shared" si="1145"/>
        <v>4-6 months</v>
      </c>
      <c r="AU3759" s="22" t="s">
        <v>3745</v>
      </c>
    </row>
    <row r="3760" spans="1:47">
      <c r="A3760" s="33" t="str">
        <f t="shared" si="1136"/>
        <v>FY 24/25</v>
      </c>
      <c r="B3760" s="23">
        <v>2024</v>
      </c>
      <c r="C3760" s="23">
        <v>10</v>
      </c>
      <c r="D3760" s="33" t="str">
        <f t="shared" si="1119"/>
        <v>Q3</v>
      </c>
      <c r="E3760" s="33" t="str">
        <f t="shared" si="1135"/>
        <v>FY 24/25</v>
      </c>
      <c r="F3760" s="23">
        <v>2025</v>
      </c>
      <c r="G3760" s="23">
        <v>2</v>
      </c>
      <c r="H3760" s="29"/>
      <c r="I3760" s="93" t="str">
        <f t="shared" si="1137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46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3"/>
        <v>1</v>
      </c>
      <c r="Z3760" s="230">
        <f t="shared" si="1124"/>
        <v>13800000</v>
      </c>
      <c r="AA3760" s="22">
        <v>5.11E-2</v>
      </c>
      <c r="AB3760" s="231">
        <f t="shared" si="1134"/>
        <v>705180</v>
      </c>
      <c r="AC3760" s="25">
        <f t="shared" si="1138"/>
        <v>92942.724000000002</v>
      </c>
      <c r="AD3760" s="170">
        <v>0.1318</v>
      </c>
      <c r="AE3760" s="26">
        <f t="shared" si="1139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05"/>
        <v>30691842.970796466</v>
      </c>
      <c r="AJ3760" s="27">
        <f t="shared" si="1106"/>
        <v>4088324.205777524</v>
      </c>
      <c r="AK3760" s="232">
        <f t="shared" si="1140"/>
        <v>0.1332055624573473</v>
      </c>
      <c r="AL3760" s="24"/>
      <c r="AM3760" s="24"/>
      <c r="AN3760" s="24"/>
      <c r="AO3760" s="24"/>
      <c r="AP3760" s="165" t="str">
        <f t="shared" si="1141"/>
        <v>20252</v>
      </c>
      <c r="AQ3760" s="233" t="str">
        <f t="shared" si="1142"/>
        <v>20252JPY</v>
      </c>
      <c r="AR3760" s="234" t="str">
        <f t="shared" si="1143"/>
        <v>YAMAHA_Mounter</v>
      </c>
      <c r="AS3760" s="22">
        <f t="shared" si="1144"/>
        <v>4</v>
      </c>
      <c r="AT3760" s="24" t="str">
        <f t="shared" si="1145"/>
        <v>4-6 months</v>
      </c>
      <c r="AU3760" s="22" t="s">
        <v>3745</v>
      </c>
    </row>
    <row r="3761" spans="1:47">
      <c r="A3761" s="33" t="str">
        <f t="shared" si="1136"/>
        <v>FY 24/25</v>
      </c>
      <c r="B3761" s="23">
        <v>2024</v>
      </c>
      <c r="C3761" s="23">
        <v>10</v>
      </c>
      <c r="D3761" s="33" t="str">
        <f t="shared" si="1119"/>
        <v>Q3</v>
      </c>
      <c r="E3761" s="33" t="str">
        <f t="shared" si="1135"/>
        <v>FY 24/25</v>
      </c>
      <c r="F3761" s="23">
        <v>2025</v>
      </c>
      <c r="G3761" s="23">
        <v>2</v>
      </c>
      <c r="H3761" s="29"/>
      <c r="I3761" s="93" t="str">
        <f t="shared" si="1137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46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3"/>
        <v>1</v>
      </c>
      <c r="Z3761" s="230">
        <f t="shared" si="1124"/>
        <v>13800000</v>
      </c>
      <c r="AA3761" s="22">
        <v>5.11E-2</v>
      </c>
      <c r="AB3761" s="231">
        <f t="shared" si="1134"/>
        <v>705180</v>
      </c>
      <c r="AC3761" s="25">
        <f t="shared" si="1138"/>
        <v>92942.724000000002</v>
      </c>
      <c r="AD3761" s="170">
        <v>0.1318</v>
      </c>
      <c r="AE3761" s="26">
        <f t="shared" si="1139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05"/>
        <v>30691842.970796466</v>
      </c>
      <c r="AJ3761" s="27">
        <f t="shared" si="1106"/>
        <v>4088324.205777524</v>
      </c>
      <c r="AK3761" s="232">
        <f t="shared" si="1140"/>
        <v>0.1332055624573473</v>
      </c>
      <c r="AL3761" s="24"/>
      <c r="AM3761" s="24"/>
      <c r="AN3761" s="24"/>
      <c r="AO3761" s="24"/>
      <c r="AP3761" s="165" t="str">
        <f t="shared" si="1141"/>
        <v>20252</v>
      </c>
      <c r="AQ3761" s="233" t="str">
        <f t="shared" si="1142"/>
        <v>20252JPY</v>
      </c>
      <c r="AR3761" s="234" t="str">
        <f t="shared" si="1143"/>
        <v>YAMAHA_Mounter</v>
      </c>
      <c r="AS3761" s="22">
        <f t="shared" si="1144"/>
        <v>4</v>
      </c>
      <c r="AT3761" s="24" t="str">
        <f t="shared" si="1145"/>
        <v>4-6 months</v>
      </c>
      <c r="AU3761" s="22" t="s">
        <v>3745</v>
      </c>
    </row>
    <row r="3762" spans="1:47">
      <c r="A3762" s="33" t="str">
        <f t="shared" si="1136"/>
        <v>FY 24/25</v>
      </c>
      <c r="B3762" s="23">
        <v>2024</v>
      </c>
      <c r="C3762" s="23">
        <v>10</v>
      </c>
      <c r="D3762" s="33" t="str">
        <f t="shared" ref="D3762:D3825" si="1147">IF(B3762="","",IF(AND(C3762&gt;=10,C3762&lt;=12),"Q3",IF(AND(C3762&gt;=1,C3762&lt;=3),"Q4",IF(AND(C3762&gt;=7,C3762&lt;=9),"Q2",IF(AND(C3762&gt;=4,C3762&lt;=6),"Q1")))))</f>
        <v>Q3</v>
      </c>
      <c r="E3762" s="33" t="str">
        <f t="shared" si="1135"/>
        <v>FY 24/25</v>
      </c>
      <c r="F3762" s="23">
        <v>2025</v>
      </c>
      <c r="G3762" s="23">
        <v>2</v>
      </c>
      <c r="H3762" s="29"/>
      <c r="I3762" s="93" t="str">
        <f t="shared" si="1137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46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3"/>
        <v>1</v>
      </c>
      <c r="Z3762" s="230">
        <f t="shared" ref="Z3762:Z3825" si="1148">IF(X3762="","",X3762*MAX(O3762,N3762))</f>
        <v>13800000</v>
      </c>
      <c r="AA3762" s="22">
        <v>5.11E-2</v>
      </c>
      <c r="AB3762" s="231">
        <f t="shared" si="1134"/>
        <v>705180</v>
      </c>
      <c r="AC3762" s="25">
        <f t="shared" si="1138"/>
        <v>92942.724000000002</v>
      </c>
      <c r="AD3762" s="170">
        <v>0.1318</v>
      </c>
      <c r="AE3762" s="26">
        <f t="shared" si="1139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05"/>
        <v>30691842.970796466</v>
      </c>
      <c r="AJ3762" s="27">
        <f t="shared" si="1106"/>
        <v>4088324.205777524</v>
      </c>
      <c r="AK3762" s="232">
        <f t="shared" si="1140"/>
        <v>0.1332055624573473</v>
      </c>
      <c r="AL3762" s="24"/>
      <c r="AM3762" s="24"/>
      <c r="AN3762" s="24"/>
      <c r="AO3762" s="24"/>
      <c r="AP3762" s="165" t="str">
        <f t="shared" si="1141"/>
        <v>20252</v>
      </c>
      <c r="AQ3762" s="233" t="str">
        <f t="shared" si="1142"/>
        <v>20252JPY</v>
      </c>
      <c r="AR3762" s="234" t="str">
        <f t="shared" si="1143"/>
        <v>YAMAHA_Mounter</v>
      </c>
      <c r="AS3762" s="22">
        <f t="shared" si="1144"/>
        <v>4</v>
      </c>
      <c r="AT3762" s="24" t="str">
        <f t="shared" si="1145"/>
        <v>4-6 months</v>
      </c>
      <c r="AU3762" s="22" t="s">
        <v>3745</v>
      </c>
    </row>
    <row r="3763" spans="1:47">
      <c r="A3763" s="33" t="str">
        <f t="shared" si="1136"/>
        <v>FY 24/25</v>
      </c>
      <c r="B3763" s="23">
        <v>2024</v>
      </c>
      <c r="C3763" s="23">
        <v>10</v>
      </c>
      <c r="D3763" s="33" t="str">
        <f t="shared" si="1147"/>
        <v>Q3</v>
      </c>
      <c r="E3763" s="33" t="str">
        <f t="shared" si="1135"/>
        <v>FY 24/25</v>
      </c>
      <c r="F3763" s="23">
        <v>2025</v>
      </c>
      <c r="G3763" s="23">
        <v>2</v>
      </c>
      <c r="H3763" s="29"/>
      <c r="I3763" s="93" t="str">
        <f t="shared" si="1137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46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3"/>
        <v>1</v>
      </c>
      <c r="Z3763" s="230">
        <f t="shared" si="1148"/>
        <v>13800000</v>
      </c>
      <c r="AA3763" s="22">
        <v>5.11E-2</v>
      </c>
      <c r="AB3763" s="231">
        <f t="shared" si="1134"/>
        <v>705180</v>
      </c>
      <c r="AC3763" s="25">
        <f t="shared" si="1138"/>
        <v>92942.724000000002</v>
      </c>
      <c r="AD3763" s="170">
        <v>0.1318</v>
      </c>
      <c r="AE3763" s="26">
        <f t="shared" si="1139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05"/>
        <v>30691842.970796466</v>
      </c>
      <c r="AJ3763" s="27">
        <f t="shared" si="1106"/>
        <v>4088324.205777524</v>
      </c>
      <c r="AK3763" s="232">
        <f t="shared" si="1140"/>
        <v>0.1332055624573473</v>
      </c>
      <c r="AL3763" s="24"/>
      <c r="AM3763" s="24"/>
      <c r="AN3763" s="24"/>
      <c r="AO3763" s="24"/>
      <c r="AP3763" s="165" t="str">
        <f t="shared" si="1141"/>
        <v>20252</v>
      </c>
      <c r="AQ3763" s="233" t="str">
        <f t="shared" si="1142"/>
        <v>20252JPY</v>
      </c>
      <c r="AR3763" s="234" t="str">
        <f t="shared" si="1143"/>
        <v>YAMAHA_Mounter</v>
      </c>
      <c r="AS3763" s="22">
        <f t="shared" si="1144"/>
        <v>4</v>
      </c>
      <c r="AT3763" s="24" t="str">
        <f t="shared" si="1145"/>
        <v>4-6 months</v>
      </c>
      <c r="AU3763" s="22" t="s">
        <v>3745</v>
      </c>
    </row>
    <row r="3764" spans="1:47">
      <c r="A3764" s="33" t="str">
        <f t="shared" si="1136"/>
        <v>FY 24/25</v>
      </c>
      <c r="B3764" s="23">
        <v>2024</v>
      </c>
      <c r="C3764" s="23">
        <v>10</v>
      </c>
      <c r="D3764" s="33" t="str">
        <f t="shared" si="1147"/>
        <v>Q3</v>
      </c>
      <c r="E3764" s="33" t="str">
        <f t="shared" si="1135"/>
        <v>FY 24/25</v>
      </c>
      <c r="F3764" s="23">
        <v>2025</v>
      </c>
      <c r="G3764" s="23">
        <v>2</v>
      </c>
      <c r="H3764" s="29"/>
      <c r="I3764" s="93" t="str">
        <f t="shared" si="1137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46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49">IF(W3764="","",IF(W3764="RMB","1.13", "1"))</f>
        <v>1</v>
      </c>
      <c r="Z3764" s="230">
        <f t="shared" si="1148"/>
        <v>13800000</v>
      </c>
      <c r="AA3764" s="22">
        <v>5.11E-2</v>
      </c>
      <c r="AB3764" s="231">
        <f t="shared" si="1134"/>
        <v>705180</v>
      </c>
      <c r="AC3764" s="25">
        <f t="shared" si="1138"/>
        <v>92942.724000000002</v>
      </c>
      <c r="AD3764" s="170">
        <v>0.1318</v>
      </c>
      <c r="AE3764" s="26">
        <f t="shared" si="1139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05"/>
        <v>30691842.970796466</v>
      </c>
      <c r="AJ3764" s="27">
        <f t="shared" si="1106"/>
        <v>4088324.205777524</v>
      </c>
      <c r="AK3764" s="232">
        <f t="shared" si="1140"/>
        <v>0.1332055624573473</v>
      </c>
      <c r="AL3764" s="24"/>
      <c r="AM3764" s="24"/>
      <c r="AN3764" s="24"/>
      <c r="AO3764" s="24"/>
      <c r="AP3764" s="165" t="str">
        <f t="shared" si="1141"/>
        <v>20252</v>
      </c>
      <c r="AQ3764" s="233" t="str">
        <f t="shared" si="1142"/>
        <v>20252JPY</v>
      </c>
      <c r="AR3764" s="234" t="str">
        <f t="shared" si="1143"/>
        <v>YAMAHA_Mounter</v>
      </c>
      <c r="AS3764" s="22">
        <f t="shared" si="1144"/>
        <v>4</v>
      </c>
      <c r="AT3764" s="24" t="str">
        <f t="shared" si="1145"/>
        <v>4-6 months</v>
      </c>
      <c r="AU3764" s="22" t="s">
        <v>3745</v>
      </c>
    </row>
    <row r="3765" spans="1:47">
      <c r="A3765" s="33" t="str">
        <f t="shared" si="1136"/>
        <v>FY 24/25</v>
      </c>
      <c r="B3765" s="23">
        <v>2024</v>
      </c>
      <c r="C3765" s="23">
        <v>10</v>
      </c>
      <c r="D3765" s="33" t="str">
        <f t="shared" si="1147"/>
        <v>Q3</v>
      </c>
      <c r="E3765" s="33" t="str">
        <f t="shared" si="1135"/>
        <v>FY 24/25</v>
      </c>
      <c r="F3765" s="23">
        <v>2025</v>
      </c>
      <c r="G3765" s="23">
        <v>2</v>
      </c>
      <c r="H3765" s="29"/>
      <c r="I3765" s="93" t="str">
        <f t="shared" si="1137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46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49"/>
        <v>1</v>
      </c>
      <c r="Z3765" s="230">
        <f t="shared" si="1148"/>
        <v>9920000</v>
      </c>
      <c r="AA3765" s="22">
        <v>5.11E-2</v>
      </c>
      <c r="AB3765" s="231">
        <f t="shared" si="1134"/>
        <v>506912</v>
      </c>
      <c r="AC3765" s="25">
        <f t="shared" si="1138"/>
        <v>66811.001600000003</v>
      </c>
      <c r="AD3765" s="170">
        <v>0.1318</v>
      </c>
      <c r="AE3765" s="26">
        <f t="shared" si="1139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05"/>
        <v>30691842.970796466</v>
      </c>
      <c r="AJ3765" s="27">
        <f t="shared" si="1106"/>
        <v>4088324.205777524</v>
      </c>
      <c r="AK3765" s="232">
        <f t="shared" si="1140"/>
        <v>0.1332055624573473</v>
      </c>
      <c r="AL3765" s="24"/>
      <c r="AM3765" s="24"/>
      <c r="AN3765" s="24"/>
      <c r="AO3765" s="24"/>
      <c r="AP3765" s="165" t="str">
        <f t="shared" si="1141"/>
        <v>20252</v>
      </c>
      <c r="AQ3765" s="233" t="str">
        <f t="shared" si="1142"/>
        <v>20252JPY</v>
      </c>
      <c r="AR3765" s="234" t="str">
        <f t="shared" si="1143"/>
        <v>YAMAHA_Mounter</v>
      </c>
      <c r="AS3765" s="22">
        <f t="shared" si="1144"/>
        <v>4</v>
      </c>
      <c r="AT3765" s="24" t="str">
        <f t="shared" si="1145"/>
        <v>4-6 months</v>
      </c>
      <c r="AU3765" s="22" t="s">
        <v>3745</v>
      </c>
    </row>
    <row r="3766" spans="1:47">
      <c r="A3766" s="33" t="str">
        <f t="shared" si="1136"/>
        <v>FY 24/25</v>
      </c>
      <c r="B3766" s="23">
        <v>2024</v>
      </c>
      <c r="C3766" s="23">
        <v>10</v>
      </c>
      <c r="D3766" s="33" t="str">
        <f t="shared" si="1147"/>
        <v>Q3</v>
      </c>
      <c r="E3766" s="33" t="str">
        <f t="shared" si="1135"/>
        <v>FY 24/25</v>
      </c>
      <c r="F3766" s="23">
        <v>2025</v>
      </c>
      <c r="G3766" s="23">
        <v>2</v>
      </c>
      <c r="H3766" s="29"/>
      <c r="I3766" s="93" t="str">
        <f t="shared" si="1137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46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49"/>
        <v>1</v>
      </c>
      <c r="Z3766" s="230">
        <f t="shared" si="1148"/>
        <v>9920000</v>
      </c>
      <c r="AA3766" s="22">
        <v>5.11E-2</v>
      </c>
      <c r="AB3766" s="231">
        <f t="shared" si="1134"/>
        <v>506912</v>
      </c>
      <c r="AC3766" s="25">
        <f t="shared" si="1138"/>
        <v>66811.001600000003</v>
      </c>
      <c r="AD3766" s="170">
        <v>0.1318</v>
      </c>
      <c r="AE3766" s="26">
        <f t="shared" si="1139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05"/>
        <v>30691842.970796466</v>
      </c>
      <c r="AJ3766" s="27">
        <f t="shared" si="1106"/>
        <v>4088324.205777524</v>
      </c>
      <c r="AK3766" s="232">
        <f t="shared" si="1140"/>
        <v>0.1332055624573473</v>
      </c>
      <c r="AL3766" s="24"/>
      <c r="AM3766" s="24"/>
      <c r="AN3766" s="24"/>
      <c r="AO3766" s="24"/>
      <c r="AP3766" s="165" t="str">
        <f t="shared" si="1141"/>
        <v>20252</v>
      </c>
      <c r="AQ3766" s="233" t="str">
        <f t="shared" si="1142"/>
        <v>20252JPY</v>
      </c>
      <c r="AR3766" s="234" t="str">
        <f t="shared" si="1143"/>
        <v>YAMAHA_Mounter</v>
      </c>
      <c r="AS3766" s="22">
        <f t="shared" si="1144"/>
        <v>4</v>
      </c>
      <c r="AT3766" s="24" t="str">
        <f t="shared" si="1145"/>
        <v>4-6 months</v>
      </c>
      <c r="AU3766" s="22" t="s">
        <v>3745</v>
      </c>
    </row>
    <row r="3767" spans="1:47">
      <c r="A3767" s="33" t="str">
        <f t="shared" si="1136"/>
        <v>FY 24/25</v>
      </c>
      <c r="B3767" s="23">
        <v>2024</v>
      </c>
      <c r="C3767" s="23">
        <v>10</v>
      </c>
      <c r="D3767" s="33" t="str">
        <f t="shared" si="1147"/>
        <v>Q3</v>
      </c>
      <c r="E3767" s="33" t="str">
        <f t="shared" si="1135"/>
        <v>FY 24/25</v>
      </c>
      <c r="F3767" s="23">
        <v>2025</v>
      </c>
      <c r="G3767" s="23">
        <v>2</v>
      </c>
      <c r="H3767" s="29"/>
      <c r="I3767" s="93" t="str">
        <f t="shared" si="1137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46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49"/>
        <v>1</v>
      </c>
      <c r="Z3767" s="230">
        <f t="shared" si="1148"/>
        <v>9920000</v>
      </c>
      <c r="AA3767" s="22">
        <v>5.11E-2</v>
      </c>
      <c r="AB3767" s="231">
        <f t="shared" si="1134"/>
        <v>506912</v>
      </c>
      <c r="AC3767" s="25">
        <f t="shared" si="1138"/>
        <v>66811.001600000003</v>
      </c>
      <c r="AD3767" s="170">
        <v>0.1318</v>
      </c>
      <c r="AE3767" s="26">
        <f t="shared" si="1139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05"/>
        <v>30691842.970796466</v>
      </c>
      <c r="AJ3767" s="27">
        <f t="shared" si="1106"/>
        <v>4088324.205777524</v>
      </c>
      <c r="AK3767" s="232">
        <f t="shared" si="1140"/>
        <v>0.1332055624573473</v>
      </c>
      <c r="AL3767" s="24"/>
      <c r="AM3767" s="24"/>
      <c r="AN3767" s="24"/>
      <c r="AO3767" s="24"/>
      <c r="AP3767" s="165" t="str">
        <f t="shared" si="1141"/>
        <v>20252</v>
      </c>
      <c r="AQ3767" s="233" t="str">
        <f t="shared" si="1142"/>
        <v>20252JPY</v>
      </c>
      <c r="AR3767" s="234" t="str">
        <f t="shared" si="1143"/>
        <v>YAMAHA_Mounter</v>
      </c>
      <c r="AS3767" s="22">
        <f t="shared" si="1144"/>
        <v>4</v>
      </c>
      <c r="AT3767" s="24" t="str">
        <f t="shared" si="1145"/>
        <v>4-6 months</v>
      </c>
      <c r="AU3767" s="22" t="s">
        <v>3745</v>
      </c>
    </row>
    <row r="3768" spans="1:47">
      <c r="A3768" s="33" t="str">
        <f t="shared" si="1136"/>
        <v>FY 24/25</v>
      </c>
      <c r="B3768" s="23">
        <v>2024</v>
      </c>
      <c r="C3768" s="23">
        <v>10</v>
      </c>
      <c r="D3768" s="33" t="str">
        <f t="shared" si="1147"/>
        <v>Q3</v>
      </c>
      <c r="E3768" s="33" t="str">
        <f t="shared" si="1135"/>
        <v>FY 24/25</v>
      </c>
      <c r="F3768" s="23">
        <v>2025</v>
      </c>
      <c r="G3768" s="23">
        <v>2</v>
      </c>
      <c r="H3768" s="29"/>
      <c r="I3768" s="93" t="str">
        <f t="shared" si="1137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46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49"/>
        <v>1</v>
      </c>
      <c r="Z3768" s="230">
        <f t="shared" si="1148"/>
        <v>9920000</v>
      </c>
      <c r="AA3768" s="22">
        <v>5.11E-2</v>
      </c>
      <c r="AB3768" s="231">
        <f t="shared" si="1134"/>
        <v>506912</v>
      </c>
      <c r="AC3768" s="25">
        <f t="shared" si="1138"/>
        <v>66811.001600000003</v>
      </c>
      <c r="AD3768" s="170">
        <v>0.1318</v>
      </c>
      <c r="AE3768" s="26">
        <f t="shared" si="1139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05"/>
        <v>30691842.970796466</v>
      </c>
      <c r="AJ3768" s="27">
        <f t="shared" si="1106"/>
        <v>4088324.205777524</v>
      </c>
      <c r="AK3768" s="232">
        <f t="shared" si="1140"/>
        <v>0.1332055624573473</v>
      </c>
      <c r="AL3768" s="24"/>
      <c r="AM3768" s="24"/>
      <c r="AN3768" s="24"/>
      <c r="AO3768" s="24"/>
      <c r="AP3768" s="165" t="str">
        <f t="shared" si="1141"/>
        <v>20252</v>
      </c>
      <c r="AQ3768" s="233" t="str">
        <f t="shared" si="1142"/>
        <v>20252JPY</v>
      </c>
      <c r="AR3768" s="234" t="str">
        <f t="shared" si="1143"/>
        <v>YAMAHA_Mounter</v>
      </c>
      <c r="AS3768" s="22">
        <f t="shared" si="1144"/>
        <v>4</v>
      </c>
      <c r="AT3768" s="24" t="str">
        <f t="shared" si="1145"/>
        <v>4-6 months</v>
      </c>
      <c r="AU3768" s="22" t="s">
        <v>3745</v>
      </c>
    </row>
    <row r="3769" spans="1:47">
      <c r="A3769" s="33" t="str">
        <f t="shared" si="1136"/>
        <v>FY 24/25</v>
      </c>
      <c r="B3769" s="23">
        <v>2024</v>
      </c>
      <c r="C3769" s="23">
        <v>10</v>
      </c>
      <c r="D3769" s="33" t="str">
        <f t="shared" si="1147"/>
        <v>Q3</v>
      </c>
      <c r="E3769" s="33" t="str">
        <f t="shared" si="1135"/>
        <v>FY 24/25</v>
      </c>
      <c r="F3769" s="23">
        <v>2025</v>
      </c>
      <c r="G3769" s="23">
        <v>2</v>
      </c>
      <c r="H3769" s="29"/>
      <c r="I3769" s="93" t="str">
        <f t="shared" si="1137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46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49"/>
        <v>1</v>
      </c>
      <c r="Z3769" s="230">
        <f t="shared" si="1148"/>
        <v>9920000</v>
      </c>
      <c r="AA3769" s="22">
        <v>5.11E-2</v>
      </c>
      <c r="AB3769" s="231">
        <f t="shared" si="1134"/>
        <v>506912</v>
      </c>
      <c r="AC3769" s="25">
        <f t="shared" si="1138"/>
        <v>66811.001600000003</v>
      </c>
      <c r="AD3769" s="170">
        <v>0.1318</v>
      </c>
      <c r="AE3769" s="26">
        <f t="shared" si="1139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05"/>
        <v>30691842.970796466</v>
      </c>
      <c r="AJ3769" s="27">
        <f t="shared" si="1106"/>
        <v>4088324.205777524</v>
      </c>
      <c r="AK3769" s="232">
        <f t="shared" si="1140"/>
        <v>0.1332055624573473</v>
      </c>
      <c r="AL3769" s="24"/>
      <c r="AM3769" s="24"/>
      <c r="AN3769" s="24"/>
      <c r="AO3769" s="24"/>
      <c r="AP3769" s="165" t="str">
        <f t="shared" si="1141"/>
        <v>20252</v>
      </c>
      <c r="AQ3769" s="233" t="str">
        <f t="shared" si="1142"/>
        <v>20252JPY</v>
      </c>
      <c r="AR3769" s="234" t="str">
        <f t="shared" si="1143"/>
        <v>YAMAHA_Mounter</v>
      </c>
      <c r="AS3769" s="22">
        <f t="shared" si="1144"/>
        <v>4</v>
      </c>
      <c r="AT3769" s="24" t="str">
        <f t="shared" si="1145"/>
        <v>4-6 months</v>
      </c>
      <c r="AU3769" s="22" t="s">
        <v>3745</v>
      </c>
    </row>
    <row r="3770" spans="1:47">
      <c r="A3770" s="33" t="str">
        <f t="shared" si="1136"/>
        <v>FY 24/25</v>
      </c>
      <c r="B3770" s="23">
        <v>2024</v>
      </c>
      <c r="C3770" s="23">
        <v>10</v>
      </c>
      <c r="D3770" s="33" t="str">
        <f t="shared" si="1147"/>
        <v>Q3</v>
      </c>
      <c r="E3770" s="33" t="str">
        <f t="shared" si="1135"/>
        <v>FY 24/25</v>
      </c>
      <c r="F3770" s="23">
        <v>2025</v>
      </c>
      <c r="G3770" s="23">
        <v>2</v>
      </c>
      <c r="H3770" s="29"/>
      <c r="I3770" s="93" t="str">
        <f t="shared" si="1137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46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49"/>
        <v>1</v>
      </c>
      <c r="Z3770" s="230">
        <f t="shared" si="1148"/>
        <v>7800000</v>
      </c>
      <c r="AA3770" s="22">
        <v>5.11E-2</v>
      </c>
      <c r="AB3770" s="231">
        <f t="shared" si="1134"/>
        <v>398580</v>
      </c>
      <c r="AC3770" s="25">
        <f t="shared" si="1138"/>
        <v>51934.974000000002</v>
      </c>
      <c r="AD3770" s="170">
        <v>0.1303</v>
      </c>
      <c r="AE3770" s="26">
        <f t="shared" si="1139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05"/>
        <v>30691842.970796466</v>
      </c>
      <c r="AJ3770" s="27">
        <f t="shared" si="1106"/>
        <v>4088324.205777524</v>
      </c>
      <c r="AK3770" s="232">
        <f t="shared" si="1140"/>
        <v>0.1332055624573473</v>
      </c>
      <c r="AL3770" s="24"/>
      <c r="AM3770" s="24"/>
      <c r="AN3770" s="24"/>
      <c r="AO3770" s="24"/>
      <c r="AP3770" s="165" t="str">
        <f t="shared" si="1141"/>
        <v>20252</v>
      </c>
      <c r="AQ3770" s="233" t="str">
        <f t="shared" si="1142"/>
        <v>20252JPY</v>
      </c>
      <c r="AR3770" s="234" t="str">
        <f t="shared" si="1143"/>
        <v>YAMAHA_Non_Mounter</v>
      </c>
      <c r="AS3770" s="22">
        <f t="shared" si="1144"/>
        <v>4</v>
      </c>
      <c r="AT3770" s="24" t="str">
        <f t="shared" si="1145"/>
        <v>4-6 months</v>
      </c>
      <c r="AU3770" s="22" t="s">
        <v>3745</v>
      </c>
    </row>
    <row r="3771" spans="1:47">
      <c r="A3771" s="33" t="str">
        <f t="shared" si="1136"/>
        <v>FY 24/25</v>
      </c>
      <c r="B3771" s="23">
        <v>2024</v>
      </c>
      <c r="C3771" s="23">
        <v>11</v>
      </c>
      <c r="D3771" s="33" t="str">
        <f t="shared" si="1147"/>
        <v>Q3</v>
      </c>
      <c r="E3771" s="33" t="str">
        <f t="shared" si="1135"/>
        <v>FY 24/25</v>
      </c>
      <c r="F3771" s="23">
        <v>2024</v>
      </c>
      <c r="G3771" s="23">
        <v>11</v>
      </c>
      <c r="H3771" s="29"/>
      <c r="I3771" s="93" t="str">
        <f t="shared" si="1137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46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49"/>
        <v>1</v>
      </c>
      <c r="Z3771" s="230">
        <f t="shared" si="1148"/>
        <v>13500000</v>
      </c>
      <c r="AA3771" s="22">
        <v>5.5599999999999997E-2</v>
      </c>
      <c r="AB3771" s="231">
        <f t="shared" si="1134"/>
        <v>750600</v>
      </c>
      <c r="AC3771" s="25">
        <f t="shared" si="1138"/>
        <v>68304.599999999991</v>
      </c>
      <c r="AD3771" s="169">
        <v>9.0999999999999998E-2</v>
      </c>
      <c r="AE3771" s="26">
        <f t="shared" si="1139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05"/>
        <v>32082250.320460182</v>
      </c>
      <c r="AJ3771" s="27">
        <f t="shared" si="1106"/>
        <v>4323122.9746477893</v>
      </c>
      <c r="AK3771" s="232">
        <f t="shared" si="1140"/>
        <v>0.1347512388147771</v>
      </c>
      <c r="AL3771" s="24"/>
      <c r="AM3771" s="24"/>
      <c r="AN3771" s="24"/>
      <c r="AO3771" s="24"/>
      <c r="AP3771" s="165" t="str">
        <f t="shared" si="1141"/>
        <v>202411</v>
      </c>
      <c r="AQ3771" s="233" t="str">
        <f t="shared" si="1142"/>
        <v>202411JPY</v>
      </c>
      <c r="AR3771" s="234" t="str">
        <f t="shared" si="1143"/>
        <v>YAMAHA_Mounter</v>
      </c>
      <c r="AS3771" s="22">
        <f t="shared" si="1144"/>
        <v>0</v>
      </c>
      <c r="AT3771" s="24" t="str">
        <f t="shared" si="1145"/>
        <v>0-3 months</v>
      </c>
      <c r="AU3771" s="22" t="s">
        <v>3745</v>
      </c>
    </row>
    <row r="3772" spans="1:47">
      <c r="A3772" s="33" t="str">
        <f t="shared" si="1136"/>
        <v>FY 24/25</v>
      </c>
      <c r="B3772" s="23">
        <v>2024</v>
      </c>
      <c r="C3772" s="23">
        <v>11</v>
      </c>
      <c r="D3772" s="33" t="str">
        <f t="shared" si="1147"/>
        <v>Q3</v>
      </c>
      <c r="E3772" s="33" t="str">
        <f t="shared" si="1135"/>
        <v>FY 24/25</v>
      </c>
      <c r="F3772" s="23">
        <v>2024</v>
      </c>
      <c r="G3772" s="23">
        <v>11</v>
      </c>
      <c r="H3772" s="29"/>
      <c r="I3772" s="93" t="str">
        <f t="shared" si="1137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46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49"/>
        <v>1</v>
      </c>
      <c r="Z3772" s="230">
        <f t="shared" si="1148"/>
        <v>13500000</v>
      </c>
      <c r="AA3772" s="22">
        <v>5.5599999999999997E-2</v>
      </c>
      <c r="AB3772" s="231">
        <f t="shared" si="1134"/>
        <v>750600</v>
      </c>
      <c r="AC3772" s="25">
        <f t="shared" si="1138"/>
        <v>68304.599999999991</v>
      </c>
      <c r="AD3772" s="169">
        <v>9.0999999999999998E-2</v>
      </c>
      <c r="AE3772" s="26">
        <f t="shared" si="1139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05"/>
        <v>32082250.320460182</v>
      </c>
      <c r="AJ3772" s="27">
        <f t="shared" si="1106"/>
        <v>4323122.9746477893</v>
      </c>
      <c r="AK3772" s="232">
        <f t="shared" si="1140"/>
        <v>0.1347512388147771</v>
      </c>
      <c r="AL3772" s="24"/>
      <c r="AM3772" s="24"/>
      <c r="AN3772" s="24"/>
      <c r="AO3772" s="24"/>
      <c r="AP3772" s="165" t="str">
        <f t="shared" si="1141"/>
        <v>202411</v>
      </c>
      <c r="AQ3772" s="233" t="str">
        <f t="shared" si="1142"/>
        <v>202411JPY</v>
      </c>
      <c r="AR3772" s="234" t="str">
        <f t="shared" si="1143"/>
        <v>YAMAHA_Mounter</v>
      </c>
      <c r="AS3772" s="22">
        <f t="shared" si="1144"/>
        <v>0</v>
      </c>
      <c r="AT3772" s="24" t="str">
        <f t="shared" si="1145"/>
        <v>0-3 months</v>
      </c>
      <c r="AU3772" s="22" t="s">
        <v>3745</v>
      </c>
    </row>
    <row r="3773" spans="1:47">
      <c r="A3773" s="33" t="str">
        <f t="shared" si="1136"/>
        <v>FY 24/25</v>
      </c>
      <c r="B3773" s="23">
        <v>2024</v>
      </c>
      <c r="C3773" s="23">
        <v>11</v>
      </c>
      <c r="D3773" s="33" t="str">
        <f t="shared" si="1147"/>
        <v>Q3</v>
      </c>
      <c r="E3773" s="33" t="str">
        <f t="shared" si="1135"/>
        <v>FY 24/25</v>
      </c>
      <c r="F3773" s="23">
        <v>2024</v>
      </c>
      <c r="G3773" s="23">
        <v>11</v>
      </c>
      <c r="H3773" s="29"/>
      <c r="I3773" s="93" t="str">
        <f t="shared" si="1137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46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49"/>
        <v>1</v>
      </c>
      <c r="Z3773" s="230">
        <f t="shared" si="1148"/>
        <v>9500000</v>
      </c>
      <c r="AA3773" s="22">
        <v>5.5599999999999997E-2</v>
      </c>
      <c r="AB3773" s="231">
        <f t="shared" si="1134"/>
        <v>528200</v>
      </c>
      <c r="AC3773" s="25">
        <f t="shared" si="1138"/>
        <v>48066.2</v>
      </c>
      <c r="AD3773" s="169">
        <v>9.0999999999999998E-2</v>
      </c>
      <c r="AE3773" s="26">
        <f t="shared" si="1139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05"/>
        <v>32082250.320460182</v>
      </c>
      <c r="AJ3773" s="27">
        <f t="shared" si="1106"/>
        <v>4323122.9746477893</v>
      </c>
      <c r="AK3773" s="232">
        <f t="shared" si="1140"/>
        <v>0.1347512388147771</v>
      </c>
      <c r="AL3773" s="24"/>
      <c r="AM3773" s="24"/>
      <c r="AN3773" s="24"/>
      <c r="AO3773" s="24"/>
      <c r="AP3773" s="165" t="str">
        <f t="shared" si="1141"/>
        <v>202411</v>
      </c>
      <c r="AQ3773" s="233" t="str">
        <f t="shared" si="1142"/>
        <v>202411JPY</v>
      </c>
      <c r="AR3773" s="234" t="str">
        <f t="shared" si="1143"/>
        <v>YAMAHA_Mounter</v>
      </c>
      <c r="AS3773" s="22">
        <f t="shared" si="1144"/>
        <v>0</v>
      </c>
      <c r="AT3773" s="24" t="str">
        <f t="shared" si="1145"/>
        <v>0-3 months</v>
      </c>
      <c r="AU3773" s="22" t="s">
        <v>3745</v>
      </c>
    </row>
    <row r="3774" spans="1:47">
      <c r="A3774" s="33" t="str">
        <f t="shared" si="1136"/>
        <v>FY 24/25</v>
      </c>
      <c r="B3774" s="23">
        <v>2024</v>
      </c>
      <c r="C3774" s="23">
        <v>11</v>
      </c>
      <c r="D3774" s="33" t="str">
        <f t="shared" si="1147"/>
        <v>Q3</v>
      </c>
      <c r="E3774" s="33" t="str">
        <f t="shared" si="1135"/>
        <v>FY 23/24</v>
      </c>
      <c r="F3774" s="23">
        <v>2024</v>
      </c>
      <c r="G3774" s="23">
        <v>1</v>
      </c>
      <c r="H3774" s="29"/>
      <c r="I3774" s="93" t="str">
        <f t="shared" si="1137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46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49"/>
        <v>1.13</v>
      </c>
      <c r="Z3774" s="230">
        <f t="shared" si="1148"/>
        <v>480000</v>
      </c>
      <c r="AA3774" s="22">
        <v>1.0920000000000001</v>
      </c>
      <c r="AB3774" s="231">
        <f t="shared" si="1134"/>
        <v>463858.40707964607</v>
      </c>
      <c r="AC3774" s="25">
        <f t="shared" si="1138"/>
        <v>55663.008849557526</v>
      </c>
      <c r="AD3774" s="169">
        <v>0.12</v>
      </c>
      <c r="AE3774" s="26">
        <f t="shared" si="1139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05"/>
        <v>23146578.081415929</v>
      </c>
      <c r="AJ3774" s="27">
        <f t="shared" si="1106"/>
        <v>2745231.3889985834</v>
      </c>
      <c r="AK3774" s="232">
        <f t="shared" si="1140"/>
        <v>0.11860204041143742</v>
      </c>
      <c r="AL3774" s="24"/>
      <c r="AM3774" s="24"/>
      <c r="AN3774" s="24"/>
      <c r="AO3774" s="24"/>
      <c r="AP3774" s="165" t="str">
        <f t="shared" si="1141"/>
        <v>20241</v>
      </c>
      <c r="AQ3774" s="233" t="str">
        <f t="shared" si="1142"/>
        <v>20241RMB</v>
      </c>
      <c r="AR3774" s="234" t="str">
        <f t="shared" si="1143"/>
        <v>YAMAHA_Mounter</v>
      </c>
      <c r="AS3774" s="22" t="str">
        <f t="shared" si="1144"/>
        <v/>
      </c>
      <c r="AT3774" s="24" t="str">
        <f t="shared" si="1145"/>
        <v/>
      </c>
      <c r="AU3774" s="22" t="s">
        <v>3240</v>
      </c>
    </row>
    <row r="3775" spans="1:47">
      <c r="A3775" s="33" t="str">
        <f t="shared" si="1136"/>
        <v>FY 24/25</v>
      </c>
      <c r="B3775" s="23">
        <v>2024</v>
      </c>
      <c r="C3775" s="23">
        <v>11</v>
      </c>
      <c r="D3775" s="33" t="str">
        <f t="shared" si="1147"/>
        <v>Q3</v>
      </c>
      <c r="E3775" s="33" t="str">
        <f t="shared" si="1135"/>
        <v>FY 24/25</v>
      </c>
      <c r="F3775" s="23">
        <v>2024</v>
      </c>
      <c r="G3775" s="23">
        <v>12</v>
      </c>
      <c r="H3775" s="29"/>
      <c r="I3775" s="93" t="str">
        <f t="shared" si="1137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46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49"/>
        <v>1.13</v>
      </c>
      <c r="Z3775" s="230">
        <f t="shared" si="1148"/>
        <v>410000</v>
      </c>
      <c r="AA3775" s="22">
        <v>1.0760000000000001</v>
      </c>
      <c r="AB3775" s="231">
        <f t="shared" si="1134"/>
        <v>390407.07964601781</v>
      </c>
      <c r="AC3775" s="25">
        <f t="shared" si="1138"/>
        <v>32442.828318584077</v>
      </c>
      <c r="AD3775" s="169">
        <v>8.3099999999999993E-2</v>
      </c>
      <c r="AE3775" s="26">
        <f t="shared" si="1139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05"/>
        <v>15965524.256637167</v>
      </c>
      <c r="AJ3775" s="27">
        <f t="shared" si="1106"/>
        <v>2480116.5996584073</v>
      </c>
      <c r="AK3775" s="232">
        <f t="shared" si="1140"/>
        <v>0.15534200817911609</v>
      </c>
      <c r="AL3775" s="24"/>
      <c r="AM3775" s="24"/>
      <c r="AN3775" s="24"/>
      <c r="AO3775" s="24"/>
      <c r="AP3775" s="165" t="str">
        <f t="shared" si="1141"/>
        <v>202412</v>
      </c>
      <c r="AQ3775" s="233" t="str">
        <f t="shared" si="1142"/>
        <v>202412RMB</v>
      </c>
      <c r="AR3775" s="234" t="str">
        <f t="shared" si="1143"/>
        <v>YAMAHA_Mounter</v>
      </c>
      <c r="AS3775" s="22">
        <f t="shared" si="1144"/>
        <v>1</v>
      </c>
      <c r="AT3775" s="24" t="str">
        <f t="shared" si="1145"/>
        <v>0-3 months</v>
      </c>
      <c r="AU3775" s="22" t="s">
        <v>3240</v>
      </c>
    </row>
    <row r="3776" spans="1:47">
      <c r="A3776" s="33" t="str">
        <f t="shared" si="1136"/>
        <v>FY 24/25</v>
      </c>
      <c r="B3776" s="23">
        <v>2024</v>
      </c>
      <c r="C3776" s="23">
        <v>11</v>
      </c>
      <c r="D3776" s="33" t="str">
        <f t="shared" si="1147"/>
        <v>Q3</v>
      </c>
      <c r="E3776" s="33" t="str">
        <f t="shared" si="1135"/>
        <v>FY 24/25</v>
      </c>
      <c r="F3776" s="23">
        <v>2024</v>
      </c>
      <c r="G3776" s="23">
        <v>11</v>
      </c>
      <c r="H3776" s="29"/>
      <c r="I3776" s="93" t="str">
        <f t="shared" si="1137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46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49"/>
        <v>1</v>
      </c>
      <c r="Z3776" s="230">
        <f t="shared" si="1148"/>
        <v>12000000</v>
      </c>
      <c r="AA3776" s="22">
        <v>5.1799999999999999E-2</v>
      </c>
      <c r="AB3776" s="231">
        <f t="shared" si="1134"/>
        <v>621600</v>
      </c>
      <c r="AC3776" s="25">
        <f t="shared" si="1138"/>
        <v>63216.72</v>
      </c>
      <c r="AD3776" s="169">
        <v>0.1017</v>
      </c>
      <c r="AE3776" s="26">
        <f t="shared" si="1139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05"/>
        <v>32082250.320460182</v>
      </c>
      <c r="AJ3776" s="27">
        <f t="shared" si="1106"/>
        <v>4323122.9746477893</v>
      </c>
      <c r="AK3776" s="232">
        <f t="shared" si="1140"/>
        <v>0.1347512388147771</v>
      </c>
      <c r="AL3776" s="24"/>
      <c r="AM3776" s="24"/>
      <c r="AN3776" s="24"/>
      <c r="AO3776" s="24"/>
      <c r="AP3776" s="165" t="str">
        <f t="shared" si="1141"/>
        <v>202411</v>
      </c>
      <c r="AQ3776" s="233" t="str">
        <f t="shared" si="1142"/>
        <v>202411JPY</v>
      </c>
      <c r="AR3776" s="234" t="str">
        <f t="shared" si="1143"/>
        <v>YAMAHA_Mounter</v>
      </c>
      <c r="AS3776" s="22">
        <f t="shared" si="1144"/>
        <v>0</v>
      </c>
      <c r="AT3776" s="24" t="str">
        <f t="shared" si="1145"/>
        <v>0-3 months</v>
      </c>
      <c r="AU3776" s="22" t="s">
        <v>3745</v>
      </c>
    </row>
    <row r="3777" spans="1:47" ht="39.6">
      <c r="A3777" s="33" t="str">
        <f t="shared" si="1136"/>
        <v/>
      </c>
      <c r="B3777" s="23"/>
      <c r="C3777" s="23"/>
      <c r="D3777" s="33" t="str">
        <f t="shared" si="1147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37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46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49"/>
        <v/>
      </c>
      <c r="Z3777" s="230" t="str">
        <f t="shared" si="1148"/>
        <v/>
      </c>
      <c r="AA3777" s="22"/>
      <c r="AB3777" s="231">
        <v>0</v>
      </c>
      <c r="AC3777" s="25">
        <f t="shared" si="1138"/>
        <v>0</v>
      </c>
      <c r="AD3777" s="169">
        <v>0.3</v>
      </c>
      <c r="AE3777" s="26">
        <f t="shared" si="1139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05"/>
        <v>22758096.38940867</v>
      </c>
      <c r="AJ3777" s="27">
        <f t="shared" si="1106"/>
        <v>2469357.2298956565</v>
      </c>
      <c r="AK3777" s="232">
        <f t="shared" si="1140"/>
        <v>0.10850455976822666</v>
      </c>
      <c r="AL3777" s="24"/>
      <c r="AM3777" s="24"/>
      <c r="AN3777" s="24"/>
      <c r="AO3777" s="24"/>
      <c r="AP3777" s="165" t="str">
        <f t="shared" si="1141"/>
        <v>202410</v>
      </c>
      <c r="AQ3777" s="233" t="str">
        <f t="shared" si="1142"/>
        <v/>
      </c>
      <c r="AR3777" s="234" t="str">
        <f t="shared" si="1143"/>
        <v>C66 SERVICE</v>
      </c>
      <c r="AS3777" s="22" t="str">
        <f t="shared" si="1144"/>
        <v/>
      </c>
      <c r="AT3777" s="24" t="str">
        <f t="shared" si="1145"/>
        <v/>
      </c>
      <c r="AU3777" s="22">
        <v>0</v>
      </c>
    </row>
    <row r="3778" spans="1:47" ht="39.6">
      <c r="A3778" s="33" t="str">
        <f t="shared" si="1136"/>
        <v/>
      </c>
      <c r="B3778" s="23"/>
      <c r="C3778" s="23"/>
      <c r="D3778" s="33" t="str">
        <f t="shared" si="1147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37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46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49"/>
        <v/>
      </c>
      <c r="Z3778" s="230" t="str">
        <f t="shared" si="1148"/>
        <v/>
      </c>
      <c r="AA3778" s="22"/>
      <c r="AB3778" s="231">
        <v>68000</v>
      </c>
      <c r="AC3778" s="25">
        <f t="shared" si="1138"/>
        <v>20400</v>
      </c>
      <c r="AD3778" s="169">
        <v>0.3</v>
      </c>
      <c r="AE3778" s="26">
        <f t="shared" si="1139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0">IF(P3778="C66 SERVICE","",SUMIFS(AB:AB,F:F,F3778,G:G,G3778,E:E,E3778))</f>
        <v>22758096.38940867</v>
      </c>
      <c r="AJ3778" s="27">
        <f t="shared" ref="AJ3778:AJ3841" si="1151">IF(P3778="C66 SERVICE","",SUMIFS(AC:AC,F:F,F3778,G:G,G3778,E:E,E3778))</f>
        <v>2469357.2298956565</v>
      </c>
      <c r="AK3778" s="232">
        <f t="shared" si="1140"/>
        <v>0.10850455976822666</v>
      </c>
      <c r="AL3778" s="24"/>
      <c r="AM3778" s="24"/>
      <c r="AN3778" s="24"/>
      <c r="AO3778" s="24"/>
      <c r="AP3778" s="165" t="str">
        <f t="shared" si="1141"/>
        <v>202410</v>
      </c>
      <c r="AQ3778" s="233" t="str">
        <f t="shared" si="1142"/>
        <v/>
      </c>
      <c r="AR3778" s="234" t="str">
        <f t="shared" si="1143"/>
        <v>C66 SERVICE</v>
      </c>
      <c r="AS3778" s="22" t="str">
        <f t="shared" si="1144"/>
        <v/>
      </c>
      <c r="AT3778" s="24" t="str">
        <f t="shared" si="1145"/>
        <v/>
      </c>
      <c r="AU3778" s="22">
        <v>0</v>
      </c>
    </row>
    <row r="3779" spans="1:47" ht="39.6">
      <c r="A3779" s="33" t="str">
        <f t="shared" si="1136"/>
        <v/>
      </c>
      <c r="B3779" s="23"/>
      <c r="C3779" s="23"/>
      <c r="D3779" s="33" t="str">
        <f t="shared" si="1147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37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46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49"/>
        <v/>
      </c>
      <c r="Z3779" s="230" t="str">
        <f t="shared" si="1148"/>
        <v/>
      </c>
      <c r="AA3779" s="22"/>
      <c r="AB3779" s="231">
        <v>331000</v>
      </c>
      <c r="AC3779" s="25">
        <f t="shared" si="1138"/>
        <v>99300</v>
      </c>
      <c r="AD3779" s="169">
        <v>0.3</v>
      </c>
      <c r="AE3779" s="26">
        <f t="shared" si="1139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0"/>
        <v>22758096.38940867</v>
      </c>
      <c r="AJ3779" s="27">
        <f t="shared" si="1151"/>
        <v>2469357.2298956565</v>
      </c>
      <c r="AK3779" s="232">
        <f t="shared" si="1140"/>
        <v>0.10850455976822666</v>
      </c>
      <c r="AL3779" s="24"/>
      <c r="AM3779" s="24"/>
      <c r="AN3779" s="24"/>
      <c r="AO3779" s="24"/>
      <c r="AP3779" s="165" t="str">
        <f t="shared" si="1141"/>
        <v>202410</v>
      </c>
      <c r="AQ3779" s="233" t="str">
        <f t="shared" si="1142"/>
        <v/>
      </c>
      <c r="AR3779" s="234" t="str">
        <f t="shared" si="1143"/>
        <v>C66 SERVICE</v>
      </c>
      <c r="AS3779" s="22" t="str">
        <f t="shared" si="1144"/>
        <v/>
      </c>
      <c r="AT3779" s="24" t="str">
        <f t="shared" si="1145"/>
        <v/>
      </c>
      <c r="AU3779" s="22">
        <v>0</v>
      </c>
    </row>
    <row r="3780" spans="1:47" ht="39.6">
      <c r="A3780" s="33" t="str">
        <f t="shared" si="1136"/>
        <v/>
      </c>
      <c r="B3780" s="23"/>
      <c r="C3780" s="23"/>
      <c r="D3780" s="33" t="str">
        <f t="shared" si="1147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37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46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49"/>
        <v/>
      </c>
      <c r="Z3780" s="230" t="str">
        <f t="shared" si="1148"/>
        <v/>
      </c>
      <c r="AA3780" s="22"/>
      <c r="AB3780" s="231">
        <v>471000</v>
      </c>
      <c r="AC3780" s="25">
        <f t="shared" si="1138"/>
        <v>141300</v>
      </c>
      <c r="AD3780" s="169">
        <v>0.3</v>
      </c>
      <c r="AE3780" s="26">
        <f t="shared" si="1139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0"/>
        <v>22758096.38940867</v>
      </c>
      <c r="AJ3780" s="27">
        <f t="shared" si="1151"/>
        <v>2469357.2298956565</v>
      </c>
      <c r="AK3780" s="232">
        <f t="shared" si="1140"/>
        <v>0.10850455976822666</v>
      </c>
      <c r="AL3780" s="24"/>
      <c r="AM3780" s="24"/>
      <c r="AN3780" s="24"/>
      <c r="AO3780" s="24"/>
      <c r="AP3780" s="165" t="str">
        <f t="shared" si="1141"/>
        <v>202410</v>
      </c>
      <c r="AQ3780" s="233" t="str">
        <f t="shared" si="1142"/>
        <v/>
      </c>
      <c r="AR3780" s="234" t="str">
        <f t="shared" si="1143"/>
        <v>C66 SERVICE</v>
      </c>
      <c r="AS3780" s="22" t="str">
        <f t="shared" si="1144"/>
        <v/>
      </c>
      <c r="AT3780" s="24" t="str">
        <f t="shared" si="1145"/>
        <v/>
      </c>
      <c r="AU3780" s="22">
        <v>0</v>
      </c>
    </row>
    <row r="3781" spans="1:47">
      <c r="A3781" s="33" t="str">
        <f t="shared" si="1136"/>
        <v>FY 24/25</v>
      </c>
      <c r="B3781" s="23">
        <v>2024</v>
      </c>
      <c r="C3781" s="23">
        <v>11</v>
      </c>
      <c r="D3781" s="33" t="str">
        <f t="shared" si="1147"/>
        <v>Q3</v>
      </c>
      <c r="E3781" s="33" t="str">
        <f t="shared" si="1135"/>
        <v>FY 24/25</v>
      </c>
      <c r="F3781" s="23">
        <v>2024</v>
      </c>
      <c r="G3781" s="23">
        <v>11</v>
      </c>
      <c r="H3781" s="29"/>
      <c r="I3781" s="93" t="str">
        <f t="shared" si="1137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46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49"/>
        <v>1</v>
      </c>
      <c r="Z3781" s="230">
        <f t="shared" si="1148"/>
        <v>13250000</v>
      </c>
      <c r="AA3781" s="22">
        <v>5.1799999999999999E-2</v>
      </c>
      <c r="AB3781" s="231">
        <f t="shared" si="1134"/>
        <v>686350</v>
      </c>
      <c r="AC3781" s="25">
        <f t="shared" si="1138"/>
        <v>75429.865000000005</v>
      </c>
      <c r="AD3781" s="169">
        <v>0.1099</v>
      </c>
      <c r="AE3781" s="26">
        <f t="shared" si="1139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0"/>
        <v>32082250.320460182</v>
      </c>
      <c r="AJ3781" s="27">
        <f t="shared" si="1151"/>
        <v>4323122.9746477893</v>
      </c>
      <c r="AK3781" s="232">
        <f t="shared" si="1140"/>
        <v>0.1347512388147771</v>
      </c>
      <c r="AL3781" s="24"/>
      <c r="AM3781" s="24"/>
      <c r="AN3781" s="24"/>
      <c r="AO3781" s="24"/>
      <c r="AP3781" s="165" t="str">
        <f t="shared" si="1141"/>
        <v>202411</v>
      </c>
      <c r="AQ3781" s="233" t="str">
        <f t="shared" si="1142"/>
        <v>202411JPY</v>
      </c>
      <c r="AR3781" s="234" t="str">
        <f t="shared" si="1143"/>
        <v>YAMAHA_Mounter</v>
      </c>
      <c r="AS3781" s="22">
        <f t="shared" si="1144"/>
        <v>0</v>
      </c>
      <c r="AT3781" s="24" t="str">
        <f t="shared" si="1145"/>
        <v>0-3 months</v>
      </c>
      <c r="AU3781" s="22" t="s">
        <v>3745</v>
      </c>
    </row>
    <row r="3782" spans="1:47">
      <c r="A3782" s="33" t="str">
        <f t="shared" si="1136"/>
        <v>FY 24/25</v>
      </c>
      <c r="B3782" s="23">
        <v>2024</v>
      </c>
      <c r="C3782" s="23">
        <v>11</v>
      </c>
      <c r="D3782" s="33" t="str">
        <f t="shared" si="1147"/>
        <v>Q3</v>
      </c>
      <c r="E3782" s="33" t="str">
        <f t="shared" si="1135"/>
        <v>FY 24/25</v>
      </c>
      <c r="F3782" s="23">
        <v>2024</v>
      </c>
      <c r="G3782" s="23">
        <v>11</v>
      </c>
      <c r="H3782" s="29"/>
      <c r="I3782" s="93" t="str">
        <f t="shared" si="1137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46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49"/>
        <v>1</v>
      </c>
      <c r="Z3782" s="230">
        <f t="shared" si="1148"/>
        <v>13250000</v>
      </c>
      <c r="AA3782" s="22">
        <v>5.1799999999999999E-2</v>
      </c>
      <c r="AB3782" s="231">
        <f t="shared" si="1134"/>
        <v>686350</v>
      </c>
      <c r="AC3782" s="25">
        <f t="shared" si="1138"/>
        <v>75429.865000000005</v>
      </c>
      <c r="AD3782" s="169">
        <v>0.1099</v>
      </c>
      <c r="AE3782" s="26">
        <f t="shared" si="1139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0"/>
        <v>32082250.320460182</v>
      </c>
      <c r="AJ3782" s="27">
        <f t="shared" si="1151"/>
        <v>4323122.9746477893</v>
      </c>
      <c r="AK3782" s="232">
        <f t="shared" si="1140"/>
        <v>0.1347512388147771</v>
      </c>
      <c r="AL3782" s="24"/>
      <c r="AM3782" s="24"/>
      <c r="AN3782" s="24"/>
      <c r="AO3782" s="24"/>
      <c r="AP3782" s="165" t="str">
        <f t="shared" si="1141"/>
        <v>202411</v>
      </c>
      <c r="AQ3782" s="233" t="str">
        <f t="shared" si="1142"/>
        <v>202411JPY</v>
      </c>
      <c r="AR3782" s="234" t="str">
        <f t="shared" si="1143"/>
        <v>YAMAHA_Mounter</v>
      </c>
      <c r="AS3782" s="22">
        <f t="shared" si="1144"/>
        <v>0</v>
      </c>
      <c r="AT3782" s="24" t="str">
        <f t="shared" si="1145"/>
        <v>0-3 months</v>
      </c>
      <c r="AU3782" s="22" t="s">
        <v>3745</v>
      </c>
    </row>
    <row r="3783" spans="1:47">
      <c r="A3783" s="33" t="str">
        <f t="shared" si="1136"/>
        <v>FY 24/25</v>
      </c>
      <c r="B3783" s="23">
        <v>2024</v>
      </c>
      <c r="C3783" s="23">
        <v>11</v>
      </c>
      <c r="D3783" s="33" t="str">
        <f t="shared" si="1147"/>
        <v>Q3</v>
      </c>
      <c r="E3783" s="33" t="str">
        <f t="shared" si="1135"/>
        <v>FY 24/25</v>
      </c>
      <c r="F3783" s="23">
        <v>2024</v>
      </c>
      <c r="G3783" s="23">
        <v>11</v>
      </c>
      <c r="H3783" s="29"/>
      <c r="I3783" s="93" t="str">
        <f t="shared" si="1137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46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49"/>
        <v>1</v>
      </c>
      <c r="Z3783" s="230">
        <f t="shared" si="1148"/>
        <v>13250000</v>
      </c>
      <c r="AA3783" s="22">
        <v>5.1799999999999999E-2</v>
      </c>
      <c r="AB3783" s="231">
        <f t="shared" si="1134"/>
        <v>686350</v>
      </c>
      <c r="AC3783" s="25">
        <f t="shared" si="1138"/>
        <v>75429.865000000005</v>
      </c>
      <c r="AD3783" s="169">
        <v>0.1099</v>
      </c>
      <c r="AE3783" s="26">
        <f t="shared" si="1139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0"/>
        <v>32082250.320460182</v>
      </c>
      <c r="AJ3783" s="27">
        <f t="shared" si="1151"/>
        <v>4323122.9746477893</v>
      </c>
      <c r="AK3783" s="232">
        <f t="shared" si="1140"/>
        <v>0.1347512388147771</v>
      </c>
      <c r="AL3783" s="24"/>
      <c r="AM3783" s="24"/>
      <c r="AN3783" s="24"/>
      <c r="AO3783" s="24"/>
      <c r="AP3783" s="165" t="str">
        <f t="shared" si="1141"/>
        <v>202411</v>
      </c>
      <c r="AQ3783" s="233" t="str">
        <f t="shared" si="1142"/>
        <v>202411JPY</v>
      </c>
      <c r="AR3783" s="234" t="str">
        <f t="shared" si="1143"/>
        <v>YAMAHA_Mounter</v>
      </c>
      <c r="AS3783" s="22">
        <f t="shared" si="1144"/>
        <v>0</v>
      </c>
      <c r="AT3783" s="24" t="str">
        <f t="shared" si="1145"/>
        <v>0-3 months</v>
      </c>
      <c r="AU3783" s="22" t="s">
        <v>3745</v>
      </c>
    </row>
    <row r="3784" spans="1:47">
      <c r="A3784" s="33" t="str">
        <f t="shared" si="1136"/>
        <v>FY 24/25</v>
      </c>
      <c r="B3784" s="23">
        <v>2024</v>
      </c>
      <c r="C3784" s="23">
        <v>11</v>
      </c>
      <c r="D3784" s="33" t="str">
        <f t="shared" si="1147"/>
        <v>Q3</v>
      </c>
      <c r="E3784" s="33" t="str">
        <f t="shared" si="1135"/>
        <v>FY 24/25</v>
      </c>
      <c r="F3784" s="23">
        <v>2024</v>
      </c>
      <c r="G3784" s="23">
        <v>11</v>
      </c>
      <c r="H3784" s="29"/>
      <c r="I3784" s="93" t="str">
        <f t="shared" si="1137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46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49"/>
        <v>1</v>
      </c>
      <c r="Z3784" s="230">
        <f t="shared" si="1148"/>
        <v>13250000</v>
      </c>
      <c r="AA3784" s="22">
        <v>5.1799999999999999E-2</v>
      </c>
      <c r="AB3784" s="231">
        <f t="shared" si="1134"/>
        <v>686350</v>
      </c>
      <c r="AC3784" s="25">
        <f t="shared" si="1138"/>
        <v>75429.865000000005</v>
      </c>
      <c r="AD3784" s="169">
        <v>0.1099</v>
      </c>
      <c r="AE3784" s="26">
        <f t="shared" si="1139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0"/>
        <v>32082250.320460182</v>
      </c>
      <c r="AJ3784" s="27">
        <f t="shared" si="1151"/>
        <v>4323122.9746477893</v>
      </c>
      <c r="AK3784" s="232">
        <f t="shared" si="1140"/>
        <v>0.1347512388147771</v>
      </c>
      <c r="AL3784" s="24"/>
      <c r="AM3784" s="24"/>
      <c r="AN3784" s="24"/>
      <c r="AO3784" s="24"/>
      <c r="AP3784" s="165" t="str">
        <f t="shared" si="1141"/>
        <v>202411</v>
      </c>
      <c r="AQ3784" s="233" t="str">
        <f t="shared" si="1142"/>
        <v>202411JPY</v>
      </c>
      <c r="AR3784" s="234" t="str">
        <f t="shared" si="1143"/>
        <v>YAMAHA_Mounter</v>
      </c>
      <c r="AS3784" s="22">
        <f t="shared" si="1144"/>
        <v>0</v>
      </c>
      <c r="AT3784" s="24" t="str">
        <f t="shared" si="1145"/>
        <v>0-3 months</v>
      </c>
      <c r="AU3784" s="22" t="s">
        <v>3745</v>
      </c>
    </row>
    <row r="3785" spans="1:47">
      <c r="A3785" s="33" t="str">
        <f t="shared" si="1136"/>
        <v>FY 24/25</v>
      </c>
      <c r="B3785" s="23">
        <v>2024</v>
      </c>
      <c r="C3785" s="23">
        <v>11</v>
      </c>
      <c r="D3785" s="33" t="str">
        <f t="shared" si="1147"/>
        <v>Q3</v>
      </c>
      <c r="E3785" s="33" t="str">
        <f t="shared" si="1135"/>
        <v>FY 24/25</v>
      </c>
      <c r="F3785" s="23">
        <v>2024</v>
      </c>
      <c r="G3785" s="23">
        <v>11</v>
      </c>
      <c r="H3785" s="29"/>
      <c r="I3785" s="93" t="str">
        <f t="shared" si="1137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46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49"/>
        <v>1</v>
      </c>
      <c r="Z3785" s="230">
        <f t="shared" si="1148"/>
        <v>12250000</v>
      </c>
      <c r="AA3785" s="22">
        <v>5.1799999999999999E-2</v>
      </c>
      <c r="AB3785" s="231">
        <f t="shared" si="1134"/>
        <v>634550</v>
      </c>
      <c r="AC3785" s="25">
        <f t="shared" si="1138"/>
        <v>76844.005000000005</v>
      </c>
      <c r="AD3785" s="169">
        <v>0.1211</v>
      </c>
      <c r="AE3785" s="26">
        <f t="shared" si="1139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0"/>
        <v>32082250.320460182</v>
      </c>
      <c r="AJ3785" s="27">
        <f t="shared" si="1151"/>
        <v>4323122.9746477893</v>
      </c>
      <c r="AK3785" s="232">
        <f t="shared" si="1140"/>
        <v>0.1347512388147771</v>
      </c>
      <c r="AL3785" s="24"/>
      <c r="AM3785" s="24"/>
      <c r="AN3785" s="24"/>
      <c r="AO3785" s="24"/>
      <c r="AP3785" s="165" t="str">
        <f t="shared" si="1141"/>
        <v>202411</v>
      </c>
      <c r="AQ3785" s="233" t="str">
        <f t="shared" si="1142"/>
        <v>202411JPY</v>
      </c>
      <c r="AR3785" s="234" t="str">
        <f t="shared" si="1143"/>
        <v>YAMAHA_Mounter</v>
      </c>
      <c r="AS3785" s="22">
        <f t="shared" si="1144"/>
        <v>0</v>
      </c>
      <c r="AT3785" s="24" t="str">
        <f t="shared" si="1145"/>
        <v>0-3 months</v>
      </c>
      <c r="AU3785" s="22" t="s">
        <v>3745</v>
      </c>
    </row>
    <row r="3786" spans="1:47">
      <c r="A3786" s="33" t="str">
        <f t="shared" si="1136"/>
        <v>FY 24/25</v>
      </c>
      <c r="B3786" s="23">
        <v>2024</v>
      </c>
      <c r="C3786" s="23">
        <v>11</v>
      </c>
      <c r="D3786" s="33" t="str">
        <f t="shared" si="1147"/>
        <v>Q3</v>
      </c>
      <c r="E3786" s="33" t="str">
        <f t="shared" si="1135"/>
        <v>FY 24/25</v>
      </c>
      <c r="F3786" s="23">
        <v>2025</v>
      </c>
      <c r="G3786" s="23">
        <v>3</v>
      </c>
      <c r="H3786" s="29"/>
      <c r="I3786" s="93" t="str">
        <f t="shared" si="1137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46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149"/>
        <v>1</v>
      </c>
      <c r="Z3786" s="230">
        <f t="shared" si="1148"/>
        <v>16200000</v>
      </c>
      <c r="AA3786" s="22">
        <v>5.2999999999999999E-2</v>
      </c>
      <c r="AB3786" s="231">
        <f t="shared" si="1134"/>
        <v>858600</v>
      </c>
      <c r="AC3786" s="25">
        <f t="shared" si="1138"/>
        <v>103032</v>
      </c>
      <c r="AD3786" s="169">
        <v>0.12</v>
      </c>
      <c r="AE3786" s="26">
        <f t="shared" si="1139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0"/>
        <v>17727707.415929206</v>
      </c>
      <c r="AJ3786" s="27">
        <f t="shared" si="1151"/>
        <v>2127324.8899115045</v>
      </c>
      <c r="AK3786" s="232">
        <f t="shared" si="1140"/>
        <v>0.11999999999999998</v>
      </c>
      <c r="AL3786" s="24"/>
      <c r="AM3786" s="24"/>
      <c r="AN3786" s="24"/>
      <c r="AO3786" s="24"/>
      <c r="AP3786" s="165" t="str">
        <f t="shared" si="1141"/>
        <v>20253</v>
      </c>
      <c r="AQ3786" s="233" t="str">
        <f t="shared" si="1142"/>
        <v>20253JPY</v>
      </c>
      <c r="AR3786" s="234" t="str">
        <f t="shared" si="1143"/>
        <v>YAMAHA_Mounter</v>
      </c>
      <c r="AS3786" s="22">
        <f t="shared" si="1144"/>
        <v>4</v>
      </c>
      <c r="AT3786" s="24" t="str">
        <f t="shared" si="1145"/>
        <v>4-6 months</v>
      </c>
      <c r="AU3786" s="22" t="s">
        <v>3745</v>
      </c>
    </row>
    <row r="3787" spans="1:47">
      <c r="A3787" s="33" t="str">
        <f t="shared" si="1136"/>
        <v>FY 24/25</v>
      </c>
      <c r="B3787" s="23">
        <v>2024</v>
      </c>
      <c r="C3787" s="23">
        <v>11</v>
      </c>
      <c r="D3787" s="33" t="str">
        <f t="shared" si="1147"/>
        <v>Q3</v>
      </c>
      <c r="E3787" s="33" t="str">
        <f t="shared" si="1135"/>
        <v>FY 24/25</v>
      </c>
      <c r="F3787" s="23">
        <v>2025</v>
      </c>
      <c r="G3787" s="23">
        <v>3</v>
      </c>
      <c r="H3787" s="29"/>
      <c r="I3787" s="93" t="str">
        <f t="shared" si="1137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46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149"/>
        <v>1</v>
      </c>
      <c r="Z3787" s="230">
        <f t="shared" si="1148"/>
        <v>8000000</v>
      </c>
      <c r="AA3787" s="22">
        <v>5.2999999999999999E-2</v>
      </c>
      <c r="AB3787" s="231">
        <f t="shared" si="1134"/>
        <v>424000</v>
      </c>
      <c r="AC3787" s="25">
        <f t="shared" si="1138"/>
        <v>50880</v>
      </c>
      <c r="AD3787" s="169">
        <v>0.12</v>
      </c>
      <c r="AE3787" s="26">
        <f t="shared" si="1139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0"/>
        <v>17727707.415929206</v>
      </c>
      <c r="AJ3787" s="27">
        <f t="shared" si="1151"/>
        <v>2127324.8899115045</v>
      </c>
      <c r="AK3787" s="232">
        <f t="shared" si="1140"/>
        <v>0.11999999999999998</v>
      </c>
      <c r="AL3787" s="24"/>
      <c r="AM3787" s="24"/>
      <c r="AN3787" s="24"/>
      <c r="AO3787" s="24"/>
      <c r="AP3787" s="165" t="str">
        <f t="shared" si="1141"/>
        <v>20253</v>
      </c>
      <c r="AQ3787" s="233" t="str">
        <f t="shared" si="1142"/>
        <v>20253JPY</v>
      </c>
      <c r="AR3787" s="234" t="str">
        <f t="shared" si="1143"/>
        <v>YAMAHA_Mounter</v>
      </c>
      <c r="AS3787" s="22">
        <f t="shared" si="1144"/>
        <v>4</v>
      </c>
      <c r="AT3787" s="24" t="str">
        <f t="shared" si="1145"/>
        <v>4-6 months</v>
      </c>
      <c r="AU3787" s="22" t="s">
        <v>3745</v>
      </c>
    </row>
    <row r="3788" spans="1:47">
      <c r="A3788" s="33" t="str">
        <f t="shared" si="1136"/>
        <v>FY 24/25</v>
      </c>
      <c r="B3788" s="23">
        <v>2024</v>
      </c>
      <c r="C3788" s="23">
        <v>11</v>
      </c>
      <c r="D3788" s="33" t="str">
        <f t="shared" si="1147"/>
        <v>Q3</v>
      </c>
      <c r="E3788" s="33" t="str">
        <f t="shared" si="1135"/>
        <v>FY 24/25</v>
      </c>
      <c r="F3788" s="23">
        <v>2024</v>
      </c>
      <c r="G3788" s="23">
        <v>12</v>
      </c>
      <c r="H3788" s="29"/>
      <c r="I3788" s="93" t="str">
        <f t="shared" si="1137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46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49"/>
        <v>1</v>
      </c>
      <c r="Z3788" s="230">
        <f t="shared" si="1148"/>
        <v>16580000</v>
      </c>
      <c r="AA3788" s="22">
        <v>5.2900000000000003E-2</v>
      </c>
      <c r="AB3788" s="231">
        <f t="shared" si="1134"/>
        <v>877082</v>
      </c>
      <c r="AC3788" s="25">
        <f t="shared" si="1138"/>
        <v>119897.10939999999</v>
      </c>
      <c r="AD3788" s="169">
        <v>0.13669999999999999</v>
      </c>
      <c r="AE3788" s="26">
        <f t="shared" si="1139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0"/>
        <v>15965524.256637167</v>
      </c>
      <c r="AJ3788" s="27">
        <f t="shared" si="1151"/>
        <v>2480116.5996584073</v>
      </c>
      <c r="AK3788" s="232">
        <f t="shared" si="1140"/>
        <v>0.15534200817911609</v>
      </c>
      <c r="AL3788" s="24"/>
      <c r="AM3788" s="24"/>
      <c r="AN3788" s="24"/>
      <c r="AO3788" s="24"/>
      <c r="AP3788" s="165" t="str">
        <f t="shared" si="1141"/>
        <v>202412</v>
      </c>
      <c r="AQ3788" s="233" t="str">
        <f t="shared" si="1142"/>
        <v>202412JPY</v>
      </c>
      <c r="AR3788" s="234" t="str">
        <f t="shared" si="1143"/>
        <v>YAMAHA_Mounter</v>
      </c>
      <c r="AS3788" s="22">
        <f t="shared" si="1144"/>
        <v>1</v>
      </c>
      <c r="AT3788" s="24" t="str">
        <f t="shared" si="1145"/>
        <v>0-3 months</v>
      </c>
      <c r="AU3788" s="22" t="s">
        <v>3745</v>
      </c>
    </row>
    <row r="3789" spans="1:47">
      <c r="A3789" s="33" t="str">
        <f t="shared" si="1136"/>
        <v>FY 24/25</v>
      </c>
      <c r="B3789" s="23">
        <v>2024</v>
      </c>
      <c r="C3789" s="23">
        <v>11</v>
      </c>
      <c r="D3789" s="33" t="str">
        <f t="shared" si="1147"/>
        <v>Q3</v>
      </c>
      <c r="E3789" s="33" t="str">
        <f t="shared" si="1135"/>
        <v>FY 24/25</v>
      </c>
      <c r="F3789" s="23">
        <v>2024</v>
      </c>
      <c r="G3789" s="23">
        <v>12</v>
      </c>
      <c r="H3789" s="29"/>
      <c r="I3789" s="93" t="str">
        <f t="shared" si="1137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46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49"/>
        <v>1</v>
      </c>
      <c r="Z3789" s="230">
        <f t="shared" si="1148"/>
        <v>12450000</v>
      </c>
      <c r="AA3789" s="22">
        <v>5.2900000000000003E-2</v>
      </c>
      <c r="AB3789" s="231">
        <f t="shared" si="1134"/>
        <v>658605</v>
      </c>
      <c r="AC3789" s="25">
        <f t="shared" si="1138"/>
        <v>61052.683500000006</v>
      </c>
      <c r="AD3789" s="169">
        <v>9.2700000000000005E-2</v>
      </c>
      <c r="AE3789" s="26">
        <f t="shared" si="1139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0"/>
        <v>15965524.256637167</v>
      </c>
      <c r="AJ3789" s="27">
        <f t="shared" si="1151"/>
        <v>2480116.5996584073</v>
      </c>
      <c r="AK3789" s="232">
        <f t="shared" si="1140"/>
        <v>0.15534200817911609</v>
      </c>
      <c r="AL3789" s="24"/>
      <c r="AM3789" s="24"/>
      <c r="AN3789" s="24"/>
      <c r="AO3789" s="24"/>
      <c r="AP3789" s="165" t="str">
        <f t="shared" si="1141"/>
        <v>202412</v>
      </c>
      <c r="AQ3789" s="233" t="str">
        <f t="shared" si="1142"/>
        <v>202412JPY</v>
      </c>
      <c r="AR3789" s="234" t="str">
        <f t="shared" si="1143"/>
        <v>YAMAHA_Mounter</v>
      </c>
      <c r="AS3789" s="22">
        <f t="shared" si="1144"/>
        <v>1</v>
      </c>
      <c r="AT3789" s="24" t="str">
        <f t="shared" si="1145"/>
        <v>0-3 months</v>
      </c>
      <c r="AU3789" s="22" t="s">
        <v>3745</v>
      </c>
    </row>
    <row r="3790" spans="1:47">
      <c r="A3790" s="33" t="str">
        <f t="shared" si="1136"/>
        <v>FY 24/25</v>
      </c>
      <c r="B3790" s="23">
        <v>2024</v>
      </c>
      <c r="C3790" s="23">
        <v>11</v>
      </c>
      <c r="D3790" s="33" t="str">
        <f t="shared" si="1147"/>
        <v>Q3</v>
      </c>
      <c r="E3790" s="33" t="str">
        <f t="shared" si="1135"/>
        <v>FY 25/26</v>
      </c>
      <c r="F3790" s="23">
        <v>2025</v>
      </c>
      <c r="G3790" s="23">
        <v>4</v>
      </c>
      <c r="H3790" s="29"/>
      <c r="I3790" s="93" t="str">
        <f t="shared" si="1137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46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49"/>
        <v>1</v>
      </c>
      <c r="Z3790" s="230">
        <f t="shared" si="1148"/>
        <v>12450000</v>
      </c>
      <c r="AA3790" s="22">
        <v>5.2999999999999999E-2</v>
      </c>
      <c r="AB3790" s="231">
        <f t="shared" si="1134"/>
        <v>659850</v>
      </c>
      <c r="AC3790" s="25">
        <f t="shared" si="1138"/>
        <v>79182</v>
      </c>
      <c r="AD3790" s="169">
        <v>0.12</v>
      </c>
      <c r="AE3790" s="26">
        <f t="shared" si="1139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0"/>
        <v>29497483.159292053</v>
      </c>
      <c r="AJ3790" s="27">
        <f t="shared" si="1151"/>
        <v>3539697.9791150414</v>
      </c>
      <c r="AK3790" s="232">
        <f t="shared" si="1140"/>
        <v>0.11999999999999983</v>
      </c>
      <c r="AL3790" s="24"/>
      <c r="AM3790" s="24"/>
      <c r="AN3790" s="24"/>
      <c r="AO3790" s="24"/>
      <c r="AP3790" s="165" t="str">
        <f t="shared" si="1141"/>
        <v>20254</v>
      </c>
      <c r="AQ3790" s="233" t="str">
        <f t="shared" si="1142"/>
        <v>20254JPY</v>
      </c>
      <c r="AR3790" s="234" t="str">
        <f t="shared" si="1143"/>
        <v>YAMAHA_Mounter</v>
      </c>
      <c r="AS3790" s="22">
        <f t="shared" si="1144"/>
        <v>5</v>
      </c>
      <c r="AT3790" s="24" t="str">
        <f t="shared" si="1145"/>
        <v>4-6 months</v>
      </c>
      <c r="AU3790" s="22" t="s">
        <v>3745</v>
      </c>
    </row>
    <row r="3791" spans="1:47">
      <c r="A3791" s="33" t="str">
        <f t="shared" si="1136"/>
        <v>FY 24/25</v>
      </c>
      <c r="B3791" s="23">
        <v>2024</v>
      </c>
      <c r="C3791" s="23">
        <v>11</v>
      </c>
      <c r="D3791" s="33" t="str">
        <f t="shared" si="1147"/>
        <v>Q3</v>
      </c>
      <c r="E3791" s="33" t="str">
        <f t="shared" si="1135"/>
        <v>FY 25/26</v>
      </c>
      <c r="F3791" s="23">
        <v>2025</v>
      </c>
      <c r="G3791" s="23">
        <v>4</v>
      </c>
      <c r="H3791" s="29"/>
      <c r="I3791" s="93" t="str">
        <f t="shared" si="1137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46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49"/>
        <v>1</v>
      </c>
      <c r="Z3791" s="230">
        <f t="shared" si="1148"/>
        <v>12450000</v>
      </c>
      <c r="AA3791" s="22">
        <v>5.2999999999999999E-2</v>
      </c>
      <c r="AB3791" s="231">
        <f t="shared" si="1134"/>
        <v>659850</v>
      </c>
      <c r="AC3791" s="25">
        <f t="shared" si="1138"/>
        <v>79182</v>
      </c>
      <c r="AD3791" s="169">
        <v>0.12</v>
      </c>
      <c r="AE3791" s="26">
        <f t="shared" si="1139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0"/>
        <v>29497483.159292053</v>
      </c>
      <c r="AJ3791" s="27">
        <f t="shared" si="1151"/>
        <v>3539697.9791150414</v>
      </c>
      <c r="AK3791" s="232">
        <f t="shared" si="1140"/>
        <v>0.11999999999999983</v>
      </c>
      <c r="AL3791" s="24"/>
      <c r="AM3791" s="24"/>
      <c r="AN3791" s="24"/>
      <c r="AO3791" s="24"/>
      <c r="AP3791" s="165" t="str">
        <f t="shared" si="1141"/>
        <v>20254</v>
      </c>
      <c r="AQ3791" s="233" t="str">
        <f t="shared" si="1142"/>
        <v>20254JPY</v>
      </c>
      <c r="AR3791" s="234" t="str">
        <f t="shared" si="1143"/>
        <v>YAMAHA_Mounter</v>
      </c>
      <c r="AS3791" s="22">
        <f t="shared" si="1144"/>
        <v>5</v>
      </c>
      <c r="AT3791" s="24" t="str">
        <f t="shared" si="1145"/>
        <v>4-6 months</v>
      </c>
      <c r="AU3791" s="22" t="s">
        <v>3745</v>
      </c>
    </row>
    <row r="3792" spans="1:47">
      <c r="A3792" s="33" t="str">
        <f t="shared" si="1136"/>
        <v>FY 24/25</v>
      </c>
      <c r="B3792" s="23">
        <v>2024</v>
      </c>
      <c r="C3792" s="23">
        <v>11</v>
      </c>
      <c r="D3792" s="33" t="str">
        <f t="shared" si="1147"/>
        <v>Q3</v>
      </c>
      <c r="E3792" s="33" t="str">
        <f t="shared" si="1135"/>
        <v>Cancel</v>
      </c>
      <c r="F3792" s="23" t="s">
        <v>185</v>
      </c>
      <c r="G3792" s="23" t="s">
        <v>185</v>
      </c>
      <c r="H3792" s="29"/>
      <c r="I3792" s="93" t="str">
        <f t="shared" si="1137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46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49"/>
        <v>1</v>
      </c>
      <c r="Z3792" s="230">
        <f t="shared" si="1148"/>
        <v>6745000</v>
      </c>
      <c r="AA3792" s="22">
        <v>5.2999999999999999E-2</v>
      </c>
      <c r="AB3792" s="231">
        <f t="shared" si="1134"/>
        <v>357485</v>
      </c>
      <c r="AC3792" s="25">
        <f t="shared" si="1138"/>
        <v>42898.2</v>
      </c>
      <c r="AD3792" s="169">
        <v>0.12</v>
      </c>
      <c r="AE3792" s="26">
        <f t="shared" si="1139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0"/>
        <v>499582152.5142017</v>
      </c>
      <c r="AJ3792" s="27">
        <f t="shared" si="1151"/>
        <v>59520528.679470733</v>
      </c>
      <c r="AK3792" s="232">
        <f t="shared" si="1140"/>
        <v>0.11914062257814291</v>
      </c>
      <c r="AL3792" s="24"/>
      <c r="AM3792" s="24"/>
      <c r="AN3792" s="24"/>
      <c r="AO3792" s="24"/>
      <c r="AP3792" s="165" t="str">
        <f t="shared" si="1141"/>
        <v>CancelCancel</v>
      </c>
      <c r="AQ3792" s="233" t="str">
        <f t="shared" si="1142"/>
        <v>CancelCancelJPY</v>
      </c>
      <c r="AR3792" s="234" t="str">
        <f t="shared" si="1143"/>
        <v>YAMAHA_Mounter</v>
      </c>
      <c r="AS3792" s="22" t="str">
        <f t="shared" si="1144"/>
        <v/>
      </c>
      <c r="AT3792" s="24" t="str">
        <f t="shared" si="1145"/>
        <v/>
      </c>
      <c r="AU3792" s="22" t="s">
        <v>3745</v>
      </c>
    </row>
    <row r="3793" spans="1:47">
      <c r="A3793" s="33" t="str">
        <f t="shared" si="1136"/>
        <v>FY 24/25</v>
      </c>
      <c r="B3793" s="23">
        <v>2024</v>
      </c>
      <c r="C3793" s="23">
        <v>11</v>
      </c>
      <c r="D3793" s="33" t="str">
        <f t="shared" si="1147"/>
        <v>Q3</v>
      </c>
      <c r="E3793" s="33" t="str">
        <f t="shared" si="1135"/>
        <v>Cancel</v>
      </c>
      <c r="F3793" s="23" t="s">
        <v>185</v>
      </c>
      <c r="G3793" s="23" t="s">
        <v>185</v>
      </c>
      <c r="H3793" s="29"/>
      <c r="I3793" s="93" t="str">
        <f t="shared" si="1137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46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49"/>
        <v>1</v>
      </c>
      <c r="Z3793" s="230">
        <f t="shared" si="1148"/>
        <v>6745000</v>
      </c>
      <c r="AA3793" s="22">
        <v>5.2999999999999999E-2</v>
      </c>
      <c r="AB3793" s="231">
        <f t="shared" si="1134"/>
        <v>357485</v>
      </c>
      <c r="AC3793" s="25">
        <f t="shared" si="1138"/>
        <v>42898.2</v>
      </c>
      <c r="AD3793" s="169">
        <v>0.12</v>
      </c>
      <c r="AE3793" s="26">
        <f t="shared" si="1139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0"/>
        <v>499582152.5142017</v>
      </c>
      <c r="AJ3793" s="27">
        <f t="shared" si="1151"/>
        <v>59520528.679470733</v>
      </c>
      <c r="AK3793" s="232">
        <f t="shared" si="1140"/>
        <v>0.11914062257814291</v>
      </c>
      <c r="AL3793" s="24"/>
      <c r="AM3793" s="24"/>
      <c r="AN3793" s="24"/>
      <c r="AO3793" s="24"/>
      <c r="AP3793" s="165" t="str">
        <f t="shared" si="1141"/>
        <v>CancelCancel</v>
      </c>
      <c r="AQ3793" s="233" t="str">
        <f t="shared" si="1142"/>
        <v>CancelCancelJPY</v>
      </c>
      <c r="AR3793" s="234" t="str">
        <f t="shared" si="1143"/>
        <v>YAMAHA_Mounter</v>
      </c>
      <c r="AS3793" s="22" t="str">
        <f t="shared" si="1144"/>
        <v/>
      </c>
      <c r="AT3793" s="24" t="str">
        <f t="shared" si="1145"/>
        <v/>
      </c>
      <c r="AU3793" s="22" t="s">
        <v>3745</v>
      </c>
    </row>
    <row r="3794" spans="1:47">
      <c r="A3794" s="33" t="str">
        <f t="shared" si="1136"/>
        <v>FY 24/25</v>
      </c>
      <c r="B3794" s="23">
        <v>2024</v>
      </c>
      <c r="C3794" s="23">
        <v>11</v>
      </c>
      <c r="D3794" s="33" t="str">
        <f t="shared" si="1147"/>
        <v>Q3</v>
      </c>
      <c r="E3794" s="33" t="str">
        <f t="shared" si="1135"/>
        <v>Cancel</v>
      </c>
      <c r="F3794" s="23" t="s">
        <v>185</v>
      </c>
      <c r="G3794" s="23" t="s">
        <v>185</v>
      </c>
      <c r="H3794" s="29"/>
      <c r="I3794" s="93" t="str">
        <f t="shared" si="1137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46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49"/>
        <v>1</v>
      </c>
      <c r="Z3794" s="230">
        <f t="shared" si="1148"/>
        <v>6745000</v>
      </c>
      <c r="AA3794" s="22">
        <v>5.2999999999999999E-2</v>
      </c>
      <c r="AB3794" s="231">
        <f t="shared" ref="AB3794:AB3857" si="1152">IF(AND(R3794&lt;&gt;"C66",R3794&lt;&gt;""),Z3794/Y3794*AA3794,"")</f>
        <v>357485</v>
      </c>
      <c r="AC3794" s="25">
        <f t="shared" si="1138"/>
        <v>42898.2</v>
      </c>
      <c r="AD3794" s="169">
        <v>0.12</v>
      </c>
      <c r="AE3794" s="26">
        <f t="shared" si="1139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0"/>
        <v>499582152.5142017</v>
      </c>
      <c r="AJ3794" s="27">
        <f t="shared" si="1151"/>
        <v>59520528.679470733</v>
      </c>
      <c r="AK3794" s="232">
        <f t="shared" si="1140"/>
        <v>0.11914062257814291</v>
      </c>
      <c r="AL3794" s="24"/>
      <c r="AM3794" s="24"/>
      <c r="AN3794" s="24"/>
      <c r="AO3794" s="24"/>
      <c r="AP3794" s="165" t="str">
        <f t="shared" si="1141"/>
        <v>CancelCancel</v>
      </c>
      <c r="AQ3794" s="233" t="str">
        <f t="shared" si="1142"/>
        <v>CancelCancelJPY</v>
      </c>
      <c r="AR3794" s="234" t="str">
        <f t="shared" si="1143"/>
        <v>YAMAHA_Mounter</v>
      </c>
      <c r="AS3794" s="22" t="str">
        <f t="shared" si="1144"/>
        <v/>
      </c>
      <c r="AT3794" s="24" t="str">
        <f t="shared" si="1145"/>
        <v/>
      </c>
      <c r="AU3794" s="22" t="s">
        <v>3745</v>
      </c>
    </row>
    <row r="3795" spans="1:47">
      <c r="A3795" s="33" t="str">
        <f t="shared" si="1136"/>
        <v>FY 24/25</v>
      </c>
      <c r="B3795" s="23">
        <v>2024</v>
      </c>
      <c r="C3795" s="23">
        <v>11</v>
      </c>
      <c r="D3795" s="33" t="str">
        <f t="shared" si="1147"/>
        <v>Q3</v>
      </c>
      <c r="E3795" s="33" t="str">
        <f t="shared" si="1135"/>
        <v>FY 24/25</v>
      </c>
      <c r="F3795" s="23">
        <v>2024</v>
      </c>
      <c r="G3795" s="23">
        <v>12</v>
      </c>
      <c r="H3795" s="29"/>
      <c r="I3795" s="93" t="str">
        <f t="shared" si="1137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46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49"/>
        <v>1.13</v>
      </c>
      <c r="Z3795" s="230">
        <f t="shared" si="1148"/>
        <v>750000</v>
      </c>
      <c r="AA3795" s="22">
        <v>1.0760000000000001</v>
      </c>
      <c r="AB3795" s="231">
        <f t="shared" si="1152"/>
        <v>714159.29203539842</v>
      </c>
      <c r="AC3795" s="25">
        <f t="shared" si="1138"/>
        <v>134761.85840707968</v>
      </c>
      <c r="AD3795" s="170">
        <v>0.18870000000000001</v>
      </c>
      <c r="AE3795" s="26">
        <f t="shared" si="1139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0"/>
        <v>15965524.256637167</v>
      </c>
      <c r="AJ3795" s="27">
        <f t="shared" si="1151"/>
        <v>2480116.5996584073</v>
      </c>
      <c r="AK3795" s="232">
        <f t="shared" si="1140"/>
        <v>0.15534200817911609</v>
      </c>
      <c r="AL3795" s="24"/>
      <c r="AM3795" s="24"/>
      <c r="AN3795" s="24"/>
      <c r="AO3795" s="24"/>
      <c r="AP3795" s="165" t="str">
        <f t="shared" si="1141"/>
        <v>202412</v>
      </c>
      <c r="AQ3795" s="233" t="str">
        <f t="shared" si="1142"/>
        <v>202412RMB</v>
      </c>
      <c r="AR3795" s="234" t="str">
        <f t="shared" si="1143"/>
        <v>YAMAHA_Mounter</v>
      </c>
      <c r="AS3795" s="22">
        <f t="shared" si="1144"/>
        <v>1</v>
      </c>
      <c r="AT3795" s="24" t="str">
        <f t="shared" si="1145"/>
        <v>0-3 months</v>
      </c>
      <c r="AU3795" s="22" t="s">
        <v>3240</v>
      </c>
    </row>
    <row r="3796" spans="1:47">
      <c r="A3796" s="33" t="str">
        <f t="shared" si="1136"/>
        <v>FY 24/25</v>
      </c>
      <c r="B3796" s="23">
        <v>2024</v>
      </c>
      <c r="C3796" s="23">
        <v>11</v>
      </c>
      <c r="D3796" s="33" t="str">
        <f t="shared" si="1147"/>
        <v>Q3</v>
      </c>
      <c r="E3796" s="33" t="str">
        <f t="shared" si="1135"/>
        <v>FY 24/25</v>
      </c>
      <c r="F3796" s="23">
        <v>2024</v>
      </c>
      <c r="G3796" s="23">
        <v>12</v>
      </c>
      <c r="H3796" s="29"/>
      <c r="I3796" s="93" t="str">
        <f t="shared" si="1137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46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49"/>
        <v>1.13</v>
      </c>
      <c r="Z3796" s="230">
        <f t="shared" si="1148"/>
        <v>370000</v>
      </c>
      <c r="AA3796" s="22">
        <v>1.0760000000000001</v>
      </c>
      <c r="AB3796" s="231">
        <f t="shared" si="1152"/>
        <v>352318.58407079655</v>
      </c>
      <c r="AC3796" s="25">
        <f t="shared" si="1138"/>
        <v>66482.516814159317</v>
      </c>
      <c r="AD3796" s="170">
        <v>0.18870000000000001</v>
      </c>
      <c r="AE3796" s="26">
        <f t="shared" si="1139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0"/>
        <v>15965524.256637167</v>
      </c>
      <c r="AJ3796" s="27">
        <f t="shared" si="1151"/>
        <v>2480116.5996584073</v>
      </c>
      <c r="AK3796" s="232">
        <f t="shared" si="1140"/>
        <v>0.15534200817911609</v>
      </c>
      <c r="AL3796" s="24"/>
      <c r="AM3796" s="24"/>
      <c r="AN3796" s="24"/>
      <c r="AO3796" s="24"/>
      <c r="AP3796" s="165" t="str">
        <f t="shared" si="1141"/>
        <v>202412</v>
      </c>
      <c r="AQ3796" s="233" t="str">
        <f t="shared" si="1142"/>
        <v>202412RMB</v>
      </c>
      <c r="AR3796" s="234" t="str">
        <f t="shared" si="1143"/>
        <v>YAMAHA_Non_Mounter</v>
      </c>
      <c r="AS3796" s="22">
        <f t="shared" si="1144"/>
        <v>1</v>
      </c>
      <c r="AT3796" s="24" t="str">
        <f t="shared" si="1145"/>
        <v>0-3 months</v>
      </c>
      <c r="AU3796" s="22" t="s">
        <v>3240</v>
      </c>
    </row>
    <row r="3797" spans="1:47">
      <c r="A3797" s="33" t="str">
        <f t="shared" si="1136"/>
        <v>FY 24/25</v>
      </c>
      <c r="B3797" s="23">
        <v>2024</v>
      </c>
      <c r="C3797" s="23">
        <v>11</v>
      </c>
      <c r="D3797" s="33" t="str">
        <f t="shared" si="1147"/>
        <v>Q3</v>
      </c>
      <c r="E3797" s="33" t="str">
        <f t="shared" si="1135"/>
        <v>FY 24/25</v>
      </c>
      <c r="F3797" s="23">
        <v>2024</v>
      </c>
      <c r="G3797" s="23">
        <v>11</v>
      </c>
      <c r="H3797" s="29"/>
      <c r="I3797" s="93" t="str">
        <f t="shared" si="1137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46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49"/>
        <v>1.13</v>
      </c>
      <c r="Z3797" s="230">
        <f t="shared" si="1148"/>
        <v>385000</v>
      </c>
      <c r="AA3797" s="22">
        <v>1.0920000000000001</v>
      </c>
      <c r="AB3797" s="231">
        <f t="shared" si="1152"/>
        <v>372053.09734513279</v>
      </c>
      <c r="AC3797" s="25">
        <f t="shared" si="1138"/>
        <v>38172.647787610622</v>
      </c>
      <c r="AD3797" s="169">
        <v>0.1026</v>
      </c>
      <c r="AE3797" s="26">
        <f t="shared" si="1139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0"/>
        <v>32082250.320460182</v>
      </c>
      <c r="AJ3797" s="27">
        <f t="shared" si="1151"/>
        <v>4323122.9746477893</v>
      </c>
      <c r="AK3797" s="232">
        <f t="shared" si="1140"/>
        <v>0.1347512388147771</v>
      </c>
      <c r="AL3797" s="24"/>
      <c r="AM3797" s="24"/>
      <c r="AN3797" s="24"/>
      <c r="AO3797" s="24"/>
      <c r="AP3797" s="165" t="str">
        <f t="shared" si="1141"/>
        <v>202411</v>
      </c>
      <c r="AQ3797" s="233" t="str">
        <f t="shared" si="1142"/>
        <v>202411RMB</v>
      </c>
      <c r="AR3797" s="234" t="str">
        <f t="shared" si="1143"/>
        <v>YAMAHA_Mounter</v>
      </c>
      <c r="AS3797" s="22">
        <f t="shared" si="1144"/>
        <v>0</v>
      </c>
      <c r="AT3797" s="24" t="str">
        <f t="shared" si="1145"/>
        <v>0-3 months</v>
      </c>
      <c r="AU3797" s="22" t="s">
        <v>3240</v>
      </c>
    </row>
    <row r="3798" spans="1:47">
      <c r="A3798" s="33" t="str">
        <f t="shared" si="1136"/>
        <v>FY 24/25</v>
      </c>
      <c r="B3798" s="23">
        <v>2024</v>
      </c>
      <c r="C3798" s="23">
        <v>11</v>
      </c>
      <c r="D3798" s="33" t="str">
        <f t="shared" si="1147"/>
        <v>Q3</v>
      </c>
      <c r="E3798" s="33" t="str">
        <f t="shared" si="1135"/>
        <v>FY 24/25</v>
      </c>
      <c r="F3798" s="23">
        <v>2024</v>
      </c>
      <c r="G3798" s="23">
        <v>11</v>
      </c>
      <c r="H3798" s="29"/>
      <c r="I3798" s="93" t="str">
        <f t="shared" si="1137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46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49"/>
        <v>1</v>
      </c>
      <c r="Z3798" s="230">
        <f t="shared" si="1148"/>
        <v>12500000</v>
      </c>
      <c r="AA3798" s="22">
        <v>5.1799999999999999E-2</v>
      </c>
      <c r="AB3798" s="231">
        <f t="shared" si="1152"/>
        <v>647500</v>
      </c>
      <c r="AC3798" s="25">
        <f t="shared" si="1138"/>
        <v>82556.25</v>
      </c>
      <c r="AD3798" s="169">
        <v>0.1275</v>
      </c>
      <c r="AE3798" s="26">
        <f t="shared" si="1139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0"/>
        <v>32082250.320460182</v>
      </c>
      <c r="AJ3798" s="27">
        <f t="shared" si="1151"/>
        <v>4323122.9746477893</v>
      </c>
      <c r="AK3798" s="232">
        <f t="shared" si="1140"/>
        <v>0.1347512388147771</v>
      </c>
      <c r="AL3798" s="24"/>
      <c r="AM3798" s="24"/>
      <c r="AN3798" s="24"/>
      <c r="AO3798" s="24"/>
      <c r="AP3798" s="165" t="str">
        <f t="shared" si="1141"/>
        <v>202411</v>
      </c>
      <c r="AQ3798" s="233" t="str">
        <f t="shared" si="1142"/>
        <v>202411JPY</v>
      </c>
      <c r="AR3798" s="234" t="str">
        <f t="shared" si="1143"/>
        <v>YAMAHA_Mounter</v>
      </c>
      <c r="AS3798" s="22">
        <f t="shared" si="1144"/>
        <v>0</v>
      </c>
      <c r="AT3798" s="24" t="str">
        <f t="shared" si="1145"/>
        <v>0-3 months</v>
      </c>
      <c r="AU3798" s="22" t="s">
        <v>3745</v>
      </c>
    </row>
    <row r="3799" spans="1:47">
      <c r="A3799" s="33" t="str">
        <f t="shared" si="1136"/>
        <v>FY 24/25</v>
      </c>
      <c r="B3799" s="23">
        <v>2024</v>
      </c>
      <c r="C3799" s="23">
        <v>11</v>
      </c>
      <c r="D3799" s="33" t="str">
        <f t="shared" si="1147"/>
        <v>Q3</v>
      </c>
      <c r="E3799" s="33" t="str">
        <f t="shared" si="1135"/>
        <v>FY 25/26</v>
      </c>
      <c r="F3799" s="23">
        <v>2025</v>
      </c>
      <c r="G3799" s="23">
        <v>4</v>
      </c>
      <c r="H3799" s="29"/>
      <c r="I3799" s="93" t="str">
        <f t="shared" si="1137"/>
        <v>Q1</v>
      </c>
      <c r="J3799" s="188" t="s">
        <v>3613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46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49"/>
        <v>1</v>
      </c>
      <c r="Z3799" s="230">
        <f t="shared" si="1148"/>
        <v>13355000</v>
      </c>
      <c r="AA3799" s="22">
        <v>5.2999999999999999E-2</v>
      </c>
      <c r="AB3799" s="231">
        <f t="shared" si="1152"/>
        <v>707815</v>
      </c>
      <c r="AC3799" s="25">
        <f t="shared" si="1138"/>
        <v>84937.8</v>
      </c>
      <c r="AD3799" s="169">
        <v>0.12</v>
      </c>
      <c r="AE3799" s="26">
        <f t="shared" si="1139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0"/>
        <v>29497483.159292053</v>
      </c>
      <c r="AJ3799" s="27">
        <f t="shared" si="1151"/>
        <v>3539697.9791150414</v>
      </c>
      <c r="AK3799" s="232">
        <f t="shared" si="1140"/>
        <v>0.11999999999999983</v>
      </c>
      <c r="AL3799" s="24"/>
      <c r="AM3799" s="24"/>
      <c r="AN3799" s="24"/>
      <c r="AO3799" s="24"/>
      <c r="AP3799" s="165" t="str">
        <f t="shared" si="1141"/>
        <v>20254</v>
      </c>
      <c r="AQ3799" s="233" t="str">
        <f t="shared" si="1142"/>
        <v>20254JPY</v>
      </c>
      <c r="AR3799" s="234" t="str">
        <f t="shared" si="1143"/>
        <v>YAMAHA_Mounter</v>
      </c>
      <c r="AS3799" s="22">
        <f t="shared" si="1144"/>
        <v>5</v>
      </c>
      <c r="AT3799" s="24" t="str">
        <f t="shared" si="1145"/>
        <v>4-6 months</v>
      </c>
      <c r="AU3799" s="22" t="s">
        <v>3745</v>
      </c>
    </row>
    <row r="3800" spans="1:47">
      <c r="A3800" s="33" t="str">
        <f t="shared" si="1136"/>
        <v>FY 24/25</v>
      </c>
      <c r="B3800" s="23">
        <v>2024</v>
      </c>
      <c r="C3800" s="23">
        <v>11</v>
      </c>
      <c r="D3800" s="33" t="str">
        <f t="shared" si="1147"/>
        <v>Q3</v>
      </c>
      <c r="E3800" s="33" t="str">
        <f t="shared" ref="E3800:E3863" si="115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4</v>
      </c>
      <c r="H3800" s="29"/>
      <c r="I3800" s="93" t="str">
        <f t="shared" si="1137"/>
        <v>Q1</v>
      </c>
      <c r="J3800" s="188" t="s">
        <v>3613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46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49"/>
        <v>1</v>
      </c>
      <c r="Z3800" s="230">
        <f t="shared" si="1148"/>
        <v>13355000</v>
      </c>
      <c r="AA3800" s="22">
        <v>5.2999999999999999E-2</v>
      </c>
      <c r="AB3800" s="231">
        <f t="shared" si="1152"/>
        <v>707815</v>
      </c>
      <c r="AC3800" s="25">
        <f t="shared" si="1138"/>
        <v>84937.8</v>
      </c>
      <c r="AD3800" s="169">
        <v>0.12</v>
      </c>
      <c r="AE3800" s="26">
        <f t="shared" si="1139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0"/>
        <v>29497483.159292053</v>
      </c>
      <c r="AJ3800" s="27">
        <f t="shared" si="1151"/>
        <v>3539697.9791150414</v>
      </c>
      <c r="AK3800" s="232">
        <f t="shared" si="1140"/>
        <v>0.11999999999999983</v>
      </c>
      <c r="AL3800" s="24"/>
      <c r="AM3800" s="24"/>
      <c r="AN3800" s="24"/>
      <c r="AO3800" s="24"/>
      <c r="AP3800" s="165" t="str">
        <f t="shared" si="1141"/>
        <v>20254</v>
      </c>
      <c r="AQ3800" s="233" t="str">
        <f t="shared" si="1142"/>
        <v>20254JPY</v>
      </c>
      <c r="AR3800" s="234" t="str">
        <f t="shared" si="1143"/>
        <v>YAMAHA_Mounter</v>
      </c>
      <c r="AS3800" s="22">
        <f t="shared" si="1144"/>
        <v>5</v>
      </c>
      <c r="AT3800" s="24" t="str">
        <f t="shared" si="1145"/>
        <v>4-6 months</v>
      </c>
      <c r="AU3800" s="22" t="s">
        <v>3745</v>
      </c>
    </row>
    <row r="3801" spans="1:47">
      <c r="A3801" s="33" t="str">
        <f t="shared" si="1136"/>
        <v>FY 24/25</v>
      </c>
      <c r="B3801" s="23">
        <v>2024</v>
      </c>
      <c r="C3801" s="23">
        <v>11</v>
      </c>
      <c r="D3801" s="33" t="str">
        <f t="shared" si="1147"/>
        <v>Q3</v>
      </c>
      <c r="E3801" s="33" t="str">
        <f t="shared" si="1153"/>
        <v>FY 25/26</v>
      </c>
      <c r="F3801" s="23">
        <v>2025</v>
      </c>
      <c r="G3801" s="23">
        <v>4</v>
      </c>
      <c r="H3801" s="29"/>
      <c r="I3801" s="93" t="str">
        <f t="shared" si="1137"/>
        <v>Q1</v>
      </c>
      <c r="J3801" s="188" t="s">
        <v>3614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46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49"/>
        <v>1</v>
      </c>
      <c r="Z3801" s="230">
        <f t="shared" si="1148"/>
        <v>14000000</v>
      </c>
      <c r="AA3801" s="22">
        <v>5.2999999999999999E-2</v>
      </c>
      <c r="AB3801" s="231">
        <f t="shared" si="1152"/>
        <v>742000</v>
      </c>
      <c r="AC3801" s="25">
        <f t="shared" si="1138"/>
        <v>89040</v>
      </c>
      <c r="AD3801" s="169">
        <v>0.12</v>
      </c>
      <c r="AE3801" s="26">
        <f t="shared" si="1139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0"/>
        <v>29497483.159292053</v>
      </c>
      <c r="AJ3801" s="27">
        <f t="shared" si="1151"/>
        <v>3539697.9791150414</v>
      </c>
      <c r="AK3801" s="232">
        <f t="shared" si="1140"/>
        <v>0.11999999999999983</v>
      </c>
      <c r="AL3801" s="24"/>
      <c r="AM3801" s="24"/>
      <c r="AN3801" s="24"/>
      <c r="AO3801" s="24"/>
      <c r="AP3801" s="165" t="str">
        <f t="shared" si="1141"/>
        <v>20254</v>
      </c>
      <c r="AQ3801" s="233" t="str">
        <f t="shared" si="1142"/>
        <v>20254JPY</v>
      </c>
      <c r="AR3801" s="234" t="str">
        <f t="shared" si="1143"/>
        <v>YAMAHA_Mounter</v>
      </c>
      <c r="AS3801" s="22">
        <f t="shared" si="1144"/>
        <v>5</v>
      </c>
      <c r="AT3801" s="24" t="str">
        <f t="shared" si="1145"/>
        <v>4-6 months</v>
      </c>
      <c r="AU3801" s="22" t="s">
        <v>3745</v>
      </c>
    </row>
    <row r="3802" spans="1:47">
      <c r="A3802" s="33" t="str">
        <f t="shared" si="1136"/>
        <v>FY 24/25</v>
      </c>
      <c r="B3802" s="23">
        <v>2024</v>
      </c>
      <c r="C3802" s="23">
        <v>11</v>
      </c>
      <c r="D3802" s="33" t="str">
        <f t="shared" si="1147"/>
        <v>Q3</v>
      </c>
      <c r="E3802" s="33" t="str">
        <f t="shared" si="1153"/>
        <v>FY 25/26</v>
      </c>
      <c r="F3802" s="23">
        <v>2025</v>
      </c>
      <c r="G3802" s="23">
        <v>4</v>
      </c>
      <c r="H3802" s="29"/>
      <c r="I3802" s="93" t="str">
        <f t="shared" si="1137"/>
        <v>Q1</v>
      </c>
      <c r="J3802" s="188" t="s">
        <v>3614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46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49"/>
        <v>1</v>
      </c>
      <c r="Z3802" s="230">
        <f t="shared" si="1148"/>
        <v>14000000</v>
      </c>
      <c r="AA3802" s="22">
        <v>5.2999999999999999E-2</v>
      </c>
      <c r="AB3802" s="231">
        <f t="shared" si="1152"/>
        <v>742000</v>
      </c>
      <c r="AC3802" s="25">
        <f t="shared" si="1138"/>
        <v>89040</v>
      </c>
      <c r="AD3802" s="169">
        <v>0.12</v>
      </c>
      <c r="AE3802" s="26">
        <f t="shared" si="1139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0"/>
        <v>29497483.159292053</v>
      </c>
      <c r="AJ3802" s="27">
        <f t="shared" si="1151"/>
        <v>3539697.9791150414</v>
      </c>
      <c r="AK3802" s="232">
        <f t="shared" si="1140"/>
        <v>0.11999999999999983</v>
      </c>
      <c r="AL3802" s="24"/>
      <c r="AM3802" s="24"/>
      <c r="AN3802" s="24"/>
      <c r="AO3802" s="24"/>
      <c r="AP3802" s="165" t="str">
        <f t="shared" si="1141"/>
        <v>20254</v>
      </c>
      <c r="AQ3802" s="233" t="str">
        <f t="shared" si="1142"/>
        <v>20254JPY</v>
      </c>
      <c r="AR3802" s="234" t="str">
        <f t="shared" si="1143"/>
        <v>YAMAHA_Mounter</v>
      </c>
      <c r="AS3802" s="22">
        <f t="shared" si="1144"/>
        <v>5</v>
      </c>
      <c r="AT3802" s="24" t="str">
        <f t="shared" si="1145"/>
        <v>4-6 months</v>
      </c>
      <c r="AU3802" s="22" t="s">
        <v>3745</v>
      </c>
    </row>
    <row r="3803" spans="1:47">
      <c r="A3803" s="33" t="str">
        <f t="shared" si="1136"/>
        <v>FY 24/25</v>
      </c>
      <c r="B3803" s="23">
        <v>2024</v>
      </c>
      <c r="C3803" s="23">
        <v>11</v>
      </c>
      <c r="D3803" s="33" t="str">
        <f t="shared" si="1147"/>
        <v>Q3</v>
      </c>
      <c r="E3803" s="33" t="str">
        <f t="shared" si="1153"/>
        <v>FY 25/26</v>
      </c>
      <c r="F3803" s="23">
        <v>2025</v>
      </c>
      <c r="G3803" s="23">
        <v>4</v>
      </c>
      <c r="H3803" s="29"/>
      <c r="I3803" s="93" t="str">
        <f t="shared" si="1137"/>
        <v>Q1</v>
      </c>
      <c r="J3803" s="188" t="s">
        <v>3614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46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49"/>
        <v>1</v>
      </c>
      <c r="Z3803" s="230">
        <f t="shared" si="1148"/>
        <v>14000000</v>
      </c>
      <c r="AA3803" s="22">
        <v>5.2999999999999999E-2</v>
      </c>
      <c r="AB3803" s="231">
        <f t="shared" si="1152"/>
        <v>742000</v>
      </c>
      <c r="AC3803" s="25">
        <f t="shared" si="1138"/>
        <v>89040</v>
      </c>
      <c r="AD3803" s="169">
        <v>0.12</v>
      </c>
      <c r="AE3803" s="26">
        <f t="shared" si="1139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0"/>
        <v>29497483.159292053</v>
      </c>
      <c r="AJ3803" s="27">
        <f t="shared" si="1151"/>
        <v>3539697.9791150414</v>
      </c>
      <c r="AK3803" s="232">
        <f t="shared" si="1140"/>
        <v>0.11999999999999983</v>
      </c>
      <c r="AL3803" s="24"/>
      <c r="AM3803" s="24"/>
      <c r="AN3803" s="24"/>
      <c r="AO3803" s="24"/>
      <c r="AP3803" s="165" t="str">
        <f t="shared" si="1141"/>
        <v>20254</v>
      </c>
      <c r="AQ3803" s="233" t="str">
        <f t="shared" si="1142"/>
        <v>20254JPY</v>
      </c>
      <c r="AR3803" s="234" t="str">
        <f t="shared" si="1143"/>
        <v>YAMAHA_Mounter</v>
      </c>
      <c r="AS3803" s="22">
        <f t="shared" si="1144"/>
        <v>5</v>
      </c>
      <c r="AT3803" s="24" t="str">
        <f t="shared" si="1145"/>
        <v>4-6 months</v>
      </c>
      <c r="AU3803" s="22" t="s">
        <v>3745</v>
      </c>
    </row>
    <row r="3804" spans="1:47">
      <c r="A3804" s="33" t="str">
        <f t="shared" si="1136"/>
        <v>FY 24/25</v>
      </c>
      <c r="B3804" s="23">
        <v>2024</v>
      </c>
      <c r="C3804" s="23">
        <v>11</v>
      </c>
      <c r="D3804" s="33" t="str">
        <f t="shared" si="1147"/>
        <v>Q3</v>
      </c>
      <c r="E3804" s="33" t="str">
        <f t="shared" si="1153"/>
        <v>FY 25/26</v>
      </c>
      <c r="F3804" s="23">
        <v>2025</v>
      </c>
      <c r="G3804" s="23">
        <v>4</v>
      </c>
      <c r="H3804" s="29"/>
      <c r="I3804" s="93" t="str">
        <f t="shared" si="1137"/>
        <v>Q1</v>
      </c>
      <c r="J3804" s="188" t="s">
        <v>3614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46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49"/>
        <v>1</v>
      </c>
      <c r="Z3804" s="230">
        <f t="shared" si="1148"/>
        <v>14000000</v>
      </c>
      <c r="AA3804" s="22">
        <v>5.2999999999999999E-2</v>
      </c>
      <c r="AB3804" s="231">
        <f t="shared" si="1152"/>
        <v>742000</v>
      </c>
      <c r="AC3804" s="25">
        <f t="shared" si="1138"/>
        <v>89040</v>
      </c>
      <c r="AD3804" s="169">
        <v>0.12</v>
      </c>
      <c r="AE3804" s="26">
        <f t="shared" si="1139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0"/>
        <v>29497483.159292053</v>
      </c>
      <c r="AJ3804" s="27">
        <f t="shared" si="1151"/>
        <v>3539697.9791150414</v>
      </c>
      <c r="AK3804" s="232">
        <f t="shared" si="1140"/>
        <v>0.11999999999999983</v>
      </c>
      <c r="AL3804" s="24"/>
      <c r="AM3804" s="24"/>
      <c r="AN3804" s="24"/>
      <c r="AO3804" s="24"/>
      <c r="AP3804" s="165" t="str">
        <f t="shared" si="1141"/>
        <v>20254</v>
      </c>
      <c r="AQ3804" s="233" t="str">
        <f t="shared" si="1142"/>
        <v>20254JPY</v>
      </c>
      <c r="AR3804" s="234" t="str">
        <f t="shared" si="1143"/>
        <v>YAMAHA_Mounter</v>
      </c>
      <c r="AS3804" s="22">
        <f t="shared" si="1144"/>
        <v>5</v>
      </c>
      <c r="AT3804" s="24" t="str">
        <f t="shared" si="1145"/>
        <v>4-6 months</v>
      </c>
      <c r="AU3804" s="22" t="s">
        <v>3745</v>
      </c>
    </row>
    <row r="3805" spans="1:47">
      <c r="A3805" s="33" t="str">
        <f t="shared" si="1136"/>
        <v>FY 24/25</v>
      </c>
      <c r="B3805" s="23">
        <v>2024</v>
      </c>
      <c r="C3805" s="23">
        <v>11</v>
      </c>
      <c r="D3805" s="33" t="str">
        <f t="shared" si="1147"/>
        <v>Q3</v>
      </c>
      <c r="E3805" s="33" t="str">
        <f t="shared" si="1153"/>
        <v>FY 24/25</v>
      </c>
      <c r="F3805" s="23">
        <v>2024</v>
      </c>
      <c r="G3805" s="23">
        <v>12</v>
      </c>
      <c r="H3805" s="29"/>
      <c r="I3805" s="93" t="str">
        <f t="shared" si="1137"/>
        <v>Q3</v>
      </c>
      <c r="J3805" s="188" t="s">
        <v>3615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46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49"/>
        <v>1.13</v>
      </c>
      <c r="Z3805" s="230">
        <f t="shared" si="1148"/>
        <v>446700</v>
      </c>
      <c r="AA3805" s="22">
        <v>1.0760000000000001</v>
      </c>
      <c r="AB3805" s="231">
        <f t="shared" si="1152"/>
        <v>425353.27433628327</v>
      </c>
      <c r="AC3805" s="25">
        <f t="shared" si="1138"/>
        <v>49426.050477876117</v>
      </c>
      <c r="AD3805" s="169">
        <v>0.1162</v>
      </c>
      <c r="AE3805" s="26">
        <f t="shared" si="1139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0"/>
        <v>15965524.256637167</v>
      </c>
      <c r="AJ3805" s="27">
        <f t="shared" si="1151"/>
        <v>2480116.5996584073</v>
      </c>
      <c r="AK3805" s="232">
        <f t="shared" si="1140"/>
        <v>0.15534200817911609</v>
      </c>
      <c r="AL3805" s="24"/>
      <c r="AM3805" s="24"/>
      <c r="AN3805" s="24"/>
      <c r="AO3805" s="24"/>
      <c r="AP3805" s="165" t="str">
        <f t="shared" si="1141"/>
        <v>202412</v>
      </c>
      <c r="AQ3805" s="233" t="str">
        <f t="shared" si="1142"/>
        <v>202412RMB</v>
      </c>
      <c r="AR3805" s="234" t="str">
        <f t="shared" si="1143"/>
        <v>YAMAHA_Mounter</v>
      </c>
      <c r="AS3805" s="22">
        <f t="shared" si="1144"/>
        <v>1</v>
      </c>
      <c r="AT3805" s="24" t="str">
        <f t="shared" si="1145"/>
        <v>0-3 months</v>
      </c>
      <c r="AU3805" s="22" t="s">
        <v>3751</v>
      </c>
    </row>
    <row r="3806" spans="1:47">
      <c r="A3806" s="33" t="str">
        <f t="shared" si="1136"/>
        <v>FY 24/25</v>
      </c>
      <c r="B3806" s="23">
        <v>2024</v>
      </c>
      <c r="C3806" s="23">
        <v>11</v>
      </c>
      <c r="D3806" s="33" t="str">
        <f t="shared" si="1147"/>
        <v>Q3</v>
      </c>
      <c r="E3806" s="33" t="str">
        <f t="shared" si="1153"/>
        <v>FY 24/25</v>
      </c>
      <c r="F3806" s="23">
        <v>2024</v>
      </c>
      <c r="G3806" s="23">
        <v>12</v>
      </c>
      <c r="H3806" s="29"/>
      <c r="I3806" s="93" t="str">
        <f t="shared" si="1137"/>
        <v>Q3</v>
      </c>
      <c r="J3806" s="188" t="s">
        <v>3616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46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49"/>
        <v>1</v>
      </c>
      <c r="Z3806" s="230">
        <f t="shared" si="1148"/>
        <v>16835000</v>
      </c>
      <c r="AA3806" s="22">
        <v>5.2900000000000003E-2</v>
      </c>
      <c r="AB3806" s="231">
        <f t="shared" si="1152"/>
        <v>890571.5</v>
      </c>
      <c r="AC3806" s="25">
        <f t="shared" si="1138"/>
        <v>194411.75844999999</v>
      </c>
      <c r="AD3806" s="169">
        <v>0.21829999999999999</v>
      </c>
      <c r="AE3806" s="26">
        <f t="shared" si="1139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0"/>
        <v>15965524.256637167</v>
      </c>
      <c r="AJ3806" s="27">
        <f t="shared" si="1151"/>
        <v>2480116.5996584073</v>
      </c>
      <c r="AK3806" s="232">
        <f t="shared" si="1140"/>
        <v>0.15534200817911609</v>
      </c>
      <c r="AL3806" s="24"/>
      <c r="AM3806" s="24"/>
      <c r="AN3806" s="24"/>
      <c r="AO3806" s="24"/>
      <c r="AP3806" s="165" t="str">
        <f t="shared" si="1141"/>
        <v>202412</v>
      </c>
      <c r="AQ3806" s="233" t="str">
        <f t="shared" si="1142"/>
        <v>202412JPY</v>
      </c>
      <c r="AR3806" s="234" t="str">
        <f t="shared" si="1143"/>
        <v>YAMAHA_Mounter</v>
      </c>
      <c r="AS3806" s="22">
        <f t="shared" si="1144"/>
        <v>1</v>
      </c>
      <c r="AT3806" s="24" t="str">
        <f t="shared" si="1145"/>
        <v>0-3 months</v>
      </c>
      <c r="AU3806" s="22" t="s">
        <v>3746</v>
      </c>
    </row>
    <row r="3807" spans="1:47">
      <c r="A3807" s="33" t="str">
        <f t="shared" si="1136"/>
        <v>FY 24/25</v>
      </c>
      <c r="B3807" s="23">
        <v>2024</v>
      </c>
      <c r="C3807" s="23">
        <v>11</v>
      </c>
      <c r="D3807" s="33" t="str">
        <f t="shared" si="1147"/>
        <v>Q3</v>
      </c>
      <c r="E3807" s="33" t="str">
        <f t="shared" si="1153"/>
        <v>FY 24/25</v>
      </c>
      <c r="F3807" s="23">
        <v>2024</v>
      </c>
      <c r="G3807" s="23">
        <v>12</v>
      </c>
      <c r="H3807" s="29"/>
      <c r="I3807" s="93" t="str">
        <f t="shared" si="1137"/>
        <v>Q3</v>
      </c>
      <c r="J3807" s="188" t="s">
        <v>3616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46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49"/>
        <v>1</v>
      </c>
      <c r="Z3807" s="230">
        <f t="shared" si="1148"/>
        <v>16835000</v>
      </c>
      <c r="AA3807" s="22">
        <v>5.2900000000000003E-2</v>
      </c>
      <c r="AB3807" s="231">
        <f t="shared" si="1152"/>
        <v>890571.5</v>
      </c>
      <c r="AC3807" s="25">
        <f t="shared" si="1138"/>
        <v>194411.75844999999</v>
      </c>
      <c r="AD3807" s="169">
        <v>0.21829999999999999</v>
      </c>
      <c r="AE3807" s="26">
        <f t="shared" si="1139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0"/>
        <v>15965524.256637167</v>
      </c>
      <c r="AJ3807" s="27">
        <f t="shared" si="1151"/>
        <v>2480116.5996584073</v>
      </c>
      <c r="AK3807" s="232">
        <f t="shared" si="1140"/>
        <v>0.15534200817911609</v>
      </c>
      <c r="AL3807" s="24"/>
      <c r="AM3807" s="24"/>
      <c r="AN3807" s="24"/>
      <c r="AO3807" s="24"/>
      <c r="AP3807" s="165" t="str">
        <f t="shared" si="1141"/>
        <v>202412</v>
      </c>
      <c r="AQ3807" s="233" t="str">
        <f t="shared" si="1142"/>
        <v>202412JPY</v>
      </c>
      <c r="AR3807" s="234" t="str">
        <f t="shared" si="1143"/>
        <v>YAMAHA_Mounter</v>
      </c>
      <c r="AS3807" s="22">
        <f t="shared" si="1144"/>
        <v>1</v>
      </c>
      <c r="AT3807" s="24" t="str">
        <f t="shared" si="1145"/>
        <v>0-3 months</v>
      </c>
      <c r="AU3807" s="22" t="s">
        <v>3746</v>
      </c>
    </row>
    <row r="3808" spans="1:47">
      <c r="A3808" s="33" t="str">
        <f t="shared" ref="A3808:A3871" si="115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47"/>
        <v>Q3</v>
      </c>
      <c r="E3808" s="33" t="str">
        <f t="shared" si="1153"/>
        <v>FY 24/25</v>
      </c>
      <c r="F3808" s="23">
        <v>2024</v>
      </c>
      <c r="G3808" s="23">
        <v>12</v>
      </c>
      <c r="H3808" s="29"/>
      <c r="I3808" s="93" t="str">
        <f t="shared" ref="I3808:I3871" si="115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3616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46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49"/>
        <v>1</v>
      </c>
      <c r="Z3808" s="230">
        <f t="shared" si="1148"/>
        <v>14300000</v>
      </c>
      <c r="AA3808" s="22">
        <v>5.2900000000000003E-2</v>
      </c>
      <c r="AB3808" s="231">
        <f t="shared" si="1152"/>
        <v>756470</v>
      </c>
      <c r="AC3808" s="25">
        <f t="shared" ref="AC3808:AC3871" si="1156">IF(R3808&lt;&gt;"",AB3808*AD3808,"")</f>
        <v>165137.40099999998</v>
      </c>
      <c r="AD3808" s="169">
        <v>0.21829999999999999</v>
      </c>
      <c r="AE3808" s="26">
        <f t="shared" ref="AE3808:AE3871" si="115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0"/>
        <v>15965524.256637167</v>
      </c>
      <c r="AJ3808" s="27">
        <f t="shared" si="1151"/>
        <v>2480116.5996584073</v>
      </c>
      <c r="AK3808" s="232">
        <f t="shared" ref="AK3808:AK3871" si="115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59">IF(F3808="","",F3808&amp;G3808)</f>
        <v>202412</v>
      </c>
      <c r="AQ3808" s="233" t="str">
        <f t="shared" ref="AQ3808:AQ3871" si="1160">IF(W3808="","",F3808&amp;G3808&amp;W3808)</f>
        <v>202412JPY</v>
      </c>
      <c r="AR3808" s="234" t="str">
        <f t="shared" ref="AR3808:AR3871" si="1161">IFERROR(IF(AND(M3808="YAMAHA", R3808="C28"), "YAMAHA_Non_Mounter", IF(AND(M3808="YAMAHA", R3808="C49"), "YAMAHA_Mounter", M3808)),"")</f>
        <v>YAMAHA_Mounter</v>
      </c>
      <c r="AS3808" s="22">
        <f t="shared" ref="AS3808:AS3871" si="1162">IFERROR(IF(OR(G3808="TBA", G3808=""), "", DATEDIF(DATE(B3808, C3808, 1), DATE(F3808, G3808, 1), "M")),"")</f>
        <v>1</v>
      </c>
      <c r="AT3808" s="24" t="str">
        <f t="shared" ref="AT3808:AT3871" si="1163">IF(ISNUMBER(AS3808), IF(AS3808&gt;=0, IF(AS3808&lt;=3, "0-3 months", IF(AS3808&lt;=6, "4-6 months", "&gt; 6 months"))), "")</f>
        <v>0-3 months</v>
      </c>
      <c r="AU3808" s="22" t="s">
        <v>3746</v>
      </c>
    </row>
    <row r="3809" spans="1:47">
      <c r="A3809" s="33" t="str">
        <f t="shared" si="1154"/>
        <v>FY 24/25</v>
      </c>
      <c r="B3809" s="23">
        <v>2024</v>
      </c>
      <c r="C3809" s="23">
        <v>11</v>
      </c>
      <c r="D3809" s="33" t="str">
        <f t="shared" si="1147"/>
        <v>Q3</v>
      </c>
      <c r="E3809" s="33" t="str">
        <f t="shared" si="1153"/>
        <v>FY 24/25</v>
      </c>
      <c r="F3809" s="23">
        <v>2024</v>
      </c>
      <c r="G3809" s="23">
        <v>12</v>
      </c>
      <c r="H3809" s="29"/>
      <c r="I3809" s="93" t="str">
        <f t="shared" si="1155"/>
        <v>Q3</v>
      </c>
      <c r="J3809" s="188" t="s">
        <v>3616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49"/>
        <v>1</v>
      </c>
      <c r="Z3809" s="230">
        <f t="shared" si="1148"/>
        <v>14300000</v>
      </c>
      <c r="AA3809" s="22">
        <v>5.2900000000000003E-2</v>
      </c>
      <c r="AB3809" s="231">
        <f t="shared" si="1152"/>
        <v>756470</v>
      </c>
      <c r="AC3809" s="25">
        <f t="shared" si="1156"/>
        <v>165137.40099999998</v>
      </c>
      <c r="AD3809" s="169">
        <v>0.21829999999999999</v>
      </c>
      <c r="AE3809" s="26">
        <f t="shared" si="115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0"/>
        <v>15965524.256637167</v>
      </c>
      <c r="AJ3809" s="27">
        <f t="shared" si="1151"/>
        <v>2480116.5996584073</v>
      </c>
      <c r="AK3809" s="232">
        <f t="shared" si="1158"/>
        <v>0.15534200817911609</v>
      </c>
      <c r="AL3809" s="24"/>
      <c r="AM3809" s="24"/>
      <c r="AN3809" s="24"/>
      <c r="AO3809" s="24"/>
      <c r="AP3809" s="165" t="str">
        <f t="shared" si="1159"/>
        <v>202412</v>
      </c>
      <c r="AQ3809" s="233" t="str">
        <f t="shared" si="1160"/>
        <v>202412JPY</v>
      </c>
      <c r="AR3809" s="234" t="str">
        <f t="shared" si="1161"/>
        <v>YAMAHA_Mounter</v>
      </c>
      <c r="AS3809" s="22">
        <f t="shared" si="1162"/>
        <v>1</v>
      </c>
      <c r="AT3809" s="24" t="str">
        <f t="shared" si="1163"/>
        <v>0-3 months</v>
      </c>
      <c r="AU3809" s="22" t="s">
        <v>3746</v>
      </c>
    </row>
    <row r="3810" spans="1:47">
      <c r="A3810" s="33" t="str">
        <f t="shared" si="1154"/>
        <v>FY 24/25</v>
      </c>
      <c r="B3810" s="23">
        <v>2024</v>
      </c>
      <c r="C3810" s="23">
        <v>11</v>
      </c>
      <c r="D3810" s="33" t="str">
        <f t="shared" si="1147"/>
        <v>Q3</v>
      </c>
      <c r="E3810" s="33" t="str">
        <f t="shared" si="1153"/>
        <v>FY 24/25</v>
      </c>
      <c r="F3810" s="23">
        <v>2024</v>
      </c>
      <c r="G3810" s="23">
        <v>11</v>
      </c>
      <c r="H3810" s="29"/>
      <c r="I3810" s="93" t="str">
        <f t="shared" si="1155"/>
        <v>Q3</v>
      </c>
      <c r="J3810" s="188" t="s">
        <v>3617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49"/>
        <v>1.13</v>
      </c>
      <c r="Z3810" s="230">
        <f t="shared" si="1148"/>
        <v>673800</v>
      </c>
      <c r="AA3810" s="22">
        <v>1.0920000000000001</v>
      </c>
      <c r="AB3810" s="231">
        <f t="shared" si="1152"/>
        <v>651141.23893805314</v>
      </c>
      <c r="AC3810" s="25">
        <f t="shared" si="1156"/>
        <v>63616.499044247787</v>
      </c>
      <c r="AD3810" s="169">
        <v>9.7699999999999995E-2</v>
      </c>
      <c r="AE3810" s="26">
        <f t="shared" si="115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0"/>
        <v>32082250.320460182</v>
      </c>
      <c r="AJ3810" s="27">
        <f t="shared" si="1151"/>
        <v>4323122.9746477893</v>
      </c>
      <c r="AK3810" s="232">
        <f t="shared" si="1158"/>
        <v>0.1347512388147771</v>
      </c>
      <c r="AL3810" s="24"/>
      <c r="AM3810" s="24"/>
      <c r="AN3810" s="24"/>
      <c r="AO3810" s="24"/>
      <c r="AP3810" s="165" t="str">
        <f t="shared" si="1159"/>
        <v>202411</v>
      </c>
      <c r="AQ3810" s="233" t="str">
        <f t="shared" si="1160"/>
        <v>202411RMB</v>
      </c>
      <c r="AR3810" s="234" t="str">
        <f t="shared" si="1161"/>
        <v>YAMAHA_Mounter</v>
      </c>
      <c r="AS3810" s="22">
        <f t="shared" si="1162"/>
        <v>0</v>
      </c>
      <c r="AT3810" s="24" t="str">
        <f t="shared" si="1163"/>
        <v>0-3 months</v>
      </c>
      <c r="AU3810" s="22" t="s">
        <v>3240</v>
      </c>
    </row>
    <row r="3811" spans="1:47">
      <c r="A3811" s="33" t="str">
        <f t="shared" si="1154"/>
        <v>FY 24/25</v>
      </c>
      <c r="B3811" s="23">
        <v>2024</v>
      </c>
      <c r="C3811" s="23">
        <v>11</v>
      </c>
      <c r="D3811" s="33" t="str">
        <f t="shared" si="1147"/>
        <v>Q3</v>
      </c>
      <c r="E3811" s="33" t="str">
        <f t="shared" si="1153"/>
        <v>FY 24/25</v>
      </c>
      <c r="F3811" s="23">
        <v>2025</v>
      </c>
      <c r="G3811" s="23">
        <v>2</v>
      </c>
      <c r="H3811" s="29"/>
      <c r="I3811" s="93" t="str">
        <f t="shared" si="1155"/>
        <v>Q4</v>
      </c>
      <c r="J3811" s="188" t="s">
        <v>3618</v>
      </c>
      <c r="K3811" s="29" t="s">
        <v>3619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49"/>
        <v>1.13</v>
      </c>
      <c r="Z3811" s="230">
        <f t="shared" si="1148"/>
        <v>780000</v>
      </c>
      <c r="AA3811" s="22">
        <v>1.073</v>
      </c>
      <c r="AB3811" s="231">
        <f t="shared" si="1152"/>
        <v>740654.8672566372</v>
      </c>
      <c r="AC3811" s="25">
        <f t="shared" si="1156"/>
        <v>120356.41592920355</v>
      </c>
      <c r="AD3811" s="170">
        <v>0.16250000000000001</v>
      </c>
      <c r="AE3811" s="26">
        <f t="shared" si="115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0"/>
        <v>30691842.970796466</v>
      </c>
      <c r="AJ3811" s="27">
        <f t="shared" si="1151"/>
        <v>4088324.205777524</v>
      </c>
      <c r="AK3811" s="232">
        <f t="shared" si="1158"/>
        <v>0.1332055624573473</v>
      </c>
      <c r="AL3811" s="24"/>
      <c r="AM3811" s="24"/>
      <c r="AN3811" s="24"/>
      <c r="AO3811" s="24"/>
      <c r="AP3811" s="165" t="str">
        <f t="shared" si="1159"/>
        <v>20252</v>
      </c>
      <c r="AQ3811" s="233" t="str">
        <f t="shared" si="1160"/>
        <v>20252RMB</v>
      </c>
      <c r="AR3811" s="234" t="str">
        <f t="shared" si="1161"/>
        <v>YAMAHA_Mounter</v>
      </c>
      <c r="AS3811" s="22">
        <f t="shared" si="1162"/>
        <v>3</v>
      </c>
      <c r="AT3811" s="24" t="str">
        <f t="shared" si="1163"/>
        <v>0-3 months</v>
      </c>
      <c r="AU3811" s="22" t="s">
        <v>3240</v>
      </c>
    </row>
    <row r="3812" spans="1:47">
      <c r="A3812" s="33" t="str">
        <f t="shared" si="1154"/>
        <v>FY 24/25</v>
      </c>
      <c r="B3812" s="23">
        <v>2024</v>
      </c>
      <c r="C3812" s="23">
        <v>11</v>
      </c>
      <c r="D3812" s="33" t="str">
        <f t="shared" si="1147"/>
        <v>Q3</v>
      </c>
      <c r="E3812" s="33" t="str">
        <f t="shared" si="1153"/>
        <v>FY 24/25</v>
      </c>
      <c r="F3812" s="23">
        <v>2024</v>
      </c>
      <c r="G3812" s="23">
        <v>12</v>
      </c>
      <c r="H3812" s="29"/>
      <c r="I3812" s="93" t="str">
        <f t="shared" si="1155"/>
        <v>Q3</v>
      </c>
      <c r="J3812" s="188" t="s">
        <v>3642</v>
      </c>
      <c r="K3812" s="29" t="s">
        <v>3620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49"/>
        <v>1.13</v>
      </c>
      <c r="Z3812" s="230">
        <f t="shared" si="1148"/>
        <v>544500</v>
      </c>
      <c r="AA3812" s="22">
        <v>1.0760000000000001</v>
      </c>
      <c r="AB3812" s="231">
        <f t="shared" si="1152"/>
        <v>518479.64601769921</v>
      </c>
      <c r="AC3812" s="25">
        <f t="shared" si="1156"/>
        <v>28620.076460176995</v>
      </c>
      <c r="AD3812" s="169">
        <v>5.5199999999999999E-2</v>
      </c>
      <c r="AE3812" s="26">
        <f t="shared" si="115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0"/>
        <v>15965524.256637167</v>
      </c>
      <c r="AJ3812" s="27">
        <f t="shared" si="1151"/>
        <v>2480116.5996584073</v>
      </c>
      <c r="AK3812" s="232">
        <f t="shared" si="1158"/>
        <v>0.15534200817911609</v>
      </c>
      <c r="AL3812" s="24"/>
      <c r="AM3812" s="24"/>
      <c r="AN3812" s="24"/>
      <c r="AO3812" s="24"/>
      <c r="AP3812" s="165" t="str">
        <f t="shared" si="1159"/>
        <v>202412</v>
      </c>
      <c r="AQ3812" s="233" t="str">
        <f t="shared" si="1160"/>
        <v>202412RMB</v>
      </c>
      <c r="AR3812" s="234" t="str">
        <f t="shared" si="1161"/>
        <v>YAMAHA_Mounter</v>
      </c>
      <c r="AS3812" s="22">
        <f t="shared" si="1162"/>
        <v>1</v>
      </c>
      <c r="AT3812" s="24" t="str">
        <f t="shared" si="1163"/>
        <v>0-3 months</v>
      </c>
      <c r="AU3812" s="22" t="s">
        <v>3240</v>
      </c>
    </row>
    <row r="3813" spans="1:47">
      <c r="A3813" s="33" t="str">
        <f t="shared" si="1154"/>
        <v>FY 24/25</v>
      </c>
      <c r="B3813" s="23">
        <v>2024</v>
      </c>
      <c r="C3813" s="23">
        <v>11</v>
      </c>
      <c r="D3813" s="33" t="str">
        <f t="shared" si="1147"/>
        <v>Q3</v>
      </c>
      <c r="E3813" s="33" t="str">
        <f t="shared" si="1153"/>
        <v>FY 24/25</v>
      </c>
      <c r="F3813" s="23">
        <v>2024</v>
      </c>
      <c r="G3813" s="23">
        <v>12</v>
      </c>
      <c r="H3813" s="29"/>
      <c r="I3813" s="93" t="str">
        <f t="shared" si="1155"/>
        <v>Q3</v>
      </c>
      <c r="J3813" s="188" t="s">
        <v>3621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49"/>
        <v>1</v>
      </c>
      <c r="Z3813" s="230">
        <f t="shared" si="1148"/>
        <v>7200000</v>
      </c>
      <c r="AA3813" s="22">
        <v>5.2900000000000003E-2</v>
      </c>
      <c r="AB3813" s="231">
        <f t="shared" si="1152"/>
        <v>380880</v>
      </c>
      <c r="AC3813" s="25">
        <f t="shared" si="1156"/>
        <v>35650.368000000002</v>
      </c>
      <c r="AD3813" s="169">
        <v>9.3600000000000003E-2</v>
      </c>
      <c r="AE3813" s="26">
        <f t="shared" si="115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0"/>
        <v>15965524.256637167</v>
      </c>
      <c r="AJ3813" s="27">
        <f t="shared" si="1151"/>
        <v>2480116.5996584073</v>
      </c>
      <c r="AK3813" s="232">
        <f t="shared" si="1158"/>
        <v>0.15534200817911609</v>
      </c>
      <c r="AL3813" s="24"/>
      <c r="AM3813" s="24"/>
      <c r="AN3813" s="24"/>
      <c r="AO3813" s="24"/>
      <c r="AP3813" s="165" t="str">
        <f t="shared" si="1159"/>
        <v>202412</v>
      </c>
      <c r="AQ3813" s="233" t="str">
        <f t="shared" si="1160"/>
        <v>202412JPY</v>
      </c>
      <c r="AR3813" s="234" t="str">
        <f t="shared" si="1161"/>
        <v>YAMAHA_Mounter</v>
      </c>
      <c r="AS3813" s="22">
        <f t="shared" si="1162"/>
        <v>1</v>
      </c>
      <c r="AT3813" s="24" t="str">
        <f t="shared" si="1163"/>
        <v>0-3 months</v>
      </c>
      <c r="AU3813" s="22" t="s">
        <v>3745</v>
      </c>
    </row>
    <row r="3814" spans="1:47">
      <c r="A3814" s="33" t="str">
        <f t="shared" si="1154"/>
        <v>FY 24/25</v>
      </c>
      <c r="B3814" s="23">
        <v>2024</v>
      </c>
      <c r="C3814" s="23">
        <v>11</v>
      </c>
      <c r="D3814" s="33" t="str">
        <f t="shared" si="1147"/>
        <v>Q3</v>
      </c>
      <c r="E3814" s="33" t="str">
        <f t="shared" si="1153"/>
        <v>FY 24/25</v>
      </c>
      <c r="F3814" s="23">
        <v>2024</v>
      </c>
      <c r="G3814" s="23">
        <v>12</v>
      </c>
      <c r="H3814" s="29"/>
      <c r="I3814" s="93" t="str">
        <f t="shared" si="1155"/>
        <v>Q3</v>
      </c>
      <c r="J3814" s="188" t="s">
        <v>3621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49"/>
        <v>1</v>
      </c>
      <c r="Z3814" s="230">
        <f t="shared" si="1148"/>
        <v>7200000</v>
      </c>
      <c r="AA3814" s="22">
        <v>5.2900000000000003E-2</v>
      </c>
      <c r="AB3814" s="231">
        <f t="shared" si="1152"/>
        <v>380880</v>
      </c>
      <c r="AC3814" s="25">
        <f t="shared" si="1156"/>
        <v>35650.368000000002</v>
      </c>
      <c r="AD3814" s="169">
        <v>9.3600000000000003E-2</v>
      </c>
      <c r="AE3814" s="26">
        <f t="shared" si="115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0"/>
        <v>15965524.256637167</v>
      </c>
      <c r="AJ3814" s="27">
        <f t="shared" si="1151"/>
        <v>2480116.5996584073</v>
      </c>
      <c r="AK3814" s="232">
        <f t="shared" si="1158"/>
        <v>0.15534200817911609</v>
      </c>
      <c r="AL3814" s="24"/>
      <c r="AM3814" s="24"/>
      <c r="AN3814" s="24"/>
      <c r="AO3814" s="24"/>
      <c r="AP3814" s="165" t="str">
        <f t="shared" si="1159"/>
        <v>202412</v>
      </c>
      <c r="AQ3814" s="233" t="str">
        <f t="shared" si="1160"/>
        <v>202412JPY</v>
      </c>
      <c r="AR3814" s="234" t="str">
        <f t="shared" si="1161"/>
        <v>YAMAHA_Mounter</v>
      </c>
      <c r="AS3814" s="22">
        <f t="shared" si="1162"/>
        <v>1</v>
      </c>
      <c r="AT3814" s="24" t="str">
        <f t="shared" si="1163"/>
        <v>0-3 months</v>
      </c>
      <c r="AU3814" s="22" t="s">
        <v>3745</v>
      </c>
    </row>
    <row r="3815" spans="1:47">
      <c r="A3815" s="33" t="str">
        <f t="shared" si="1154"/>
        <v>FY 24/25</v>
      </c>
      <c r="B3815" s="23">
        <v>2024</v>
      </c>
      <c r="C3815" s="23">
        <v>11</v>
      </c>
      <c r="D3815" s="33" t="str">
        <f t="shared" si="1147"/>
        <v>Q3</v>
      </c>
      <c r="E3815" s="33" t="str">
        <f t="shared" si="1153"/>
        <v>FY 24/25</v>
      </c>
      <c r="F3815" s="23">
        <v>2025</v>
      </c>
      <c r="G3815" s="23">
        <v>2</v>
      </c>
      <c r="H3815" s="29"/>
      <c r="I3815" s="93" t="str">
        <f t="shared" si="1155"/>
        <v>Q4</v>
      </c>
      <c r="J3815" s="188" t="s">
        <v>3622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49"/>
        <v>1</v>
      </c>
      <c r="Z3815" s="230">
        <f t="shared" si="1148"/>
        <v>13500000</v>
      </c>
      <c r="AA3815" s="22">
        <v>5.11E-2</v>
      </c>
      <c r="AB3815" s="231">
        <f t="shared" si="1152"/>
        <v>689850</v>
      </c>
      <c r="AC3815" s="25">
        <f t="shared" si="1156"/>
        <v>86300.234999999986</v>
      </c>
      <c r="AD3815" s="170">
        <v>0.12509999999999999</v>
      </c>
      <c r="AE3815" s="26">
        <f t="shared" si="115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0"/>
        <v>30691842.970796466</v>
      </c>
      <c r="AJ3815" s="27">
        <f t="shared" si="1151"/>
        <v>4088324.205777524</v>
      </c>
      <c r="AK3815" s="232">
        <f t="shared" si="1158"/>
        <v>0.1332055624573473</v>
      </c>
      <c r="AL3815" s="24"/>
      <c r="AM3815" s="24"/>
      <c r="AN3815" s="24"/>
      <c r="AO3815" s="24"/>
      <c r="AP3815" s="165" t="str">
        <f t="shared" si="1159"/>
        <v>20252</v>
      </c>
      <c r="AQ3815" s="233" t="str">
        <f t="shared" si="1160"/>
        <v>20252JPY</v>
      </c>
      <c r="AR3815" s="234" t="str">
        <f t="shared" si="1161"/>
        <v>YAMAHA_Mounter</v>
      </c>
      <c r="AS3815" s="22">
        <f t="shared" si="1162"/>
        <v>3</v>
      </c>
      <c r="AT3815" s="24" t="str">
        <f t="shared" si="1163"/>
        <v>0-3 months</v>
      </c>
      <c r="AU3815" s="22" t="s">
        <v>3745</v>
      </c>
    </row>
    <row r="3816" spans="1:47">
      <c r="A3816" s="33" t="str">
        <f t="shared" si="1154"/>
        <v>FY 24/25</v>
      </c>
      <c r="B3816" s="23">
        <v>2024</v>
      </c>
      <c r="C3816" s="23">
        <v>11</v>
      </c>
      <c r="D3816" s="33" t="str">
        <f t="shared" si="1147"/>
        <v>Q3</v>
      </c>
      <c r="E3816" s="33" t="str">
        <f t="shared" si="1153"/>
        <v>FY 24/25</v>
      </c>
      <c r="F3816" s="23">
        <v>2025</v>
      </c>
      <c r="G3816" s="23">
        <v>2</v>
      </c>
      <c r="H3816" s="29"/>
      <c r="I3816" s="93" t="str">
        <f t="shared" si="1155"/>
        <v>Q4</v>
      </c>
      <c r="J3816" s="188" t="s">
        <v>3622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49"/>
        <v>1</v>
      </c>
      <c r="Z3816" s="230">
        <f t="shared" si="1148"/>
        <v>13500000</v>
      </c>
      <c r="AA3816" s="22">
        <v>5.11E-2</v>
      </c>
      <c r="AB3816" s="231">
        <f t="shared" si="1152"/>
        <v>689850</v>
      </c>
      <c r="AC3816" s="25">
        <f t="shared" si="1156"/>
        <v>86300.234999999986</v>
      </c>
      <c r="AD3816" s="170">
        <v>0.12509999999999999</v>
      </c>
      <c r="AE3816" s="26">
        <f t="shared" si="115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0"/>
        <v>30691842.970796466</v>
      </c>
      <c r="AJ3816" s="27">
        <f t="shared" si="1151"/>
        <v>4088324.205777524</v>
      </c>
      <c r="AK3816" s="232">
        <f t="shared" si="1158"/>
        <v>0.1332055624573473</v>
      </c>
      <c r="AL3816" s="24"/>
      <c r="AM3816" s="24"/>
      <c r="AN3816" s="24"/>
      <c r="AO3816" s="24"/>
      <c r="AP3816" s="165" t="str">
        <f t="shared" si="1159"/>
        <v>20252</v>
      </c>
      <c r="AQ3816" s="233" t="str">
        <f t="shared" si="1160"/>
        <v>20252JPY</v>
      </c>
      <c r="AR3816" s="234" t="str">
        <f t="shared" si="1161"/>
        <v>YAMAHA_Mounter</v>
      </c>
      <c r="AS3816" s="22">
        <f t="shared" si="1162"/>
        <v>3</v>
      </c>
      <c r="AT3816" s="24" t="str">
        <f t="shared" si="1163"/>
        <v>0-3 months</v>
      </c>
      <c r="AU3816" s="22" t="s">
        <v>3745</v>
      </c>
    </row>
    <row r="3817" spans="1:47">
      <c r="A3817" s="33" t="str">
        <f t="shared" si="1154"/>
        <v>FY 24/25</v>
      </c>
      <c r="B3817" s="23">
        <v>2024</v>
      </c>
      <c r="C3817" s="23">
        <v>11</v>
      </c>
      <c r="D3817" s="33" t="str">
        <f t="shared" si="1147"/>
        <v>Q3</v>
      </c>
      <c r="E3817" s="33" t="str">
        <f t="shared" si="1153"/>
        <v>FY 24/25</v>
      </c>
      <c r="F3817" s="23">
        <v>2025</v>
      </c>
      <c r="G3817" s="23">
        <v>2</v>
      </c>
      <c r="H3817" s="29"/>
      <c r="I3817" s="93" t="str">
        <f t="shared" si="1155"/>
        <v>Q4</v>
      </c>
      <c r="J3817" s="188" t="s">
        <v>3622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30">
        <f t="shared" si="1148"/>
        <v>10000000</v>
      </c>
      <c r="AA3817" s="22">
        <v>5.11E-2</v>
      </c>
      <c r="AB3817" s="231">
        <f t="shared" si="1152"/>
        <v>511000</v>
      </c>
      <c r="AC3817" s="25">
        <f t="shared" si="1156"/>
        <v>63926.099999999991</v>
      </c>
      <c r="AD3817" s="170">
        <v>0.12509999999999999</v>
      </c>
      <c r="AE3817" s="26">
        <f t="shared" si="115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0"/>
        <v>30691842.970796466</v>
      </c>
      <c r="AJ3817" s="27">
        <f t="shared" si="1151"/>
        <v>4088324.205777524</v>
      </c>
      <c r="AK3817" s="232">
        <f t="shared" si="1158"/>
        <v>0.1332055624573473</v>
      </c>
      <c r="AL3817" s="24"/>
      <c r="AM3817" s="24"/>
      <c r="AN3817" s="24"/>
      <c r="AO3817" s="24"/>
      <c r="AP3817" s="165" t="str">
        <f t="shared" si="1159"/>
        <v>20252</v>
      </c>
      <c r="AQ3817" s="233" t="str">
        <f>IF(W3817="","",F3817&amp;G3817&amp;W3817)</f>
        <v>20252JPY</v>
      </c>
      <c r="AR3817" s="234" t="str">
        <f t="shared" si="1161"/>
        <v>YAMAHA_Mounter</v>
      </c>
      <c r="AS3817" s="22">
        <f t="shared" si="1162"/>
        <v>3</v>
      </c>
      <c r="AT3817" s="24" t="str">
        <f t="shared" si="1163"/>
        <v>0-3 months</v>
      </c>
      <c r="AU3817" s="22" t="s">
        <v>3745</v>
      </c>
    </row>
    <row r="3818" spans="1:47">
      <c r="A3818" s="33" t="str">
        <f t="shared" si="1154"/>
        <v>FY 24/25</v>
      </c>
      <c r="B3818" s="23">
        <v>2024</v>
      </c>
      <c r="C3818" s="23">
        <v>11</v>
      </c>
      <c r="D3818" s="33" t="str">
        <f t="shared" si="1147"/>
        <v>Q3</v>
      </c>
      <c r="E3818" s="33" t="str">
        <f t="shared" si="1153"/>
        <v>FY 24/25</v>
      </c>
      <c r="F3818" s="23">
        <v>2024</v>
      </c>
      <c r="G3818" s="23">
        <v>12</v>
      </c>
      <c r="H3818" s="29"/>
      <c r="I3818" s="93" t="str">
        <f t="shared" si="1155"/>
        <v>Q3</v>
      </c>
      <c r="J3818" s="188" t="s">
        <v>3623</v>
      </c>
      <c r="K3818" s="29" t="s">
        <v>3624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3625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30">
        <v>29300</v>
      </c>
      <c r="AA3818" s="22">
        <v>1.0760000000000001</v>
      </c>
      <c r="AB3818" s="231">
        <f>Z3818/Y3818*AA3818</f>
        <v>27899.823008849562</v>
      </c>
      <c r="AC3818" s="25">
        <f t="shared" si="1156"/>
        <v>6514.6086725663727</v>
      </c>
      <c r="AD3818" s="169">
        <v>0.23350000000000001</v>
      </c>
      <c r="AE3818" s="26">
        <f t="shared" si="115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0"/>
        <v>15965524.256637167</v>
      </c>
      <c r="AJ3818" s="27">
        <f t="shared" si="1151"/>
        <v>2480116.5996584073</v>
      </c>
      <c r="AK3818" s="232">
        <f t="shared" si="1158"/>
        <v>0.15534200817911609</v>
      </c>
      <c r="AL3818" s="24"/>
      <c r="AM3818" s="24"/>
      <c r="AN3818" s="24"/>
      <c r="AO3818" s="24"/>
      <c r="AP3818" s="165" t="str">
        <f t="shared" si="1159"/>
        <v>202412</v>
      </c>
      <c r="AQ3818" s="233" t="str">
        <f>IF(W3818="","",F3818&amp;G3818&amp;W3818)</f>
        <v>202412RMB</v>
      </c>
      <c r="AR3818" s="234" t="str">
        <f t="shared" si="1161"/>
        <v>SOLDERSTAR</v>
      </c>
      <c r="AS3818" s="22">
        <f t="shared" si="1162"/>
        <v>1</v>
      </c>
      <c r="AT3818" s="24" t="str">
        <f t="shared" si="1163"/>
        <v>0-3 months</v>
      </c>
      <c r="AU3818" s="22" t="s">
        <v>3240</v>
      </c>
    </row>
    <row r="3819" spans="1:47">
      <c r="A3819" s="33" t="str">
        <f t="shared" si="1154"/>
        <v>FY 24/25</v>
      </c>
      <c r="B3819" s="23">
        <v>2024</v>
      </c>
      <c r="C3819" s="23">
        <v>10</v>
      </c>
      <c r="D3819" s="33" t="str">
        <f t="shared" si="1147"/>
        <v>Q3</v>
      </c>
      <c r="E3819" s="33" t="str">
        <f t="shared" si="1153"/>
        <v>FY 24/25</v>
      </c>
      <c r="F3819" s="23">
        <v>2024</v>
      </c>
      <c r="G3819" s="23">
        <v>11</v>
      </c>
      <c r="H3819" s="29"/>
      <c r="I3819" s="93" t="str">
        <f t="shared" si="1155"/>
        <v>Q3</v>
      </c>
      <c r="J3819" s="188" t="s">
        <v>3626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49"/>
        <v>1.13</v>
      </c>
      <c r="Z3819" s="230">
        <f t="shared" si="1148"/>
        <v>452000</v>
      </c>
      <c r="AA3819" s="22">
        <v>1.0920000000000001</v>
      </c>
      <c r="AB3819" s="231">
        <f t="shared" si="1152"/>
        <v>436800.00000000012</v>
      </c>
      <c r="AC3819" s="25">
        <f t="shared" si="1156"/>
        <v>67136.160000000018</v>
      </c>
      <c r="AD3819" s="169">
        <v>0.1537</v>
      </c>
      <c r="AE3819" s="26">
        <f t="shared" si="115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0"/>
        <v>32082250.320460182</v>
      </c>
      <c r="AJ3819" s="27">
        <f t="shared" si="1151"/>
        <v>4323122.9746477893</v>
      </c>
      <c r="AK3819" s="232">
        <f t="shared" si="1158"/>
        <v>0.1347512388147771</v>
      </c>
      <c r="AL3819" s="24"/>
      <c r="AM3819" s="24"/>
      <c r="AN3819" s="24"/>
      <c r="AO3819" s="24"/>
      <c r="AP3819" s="165" t="str">
        <f t="shared" si="1159"/>
        <v>202411</v>
      </c>
      <c r="AQ3819" s="233" t="str">
        <f t="shared" si="1160"/>
        <v>202411RMB</v>
      </c>
      <c r="AR3819" s="234" t="str">
        <f t="shared" si="1161"/>
        <v>YAMAHA_Mounter</v>
      </c>
      <c r="AS3819" s="22">
        <f t="shared" si="1162"/>
        <v>1</v>
      </c>
      <c r="AT3819" s="24" t="str">
        <f t="shared" si="1163"/>
        <v>0-3 months</v>
      </c>
      <c r="AU3819" s="22" t="s">
        <v>3240</v>
      </c>
    </row>
    <row r="3820" spans="1:47">
      <c r="A3820" s="33" t="str">
        <f t="shared" si="1154"/>
        <v>FY 24/25</v>
      </c>
      <c r="B3820" s="23">
        <v>2024</v>
      </c>
      <c r="C3820" s="23">
        <v>12</v>
      </c>
      <c r="D3820" s="33" t="str">
        <f t="shared" si="1147"/>
        <v>Q3</v>
      </c>
      <c r="E3820" s="33" t="str">
        <f t="shared" si="1153"/>
        <v>FY 24/25</v>
      </c>
      <c r="F3820" s="23">
        <v>2024</v>
      </c>
      <c r="G3820" s="23">
        <v>12</v>
      </c>
      <c r="H3820" s="29"/>
      <c r="I3820" s="93" t="str">
        <f t="shared" si="1155"/>
        <v>Q3</v>
      </c>
      <c r="J3820" s="188" t="s">
        <v>3627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49"/>
        <v>1</v>
      </c>
      <c r="Z3820" s="230">
        <f t="shared" si="1148"/>
        <v>8000000</v>
      </c>
      <c r="AA3820" s="22">
        <v>5.2900000000000003E-2</v>
      </c>
      <c r="AB3820" s="231">
        <f>IF(AND(R3820&lt;&gt;"C66",R3820&lt;&gt;""),Z3820/Y3820*AA3820,"")</f>
        <v>423200</v>
      </c>
      <c r="AC3820" s="25">
        <f t="shared" si="1156"/>
        <v>41219.68</v>
      </c>
      <c r="AD3820" s="169">
        <v>9.74E-2</v>
      </c>
      <c r="AE3820" s="26">
        <f t="shared" si="115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0"/>
        <v>15965524.256637167</v>
      </c>
      <c r="AJ3820" s="27">
        <f t="shared" si="1151"/>
        <v>2480116.5996584073</v>
      </c>
      <c r="AK3820" s="232">
        <f t="shared" si="1158"/>
        <v>0.15534200817911609</v>
      </c>
      <c r="AL3820" s="24"/>
      <c r="AM3820" s="24"/>
      <c r="AN3820" s="24"/>
      <c r="AO3820" s="24"/>
      <c r="AP3820" s="165" t="str">
        <f t="shared" si="1159"/>
        <v>202412</v>
      </c>
      <c r="AQ3820" s="233" t="str">
        <f t="shared" si="1160"/>
        <v>202412JPY</v>
      </c>
      <c r="AR3820" s="234" t="str">
        <f t="shared" si="1161"/>
        <v>YAMAHA_Non_Mounter</v>
      </c>
      <c r="AS3820" s="22">
        <f t="shared" si="1162"/>
        <v>0</v>
      </c>
      <c r="AT3820" s="24" t="str">
        <f t="shared" si="1163"/>
        <v>0-3 months</v>
      </c>
      <c r="AU3820" s="22" t="s">
        <v>3746</v>
      </c>
    </row>
    <row r="3821" spans="1:47">
      <c r="A3821" s="33" t="str">
        <f t="shared" si="1154"/>
        <v>FY 24/25</v>
      </c>
      <c r="B3821" s="23">
        <v>2024</v>
      </c>
      <c r="C3821" s="23">
        <v>12</v>
      </c>
      <c r="D3821" s="33" t="str">
        <f t="shared" si="1147"/>
        <v>Q3</v>
      </c>
      <c r="E3821" s="33" t="str">
        <f t="shared" si="1153"/>
        <v>FY 24/25</v>
      </c>
      <c r="F3821" s="23">
        <v>2024</v>
      </c>
      <c r="G3821" s="23">
        <v>12</v>
      </c>
      <c r="H3821" s="29"/>
      <c r="I3821" s="93" t="str">
        <f t="shared" si="1155"/>
        <v>Q3</v>
      </c>
      <c r="J3821" s="188" t="s">
        <v>3630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49"/>
        <v>1</v>
      </c>
      <c r="Z3821" s="230">
        <v>10175000</v>
      </c>
      <c r="AA3821" s="22">
        <v>5.2900000000000003E-2</v>
      </c>
      <c r="AB3821" s="231">
        <f>IF(AND(R3821&lt;&gt;"C66",R3821&lt;&gt;""),Z3821/Y3821*AA3821,"")</f>
        <v>538257.5</v>
      </c>
      <c r="AC3821" s="25">
        <f t="shared" si="1156"/>
        <v>75356.05</v>
      </c>
      <c r="AD3821" s="169">
        <v>0.14000000000000001</v>
      </c>
      <c r="AE3821" s="26">
        <f t="shared" si="115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0"/>
        <v>15965524.256637167</v>
      </c>
      <c r="AJ3821" s="27">
        <f t="shared" si="1151"/>
        <v>2480116.5996584073</v>
      </c>
      <c r="AK3821" s="232">
        <f t="shared" si="1158"/>
        <v>0.15534200817911609</v>
      </c>
      <c r="AL3821" s="24"/>
      <c r="AM3821" s="24"/>
      <c r="AN3821" s="24"/>
      <c r="AO3821" s="24"/>
      <c r="AP3821" s="165" t="str">
        <f t="shared" si="1159"/>
        <v>202412</v>
      </c>
      <c r="AQ3821" s="233" t="str">
        <f t="shared" si="1160"/>
        <v>202412JPY</v>
      </c>
      <c r="AR3821" s="234" t="str">
        <f t="shared" si="1161"/>
        <v>YAMAHA_Mounter</v>
      </c>
      <c r="AS3821" s="22">
        <f t="shared" si="1162"/>
        <v>0</v>
      </c>
      <c r="AT3821" s="24" t="str">
        <f t="shared" si="1163"/>
        <v>0-3 months</v>
      </c>
      <c r="AU3821" s="22" t="s">
        <v>3746</v>
      </c>
    </row>
    <row r="3822" spans="1:47">
      <c r="A3822" s="33" t="str">
        <f t="shared" si="1154"/>
        <v>FY 24/25</v>
      </c>
      <c r="B3822" s="23">
        <v>2024</v>
      </c>
      <c r="C3822" s="23">
        <v>12</v>
      </c>
      <c r="D3822" s="33" t="str">
        <f t="shared" si="1147"/>
        <v>Q3</v>
      </c>
      <c r="E3822" s="33" t="str">
        <f t="shared" si="1153"/>
        <v>FY 24/25</v>
      </c>
      <c r="F3822" s="23">
        <v>2024</v>
      </c>
      <c r="G3822" s="23">
        <v>12</v>
      </c>
      <c r="H3822" s="29"/>
      <c r="I3822" s="93" t="str">
        <f t="shared" si="1155"/>
        <v>Q3</v>
      </c>
      <c r="J3822" s="188" t="s">
        <v>3630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49"/>
        <v>1</v>
      </c>
      <c r="Z3822" s="230">
        <v>10175000</v>
      </c>
      <c r="AA3822" s="22">
        <v>5.2900000000000003E-2</v>
      </c>
      <c r="AB3822" s="231">
        <f t="shared" si="1152"/>
        <v>538257.5</v>
      </c>
      <c r="AC3822" s="25">
        <f t="shared" si="1156"/>
        <v>75356.05</v>
      </c>
      <c r="AD3822" s="169">
        <v>0.14000000000000001</v>
      </c>
      <c r="AE3822" s="26">
        <f t="shared" si="115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0"/>
        <v>15965524.256637167</v>
      </c>
      <c r="AJ3822" s="27">
        <f t="shared" si="1151"/>
        <v>2480116.5996584073</v>
      </c>
      <c r="AK3822" s="232">
        <f t="shared" si="1158"/>
        <v>0.15534200817911609</v>
      </c>
      <c r="AL3822" s="24"/>
      <c r="AM3822" s="24"/>
      <c r="AN3822" s="24"/>
      <c r="AO3822" s="24"/>
      <c r="AP3822" s="165" t="str">
        <f t="shared" si="1159"/>
        <v>202412</v>
      </c>
      <c r="AQ3822" s="233" t="str">
        <f t="shared" si="1160"/>
        <v>202412JPY</v>
      </c>
      <c r="AR3822" s="234" t="str">
        <f t="shared" si="1161"/>
        <v>YAMAHA_Mounter</v>
      </c>
      <c r="AS3822" s="22">
        <f t="shared" si="1162"/>
        <v>0</v>
      </c>
      <c r="AT3822" s="24" t="str">
        <f t="shared" si="1163"/>
        <v>0-3 months</v>
      </c>
      <c r="AU3822" s="22" t="s">
        <v>3746</v>
      </c>
    </row>
    <row r="3823" spans="1:47">
      <c r="A3823" s="33" t="str">
        <f t="shared" si="1154"/>
        <v>FY 24/25</v>
      </c>
      <c r="B3823" s="23">
        <v>2024</v>
      </c>
      <c r="C3823" s="23">
        <v>12</v>
      </c>
      <c r="D3823" s="33" t="str">
        <f t="shared" si="1147"/>
        <v>Q3</v>
      </c>
      <c r="E3823" s="33" t="str">
        <f t="shared" si="1153"/>
        <v>FY 24/25</v>
      </c>
      <c r="F3823" s="23">
        <v>2024</v>
      </c>
      <c r="G3823" s="23">
        <v>12</v>
      </c>
      <c r="H3823" s="29"/>
      <c r="I3823" s="93" t="str">
        <f t="shared" si="1155"/>
        <v>Q3</v>
      </c>
      <c r="J3823" s="188" t="s">
        <v>3631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49"/>
        <v>1</v>
      </c>
      <c r="Z3823" s="230">
        <f t="shared" si="1148"/>
        <v>7500000</v>
      </c>
      <c r="AA3823" s="22">
        <v>5.2900000000000003E-2</v>
      </c>
      <c r="AB3823" s="231">
        <f t="shared" si="1152"/>
        <v>396750</v>
      </c>
      <c r="AC3823" s="25">
        <f t="shared" si="1156"/>
        <v>27455.1</v>
      </c>
      <c r="AD3823" s="169">
        <v>6.9199999999999998E-2</v>
      </c>
      <c r="AE3823" s="26">
        <f t="shared" si="115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0"/>
        <v>15965524.256637167</v>
      </c>
      <c r="AJ3823" s="27">
        <f t="shared" si="1151"/>
        <v>2480116.5996584073</v>
      </c>
      <c r="AK3823" s="232">
        <f t="shared" si="1158"/>
        <v>0.15534200817911609</v>
      </c>
      <c r="AL3823" s="24"/>
      <c r="AM3823" s="24"/>
      <c r="AN3823" s="24"/>
      <c r="AO3823" s="24"/>
      <c r="AP3823" s="165" t="str">
        <f t="shared" si="1159"/>
        <v>202412</v>
      </c>
      <c r="AQ3823" s="233" t="str">
        <f t="shared" si="1160"/>
        <v>202412JPY</v>
      </c>
      <c r="AR3823" s="234" t="str">
        <f t="shared" si="1161"/>
        <v>YAMAHA_Mounter</v>
      </c>
      <c r="AS3823" s="22">
        <f t="shared" si="1162"/>
        <v>0</v>
      </c>
      <c r="AT3823" s="24" t="str">
        <f t="shared" si="1163"/>
        <v>0-3 months</v>
      </c>
      <c r="AU3823" s="22" t="s">
        <v>3745</v>
      </c>
    </row>
    <row r="3824" spans="1:47">
      <c r="A3824" s="33" t="str">
        <f t="shared" si="1154"/>
        <v>FY 24/25</v>
      </c>
      <c r="B3824" s="23">
        <v>2024</v>
      </c>
      <c r="C3824" s="23">
        <v>12</v>
      </c>
      <c r="D3824" s="33" t="str">
        <f t="shared" si="1147"/>
        <v>Q3</v>
      </c>
      <c r="E3824" s="33" t="str">
        <f t="shared" si="1153"/>
        <v>FY 24/25</v>
      </c>
      <c r="F3824" s="23">
        <v>2025</v>
      </c>
      <c r="G3824" s="23">
        <v>3</v>
      </c>
      <c r="H3824" s="29"/>
      <c r="I3824" s="93" t="str">
        <f t="shared" si="1155"/>
        <v>Q4</v>
      </c>
      <c r="J3824" s="188" t="s">
        <v>3632</v>
      </c>
      <c r="K3824" s="29" t="s">
        <v>3645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49"/>
        <v>1</v>
      </c>
      <c r="Z3824" s="230">
        <f t="shared" si="1148"/>
        <v>8000000</v>
      </c>
      <c r="AA3824" s="22">
        <v>5.2999999999999999E-2</v>
      </c>
      <c r="AB3824" s="231">
        <f t="shared" si="1152"/>
        <v>424000</v>
      </c>
      <c r="AC3824" s="25">
        <f t="shared" si="1156"/>
        <v>50880</v>
      </c>
      <c r="AD3824" s="169">
        <v>0.12</v>
      </c>
      <c r="AE3824" s="26">
        <f t="shared" si="115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0"/>
        <v>17727707.415929206</v>
      </c>
      <c r="AJ3824" s="27">
        <f t="shared" si="1151"/>
        <v>2127324.8899115045</v>
      </c>
      <c r="AK3824" s="232">
        <f t="shared" si="1158"/>
        <v>0.11999999999999998</v>
      </c>
      <c r="AL3824" s="24"/>
      <c r="AM3824" s="24"/>
      <c r="AN3824" s="24"/>
      <c r="AO3824" s="24"/>
      <c r="AP3824" s="165" t="str">
        <f t="shared" si="1159"/>
        <v>20253</v>
      </c>
      <c r="AQ3824" s="233" t="str">
        <f t="shared" si="1160"/>
        <v>20253JPY</v>
      </c>
      <c r="AR3824" s="234" t="str">
        <f t="shared" si="1161"/>
        <v>YAMAHA_Mounter</v>
      </c>
      <c r="AS3824" s="22">
        <f t="shared" si="1162"/>
        <v>3</v>
      </c>
      <c r="AT3824" s="24" t="str">
        <f t="shared" si="1163"/>
        <v>0-3 months</v>
      </c>
      <c r="AU3824" s="22" t="s">
        <v>3745</v>
      </c>
    </row>
    <row r="3825" spans="1:47">
      <c r="A3825" s="33" t="str">
        <f t="shared" si="1154"/>
        <v>FY 24/25</v>
      </c>
      <c r="B3825" s="23">
        <v>2024</v>
      </c>
      <c r="C3825" s="23">
        <v>12</v>
      </c>
      <c r="D3825" s="33" t="str">
        <f t="shared" si="1147"/>
        <v>Q3</v>
      </c>
      <c r="E3825" s="33" t="str">
        <f t="shared" si="1153"/>
        <v>FY 24/25</v>
      </c>
      <c r="F3825" s="23">
        <v>2025</v>
      </c>
      <c r="G3825" s="23">
        <v>1</v>
      </c>
      <c r="H3825" s="29"/>
      <c r="I3825" s="93" t="str">
        <f t="shared" si="1155"/>
        <v>Q4</v>
      </c>
      <c r="J3825" s="188" t="s">
        <v>3633</v>
      </c>
      <c r="K3825" s="29" t="s">
        <v>3639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49"/>
        <v>1.13</v>
      </c>
      <c r="Z3825" s="230">
        <f t="shared" si="1148"/>
        <v>410342.85714285716</v>
      </c>
      <c r="AA3825" s="22">
        <v>1.0640000000000001</v>
      </c>
      <c r="AB3825" s="231">
        <f t="shared" si="1152"/>
        <v>386375.92920353991</v>
      </c>
      <c r="AC3825" s="25">
        <f t="shared" si="1156"/>
        <v>18584.682194690267</v>
      </c>
      <c r="AD3825" s="169">
        <v>4.8099999999999997E-2</v>
      </c>
      <c r="AE3825" s="26">
        <f t="shared" si="115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0"/>
        <v>16190947.162761064</v>
      </c>
      <c r="AJ3825" s="27">
        <f t="shared" si="1151"/>
        <v>2256328.1660673413</v>
      </c>
      <c r="AK3825" s="232">
        <f t="shared" si="1158"/>
        <v>0.13935739171929745</v>
      </c>
      <c r="AL3825" s="24"/>
      <c r="AM3825" s="24"/>
      <c r="AN3825" s="24"/>
      <c r="AO3825" s="24"/>
      <c r="AP3825" s="165" t="str">
        <f t="shared" si="1159"/>
        <v>20251</v>
      </c>
      <c r="AQ3825" s="233" t="str">
        <f t="shared" si="1160"/>
        <v>20251RMB</v>
      </c>
      <c r="AR3825" s="234" t="str">
        <f t="shared" si="1161"/>
        <v>YAMAHA_Mounter</v>
      </c>
      <c r="AS3825" s="22">
        <f t="shared" si="1162"/>
        <v>1</v>
      </c>
      <c r="AT3825" s="24" t="str">
        <f t="shared" si="1163"/>
        <v>0-3 months</v>
      </c>
      <c r="AU3825" s="22" t="s">
        <v>3240</v>
      </c>
    </row>
    <row r="3826" spans="1:47">
      <c r="A3826" s="33" t="str">
        <f t="shared" si="1154"/>
        <v>FY 24/25</v>
      </c>
      <c r="B3826" s="23">
        <v>2024</v>
      </c>
      <c r="C3826" s="23">
        <v>12</v>
      </c>
      <c r="D3826" s="33" t="str">
        <f t="shared" ref="D3826:D3889" si="1165">IF(B3826="","",IF(AND(C3826&gt;=10,C3826&lt;=12),"Q3",IF(AND(C3826&gt;=1,C3826&lt;=3),"Q4",IF(AND(C3826&gt;=7,C3826&lt;=9),"Q2",IF(AND(C3826&gt;=4,C3826&lt;=6),"Q1")))))</f>
        <v>Q3</v>
      </c>
      <c r="E3826" s="33" t="str">
        <f t="shared" si="1153"/>
        <v>FY 24/25</v>
      </c>
      <c r="F3826" s="23">
        <v>2025</v>
      </c>
      <c r="G3826" s="23">
        <v>1</v>
      </c>
      <c r="H3826" s="29"/>
      <c r="I3826" s="93" t="str">
        <f t="shared" si="1155"/>
        <v>Q4</v>
      </c>
      <c r="J3826" s="188" t="s">
        <v>3633</v>
      </c>
      <c r="K3826" s="29" t="s">
        <v>3639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49"/>
        <v>1.13</v>
      </c>
      <c r="Z3826" s="230">
        <f t="shared" ref="Z3826:Z3889" si="1166">IF(X3826="","",X3826*MAX(O3826,N3826))</f>
        <v>410342.85714285716</v>
      </c>
      <c r="AA3826" s="22">
        <v>1.0640000000000001</v>
      </c>
      <c r="AB3826" s="231">
        <f t="shared" si="1152"/>
        <v>386375.92920353991</v>
      </c>
      <c r="AC3826" s="25">
        <f t="shared" si="1156"/>
        <v>18584.682194690267</v>
      </c>
      <c r="AD3826" s="169">
        <v>4.8099999999999997E-2</v>
      </c>
      <c r="AE3826" s="26">
        <f t="shared" si="115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0"/>
        <v>16190947.162761064</v>
      </c>
      <c r="AJ3826" s="27">
        <f t="shared" si="1151"/>
        <v>2256328.1660673413</v>
      </c>
      <c r="AK3826" s="232">
        <f t="shared" si="1158"/>
        <v>0.13935739171929745</v>
      </c>
      <c r="AL3826" s="24"/>
      <c r="AM3826" s="24"/>
      <c r="AN3826" s="24"/>
      <c r="AO3826" s="24"/>
      <c r="AP3826" s="165" t="str">
        <f t="shared" si="1159"/>
        <v>20251</v>
      </c>
      <c r="AQ3826" s="233" t="str">
        <f t="shared" si="1160"/>
        <v>20251RMB</v>
      </c>
      <c r="AR3826" s="234" t="str">
        <f t="shared" si="1161"/>
        <v>YAMAHA_Mounter</v>
      </c>
      <c r="AS3826" s="22">
        <f t="shared" si="1162"/>
        <v>1</v>
      </c>
      <c r="AT3826" s="24" t="str">
        <f t="shared" si="1163"/>
        <v>0-3 months</v>
      </c>
      <c r="AU3826" s="22" t="s">
        <v>3240</v>
      </c>
    </row>
    <row r="3827" spans="1:47">
      <c r="A3827" s="33" t="str">
        <f t="shared" si="1154"/>
        <v>FY 24/25</v>
      </c>
      <c r="B3827" s="23">
        <v>2024</v>
      </c>
      <c r="C3827" s="23">
        <v>12</v>
      </c>
      <c r="D3827" s="33" t="str">
        <f t="shared" si="1165"/>
        <v>Q3</v>
      </c>
      <c r="E3827" s="33" t="str">
        <f t="shared" si="1153"/>
        <v>FY 24/25</v>
      </c>
      <c r="F3827" s="23">
        <v>2025</v>
      </c>
      <c r="G3827" s="23">
        <v>1</v>
      </c>
      <c r="H3827" s="29"/>
      <c r="I3827" s="93" t="str">
        <f t="shared" si="1155"/>
        <v>Q4</v>
      </c>
      <c r="J3827" s="188" t="s">
        <v>3633</v>
      </c>
      <c r="K3827" s="29" t="s">
        <v>3639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49"/>
        <v>1.13</v>
      </c>
      <c r="Z3827" s="230">
        <f t="shared" si="1166"/>
        <v>410342.85714285716</v>
      </c>
      <c r="AA3827" s="22">
        <v>1.0640000000000001</v>
      </c>
      <c r="AB3827" s="231">
        <f t="shared" si="1152"/>
        <v>386375.92920353991</v>
      </c>
      <c r="AC3827" s="25">
        <f t="shared" si="1156"/>
        <v>18584.682194690267</v>
      </c>
      <c r="AD3827" s="169">
        <v>4.8099999999999997E-2</v>
      </c>
      <c r="AE3827" s="26">
        <f t="shared" si="115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0"/>
        <v>16190947.162761064</v>
      </c>
      <c r="AJ3827" s="27">
        <f t="shared" si="1151"/>
        <v>2256328.1660673413</v>
      </c>
      <c r="AK3827" s="232">
        <f t="shared" si="1158"/>
        <v>0.13935739171929745</v>
      </c>
      <c r="AL3827" s="24"/>
      <c r="AM3827" s="24"/>
      <c r="AN3827" s="24"/>
      <c r="AO3827" s="24"/>
      <c r="AP3827" s="165" t="str">
        <f t="shared" si="1159"/>
        <v>20251</v>
      </c>
      <c r="AQ3827" s="233" t="str">
        <f t="shared" si="1160"/>
        <v>20251RMB</v>
      </c>
      <c r="AR3827" s="234" t="str">
        <f t="shared" si="1161"/>
        <v>YAMAHA_Mounter</v>
      </c>
      <c r="AS3827" s="22">
        <f t="shared" si="1162"/>
        <v>1</v>
      </c>
      <c r="AT3827" s="24" t="str">
        <f t="shared" si="1163"/>
        <v>0-3 months</v>
      </c>
      <c r="AU3827" s="22" t="s">
        <v>3240</v>
      </c>
    </row>
    <row r="3828" spans="1:47">
      <c r="A3828" s="33" t="str">
        <f t="shared" si="1154"/>
        <v>FY 24/25</v>
      </c>
      <c r="B3828" s="23">
        <v>2024</v>
      </c>
      <c r="C3828" s="23">
        <v>12</v>
      </c>
      <c r="D3828" s="33" t="str">
        <f t="shared" si="1165"/>
        <v>Q3</v>
      </c>
      <c r="E3828" s="33" t="str">
        <f t="shared" si="1153"/>
        <v>FY 24/25</v>
      </c>
      <c r="F3828" s="23">
        <v>2025</v>
      </c>
      <c r="G3828" s="23">
        <v>1</v>
      </c>
      <c r="H3828" s="29"/>
      <c r="I3828" s="93" t="str">
        <f t="shared" si="1155"/>
        <v>Q4</v>
      </c>
      <c r="J3828" s="188" t="s">
        <v>3633</v>
      </c>
      <c r="K3828" s="29" t="s">
        <v>3639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67">IF(W3828="","",IF(W3828="RMB","1.13", "1"))</f>
        <v>1.13</v>
      </c>
      <c r="Z3828" s="230">
        <f t="shared" si="1166"/>
        <v>410342.85714285716</v>
      </c>
      <c r="AA3828" s="22">
        <v>1.0640000000000001</v>
      </c>
      <c r="AB3828" s="231">
        <f t="shared" si="1152"/>
        <v>386375.92920353991</v>
      </c>
      <c r="AC3828" s="25">
        <f t="shared" si="1156"/>
        <v>18584.682194690267</v>
      </c>
      <c r="AD3828" s="169">
        <v>4.8099999999999997E-2</v>
      </c>
      <c r="AE3828" s="26">
        <f t="shared" si="115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0"/>
        <v>16190947.162761064</v>
      </c>
      <c r="AJ3828" s="27">
        <f t="shared" si="1151"/>
        <v>2256328.1660673413</v>
      </c>
      <c r="AK3828" s="232">
        <f t="shared" si="1158"/>
        <v>0.13935739171929745</v>
      </c>
      <c r="AL3828" s="24"/>
      <c r="AM3828" s="24"/>
      <c r="AN3828" s="24"/>
      <c r="AO3828" s="24"/>
      <c r="AP3828" s="165" t="str">
        <f t="shared" si="1159"/>
        <v>20251</v>
      </c>
      <c r="AQ3828" s="233" t="str">
        <f t="shared" si="1160"/>
        <v>20251RMB</v>
      </c>
      <c r="AR3828" s="234" t="str">
        <f t="shared" si="1161"/>
        <v>YAMAHA_Mounter</v>
      </c>
      <c r="AS3828" s="22">
        <f t="shared" si="1162"/>
        <v>1</v>
      </c>
      <c r="AT3828" s="24" t="str">
        <f t="shared" si="1163"/>
        <v>0-3 months</v>
      </c>
      <c r="AU3828" s="22" t="s">
        <v>3240</v>
      </c>
    </row>
    <row r="3829" spans="1:47">
      <c r="A3829" s="33" t="str">
        <f t="shared" si="1154"/>
        <v>FY 24/25</v>
      </c>
      <c r="B3829" s="23">
        <v>2024</v>
      </c>
      <c r="C3829" s="23">
        <v>12</v>
      </c>
      <c r="D3829" s="33" t="str">
        <f t="shared" si="1165"/>
        <v>Q3</v>
      </c>
      <c r="E3829" s="33" t="str">
        <f t="shared" si="1153"/>
        <v>FY 24/25</v>
      </c>
      <c r="F3829" s="23">
        <v>2025</v>
      </c>
      <c r="G3829" s="23">
        <v>1</v>
      </c>
      <c r="H3829" s="29"/>
      <c r="I3829" s="93" t="str">
        <f t="shared" si="1155"/>
        <v>Q4</v>
      </c>
      <c r="J3829" s="188" t="s">
        <v>3633</v>
      </c>
      <c r="K3829" s="29" t="s">
        <v>3639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67"/>
        <v>1.13</v>
      </c>
      <c r="Z3829" s="230">
        <f t="shared" si="1166"/>
        <v>410342.85714285716</v>
      </c>
      <c r="AA3829" s="22">
        <v>1.0640000000000001</v>
      </c>
      <c r="AB3829" s="231">
        <f t="shared" si="1152"/>
        <v>386375.92920353991</v>
      </c>
      <c r="AC3829" s="25">
        <f t="shared" si="1156"/>
        <v>18584.682194690267</v>
      </c>
      <c r="AD3829" s="169">
        <v>4.8099999999999997E-2</v>
      </c>
      <c r="AE3829" s="26">
        <f t="shared" si="115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0"/>
        <v>16190947.162761064</v>
      </c>
      <c r="AJ3829" s="27">
        <f t="shared" si="1151"/>
        <v>2256328.1660673413</v>
      </c>
      <c r="AK3829" s="232">
        <f t="shared" si="1158"/>
        <v>0.13935739171929745</v>
      </c>
      <c r="AL3829" s="24"/>
      <c r="AM3829" s="24"/>
      <c r="AN3829" s="24"/>
      <c r="AO3829" s="24"/>
      <c r="AP3829" s="165" t="str">
        <f t="shared" si="1159"/>
        <v>20251</v>
      </c>
      <c r="AQ3829" s="233" t="str">
        <f t="shared" si="1160"/>
        <v>20251RMB</v>
      </c>
      <c r="AR3829" s="234" t="str">
        <f t="shared" si="1161"/>
        <v>YAMAHA_Mounter</v>
      </c>
      <c r="AS3829" s="22">
        <f t="shared" si="1162"/>
        <v>1</v>
      </c>
      <c r="AT3829" s="24" t="str">
        <f t="shared" si="1163"/>
        <v>0-3 months</v>
      </c>
      <c r="AU3829" s="22" t="s">
        <v>3240</v>
      </c>
    </row>
    <row r="3830" spans="1:47">
      <c r="A3830" s="33" t="str">
        <f t="shared" si="1154"/>
        <v>FY 24/25</v>
      </c>
      <c r="B3830" s="23">
        <v>2024</v>
      </c>
      <c r="C3830" s="23">
        <v>12</v>
      </c>
      <c r="D3830" s="33" t="str">
        <f t="shared" si="1165"/>
        <v>Q3</v>
      </c>
      <c r="E3830" s="33" t="str">
        <f t="shared" si="1153"/>
        <v>FY 24/25</v>
      </c>
      <c r="F3830" s="23">
        <v>2025</v>
      </c>
      <c r="G3830" s="23">
        <v>1</v>
      </c>
      <c r="H3830" s="29"/>
      <c r="I3830" s="93" t="str">
        <f t="shared" si="1155"/>
        <v>Q4</v>
      </c>
      <c r="J3830" s="188" t="s">
        <v>3633</v>
      </c>
      <c r="K3830" s="29" t="s">
        <v>3639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67"/>
        <v>1.13</v>
      </c>
      <c r="Z3830" s="230">
        <f t="shared" si="1166"/>
        <v>410342.85714285716</v>
      </c>
      <c r="AA3830" s="22">
        <v>1.0640000000000001</v>
      </c>
      <c r="AB3830" s="231">
        <f t="shared" si="1152"/>
        <v>386375.92920353991</v>
      </c>
      <c r="AC3830" s="25">
        <f t="shared" si="1156"/>
        <v>18584.682194690267</v>
      </c>
      <c r="AD3830" s="169">
        <v>4.8099999999999997E-2</v>
      </c>
      <c r="AE3830" s="26">
        <f t="shared" si="115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0"/>
        <v>16190947.162761064</v>
      </c>
      <c r="AJ3830" s="27">
        <f t="shared" si="1151"/>
        <v>2256328.1660673413</v>
      </c>
      <c r="AK3830" s="232">
        <f t="shared" si="1158"/>
        <v>0.13935739171929745</v>
      </c>
      <c r="AL3830" s="24"/>
      <c r="AM3830" s="24"/>
      <c r="AN3830" s="24"/>
      <c r="AO3830" s="24"/>
      <c r="AP3830" s="165" t="str">
        <f t="shared" si="1159"/>
        <v>20251</v>
      </c>
      <c r="AQ3830" s="233" t="str">
        <f t="shared" si="1160"/>
        <v>20251RMB</v>
      </c>
      <c r="AR3830" s="234" t="str">
        <f t="shared" si="1161"/>
        <v>YAMAHA_Mounter</v>
      </c>
      <c r="AS3830" s="22">
        <f t="shared" si="1162"/>
        <v>1</v>
      </c>
      <c r="AT3830" s="24" t="str">
        <f t="shared" si="1163"/>
        <v>0-3 months</v>
      </c>
      <c r="AU3830" s="22" t="s">
        <v>3240</v>
      </c>
    </row>
    <row r="3831" spans="1:47">
      <c r="A3831" s="33" t="str">
        <f t="shared" si="1154"/>
        <v>FY 24/25</v>
      </c>
      <c r="B3831" s="23">
        <v>2024</v>
      </c>
      <c r="C3831" s="23">
        <v>12</v>
      </c>
      <c r="D3831" s="33" t="str">
        <f t="shared" si="1165"/>
        <v>Q3</v>
      </c>
      <c r="E3831" s="33" t="str">
        <f t="shared" si="1153"/>
        <v>FY 24/25</v>
      </c>
      <c r="F3831" s="23">
        <v>2025</v>
      </c>
      <c r="G3831" s="23">
        <v>1</v>
      </c>
      <c r="H3831" s="29"/>
      <c r="I3831" s="93" t="str">
        <f t="shared" si="1155"/>
        <v>Q4</v>
      </c>
      <c r="J3831" s="188" t="s">
        <v>3633</v>
      </c>
      <c r="K3831" s="29" t="s">
        <v>3639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67"/>
        <v>1.13</v>
      </c>
      <c r="Z3831" s="230">
        <f t="shared" si="1166"/>
        <v>410342.85714285716</v>
      </c>
      <c r="AA3831" s="22">
        <v>1.0640000000000001</v>
      </c>
      <c r="AB3831" s="231">
        <f t="shared" si="1152"/>
        <v>386375.92920353991</v>
      </c>
      <c r="AC3831" s="25">
        <f t="shared" si="1156"/>
        <v>18584.682194690267</v>
      </c>
      <c r="AD3831" s="169">
        <v>4.8099999999999997E-2</v>
      </c>
      <c r="AE3831" s="26">
        <f t="shared" si="115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0"/>
        <v>16190947.162761064</v>
      </c>
      <c r="AJ3831" s="27">
        <f t="shared" si="1151"/>
        <v>2256328.1660673413</v>
      </c>
      <c r="AK3831" s="232">
        <f t="shared" si="1158"/>
        <v>0.13935739171929745</v>
      </c>
      <c r="AL3831" s="24"/>
      <c r="AM3831" s="24"/>
      <c r="AN3831" s="24"/>
      <c r="AO3831" s="24"/>
      <c r="AP3831" s="165" t="str">
        <f t="shared" si="1159"/>
        <v>20251</v>
      </c>
      <c r="AQ3831" s="233" t="str">
        <f t="shared" si="1160"/>
        <v>20251RMB</v>
      </c>
      <c r="AR3831" s="234" t="str">
        <f t="shared" si="1161"/>
        <v>YAMAHA_Mounter</v>
      </c>
      <c r="AS3831" s="22">
        <f t="shared" si="1162"/>
        <v>1</v>
      </c>
      <c r="AT3831" s="24" t="str">
        <f t="shared" si="1163"/>
        <v>0-3 months</v>
      </c>
      <c r="AU3831" s="22" t="s">
        <v>3240</v>
      </c>
    </row>
    <row r="3832" spans="1:47">
      <c r="A3832" s="33" t="str">
        <f t="shared" si="1154"/>
        <v>FY 24/25</v>
      </c>
      <c r="B3832" s="23">
        <v>2024</v>
      </c>
      <c r="C3832" s="23">
        <v>12</v>
      </c>
      <c r="D3832" s="33" t="str">
        <f t="shared" si="1165"/>
        <v>Q3</v>
      </c>
      <c r="E3832" s="33" t="str">
        <f t="shared" si="1153"/>
        <v>FY 24/25</v>
      </c>
      <c r="F3832" s="23">
        <v>2024</v>
      </c>
      <c r="G3832" s="23">
        <v>12</v>
      </c>
      <c r="H3832" s="29"/>
      <c r="I3832" s="93" t="str">
        <f t="shared" si="1155"/>
        <v>Q3</v>
      </c>
      <c r="J3832" s="188" t="s">
        <v>3634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67"/>
        <v>1.13</v>
      </c>
      <c r="Z3832" s="230">
        <f t="shared" si="1166"/>
        <v>600000</v>
      </c>
      <c r="AA3832" s="22">
        <v>1.0760000000000001</v>
      </c>
      <c r="AB3832" s="231">
        <f t="shared" si="1152"/>
        <v>571327.43362831871</v>
      </c>
      <c r="AC3832" s="25">
        <f t="shared" si="1156"/>
        <v>54847.433628318598</v>
      </c>
      <c r="AD3832" s="169">
        <v>9.6000000000000002E-2</v>
      </c>
      <c r="AE3832" s="26">
        <f t="shared" si="115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0"/>
        <v>15965524.256637167</v>
      </c>
      <c r="AJ3832" s="27">
        <f t="shared" si="1151"/>
        <v>2480116.5996584073</v>
      </c>
      <c r="AK3832" s="232">
        <f t="shared" si="1158"/>
        <v>0.15534200817911609</v>
      </c>
      <c r="AL3832" s="24"/>
      <c r="AM3832" s="24"/>
      <c r="AN3832" s="24"/>
      <c r="AO3832" s="24"/>
      <c r="AP3832" s="165" t="str">
        <f t="shared" si="1159"/>
        <v>202412</v>
      </c>
      <c r="AQ3832" s="233" t="str">
        <f t="shared" si="1160"/>
        <v>202412RMB</v>
      </c>
      <c r="AR3832" s="234" t="str">
        <f t="shared" si="1161"/>
        <v>YAMAHA_Mounter</v>
      </c>
      <c r="AS3832" s="22">
        <f t="shared" si="1162"/>
        <v>0</v>
      </c>
      <c r="AT3832" s="24" t="str">
        <f t="shared" si="1163"/>
        <v>0-3 months</v>
      </c>
      <c r="AU3832" s="22" t="s">
        <v>3240</v>
      </c>
    </row>
    <row r="3833" spans="1:47">
      <c r="A3833" s="33" t="str">
        <f t="shared" si="1154"/>
        <v>FY 24/25</v>
      </c>
      <c r="B3833" s="23">
        <v>2024</v>
      </c>
      <c r="C3833" s="23">
        <v>12</v>
      </c>
      <c r="D3833" s="33" t="str">
        <f t="shared" si="1165"/>
        <v>Q3</v>
      </c>
      <c r="E3833" s="33" t="str">
        <f t="shared" si="1153"/>
        <v>FY 24/25</v>
      </c>
      <c r="F3833" s="23">
        <v>2025</v>
      </c>
      <c r="G3833" s="23">
        <v>3</v>
      </c>
      <c r="H3833" s="29"/>
      <c r="I3833" s="93" t="str">
        <f t="shared" si="1155"/>
        <v>Q4</v>
      </c>
      <c r="J3833" s="188" t="s">
        <v>3635</v>
      </c>
      <c r="K3833" s="239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67"/>
        <v>1.13</v>
      </c>
      <c r="Z3833" s="230">
        <f t="shared" si="1166"/>
        <v>620000</v>
      </c>
      <c r="AA3833" s="22">
        <v>1.0669999999999999</v>
      </c>
      <c r="AB3833" s="231">
        <f t="shared" si="1152"/>
        <v>585433.62831858417</v>
      </c>
      <c r="AC3833" s="25">
        <f t="shared" si="1156"/>
        <v>70252.035398230102</v>
      </c>
      <c r="AD3833" s="169">
        <v>0.12</v>
      </c>
      <c r="AE3833" s="26">
        <f t="shared" si="115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0"/>
        <v>17727707.415929206</v>
      </c>
      <c r="AJ3833" s="27">
        <f t="shared" si="1151"/>
        <v>2127324.8899115045</v>
      </c>
      <c r="AK3833" s="232">
        <f t="shared" si="1158"/>
        <v>0.11999999999999998</v>
      </c>
      <c r="AL3833" s="24"/>
      <c r="AM3833" s="24"/>
      <c r="AN3833" s="24"/>
      <c r="AO3833" s="24"/>
      <c r="AP3833" s="165" t="str">
        <f t="shared" si="1159"/>
        <v>20253</v>
      </c>
      <c r="AQ3833" s="233" t="str">
        <f t="shared" si="1160"/>
        <v>20253RMB</v>
      </c>
      <c r="AR3833" s="234" t="str">
        <f t="shared" si="1161"/>
        <v>YAMAHA_Mounter</v>
      </c>
      <c r="AS3833" s="22">
        <f t="shared" si="1162"/>
        <v>3</v>
      </c>
      <c r="AT3833" s="24" t="str">
        <f t="shared" si="1163"/>
        <v>0-3 months</v>
      </c>
      <c r="AU3833" s="22" t="s">
        <v>3240</v>
      </c>
    </row>
    <row r="3834" spans="1:47">
      <c r="A3834" s="33" t="str">
        <f t="shared" si="1154"/>
        <v>FY 24/25</v>
      </c>
      <c r="B3834" s="23">
        <v>2024</v>
      </c>
      <c r="C3834" s="23">
        <v>12</v>
      </c>
      <c r="D3834" s="33" t="str">
        <f t="shared" si="1165"/>
        <v>Q3</v>
      </c>
      <c r="E3834" s="33" t="str">
        <f t="shared" si="1153"/>
        <v>FY 25/26</v>
      </c>
      <c r="F3834" s="23">
        <v>2025</v>
      </c>
      <c r="G3834" s="23">
        <v>4</v>
      </c>
      <c r="H3834" s="29"/>
      <c r="I3834" s="93" t="str">
        <f t="shared" si="1155"/>
        <v>Q1</v>
      </c>
      <c r="J3834" s="188" t="s">
        <v>3636</v>
      </c>
      <c r="K3834" s="29" t="s">
        <v>3640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67"/>
        <v>1.13</v>
      </c>
      <c r="Z3834" s="230">
        <f t="shared" si="1166"/>
        <v>765000</v>
      </c>
      <c r="AA3834" s="22">
        <v>1.0669999999999999</v>
      </c>
      <c r="AB3834" s="231">
        <f t="shared" si="1152"/>
        <v>722349.55752212391</v>
      </c>
      <c r="AC3834" s="25">
        <f t="shared" si="1156"/>
        <v>86681.946902654861</v>
      </c>
      <c r="AD3834" s="169">
        <v>0.12</v>
      </c>
      <c r="AE3834" s="26">
        <f t="shared" si="115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0"/>
        <v>29497483.159292053</v>
      </c>
      <c r="AJ3834" s="27">
        <f t="shared" si="1151"/>
        <v>3539697.9791150414</v>
      </c>
      <c r="AK3834" s="232">
        <f t="shared" si="1158"/>
        <v>0.11999999999999983</v>
      </c>
      <c r="AL3834" s="24"/>
      <c r="AM3834" s="24"/>
      <c r="AN3834" s="24"/>
      <c r="AO3834" s="24"/>
      <c r="AP3834" s="165" t="str">
        <f t="shared" si="1159"/>
        <v>20254</v>
      </c>
      <c r="AQ3834" s="233" t="str">
        <f t="shared" si="1160"/>
        <v>20254RMB</v>
      </c>
      <c r="AR3834" s="234" t="str">
        <f t="shared" si="1161"/>
        <v>YAMAHA_Mounter</v>
      </c>
      <c r="AS3834" s="22">
        <f t="shared" si="1162"/>
        <v>4</v>
      </c>
      <c r="AT3834" s="24" t="str">
        <f t="shared" si="1163"/>
        <v>4-6 months</v>
      </c>
      <c r="AU3834" s="22" t="s">
        <v>3240</v>
      </c>
    </row>
    <row r="3835" spans="1:47">
      <c r="A3835" s="33" t="str">
        <f t="shared" si="1154"/>
        <v>FY 24/25</v>
      </c>
      <c r="B3835" s="23">
        <v>2024</v>
      </c>
      <c r="C3835" s="23">
        <v>12</v>
      </c>
      <c r="D3835" s="33" t="str">
        <f t="shared" si="1165"/>
        <v>Q3</v>
      </c>
      <c r="E3835" s="33" t="str">
        <f t="shared" si="1153"/>
        <v>FY 25/26</v>
      </c>
      <c r="F3835" s="23">
        <v>2025</v>
      </c>
      <c r="G3835" s="23">
        <v>4</v>
      </c>
      <c r="H3835" s="29"/>
      <c r="I3835" s="93" t="str">
        <f t="shared" si="1155"/>
        <v>Q1</v>
      </c>
      <c r="J3835" s="188" t="s">
        <v>3636</v>
      </c>
      <c r="K3835" s="29" t="s">
        <v>3640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67"/>
        <v>1.13</v>
      </c>
      <c r="Z3835" s="230">
        <f t="shared" si="1166"/>
        <v>765000</v>
      </c>
      <c r="AA3835" s="22">
        <v>1.0669999999999999</v>
      </c>
      <c r="AB3835" s="231">
        <f t="shared" si="1152"/>
        <v>722349.55752212391</v>
      </c>
      <c r="AC3835" s="25">
        <f t="shared" si="1156"/>
        <v>86681.946902654861</v>
      </c>
      <c r="AD3835" s="169">
        <v>0.12</v>
      </c>
      <c r="AE3835" s="26">
        <f t="shared" si="115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0"/>
        <v>29497483.159292053</v>
      </c>
      <c r="AJ3835" s="27">
        <f t="shared" si="1151"/>
        <v>3539697.9791150414</v>
      </c>
      <c r="AK3835" s="232">
        <f t="shared" si="1158"/>
        <v>0.11999999999999983</v>
      </c>
      <c r="AL3835" s="24"/>
      <c r="AM3835" s="24"/>
      <c r="AN3835" s="24"/>
      <c r="AO3835" s="24"/>
      <c r="AP3835" s="165" t="str">
        <f t="shared" si="1159"/>
        <v>20254</v>
      </c>
      <c r="AQ3835" s="233" t="str">
        <f t="shared" si="1160"/>
        <v>20254RMB</v>
      </c>
      <c r="AR3835" s="234" t="str">
        <f t="shared" si="1161"/>
        <v>YAMAHA_Mounter</v>
      </c>
      <c r="AS3835" s="22">
        <f t="shared" si="1162"/>
        <v>4</v>
      </c>
      <c r="AT3835" s="24" t="str">
        <f t="shared" si="1163"/>
        <v>4-6 months</v>
      </c>
      <c r="AU3835" s="22" t="s">
        <v>3240</v>
      </c>
    </row>
    <row r="3836" spans="1:47">
      <c r="A3836" s="33" t="str">
        <f t="shared" si="1154"/>
        <v>FY 24/25</v>
      </c>
      <c r="B3836" s="23">
        <v>2024</v>
      </c>
      <c r="C3836" s="23">
        <v>12</v>
      </c>
      <c r="D3836" s="33" t="str">
        <f t="shared" si="1165"/>
        <v>Q3</v>
      </c>
      <c r="E3836" s="33" t="str">
        <f t="shared" si="1153"/>
        <v>FY 24/25</v>
      </c>
      <c r="F3836" s="23">
        <v>2024</v>
      </c>
      <c r="G3836" s="23">
        <v>12</v>
      </c>
      <c r="H3836" s="29"/>
      <c r="I3836" s="93" t="str">
        <f t="shared" si="1155"/>
        <v>Q3</v>
      </c>
      <c r="J3836" s="188" t="s">
        <v>3637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67"/>
        <v>1.13</v>
      </c>
      <c r="Z3836" s="230">
        <f t="shared" si="1166"/>
        <v>650000</v>
      </c>
      <c r="AA3836" s="22">
        <v>1.0760000000000001</v>
      </c>
      <c r="AB3836" s="231">
        <f t="shared" si="1152"/>
        <v>618938.05309734517</v>
      </c>
      <c r="AC3836" s="25">
        <f t="shared" si="1156"/>
        <v>58922.902654867263</v>
      </c>
      <c r="AD3836" s="169">
        <v>9.5200000000000007E-2</v>
      </c>
      <c r="AE3836" s="26">
        <f t="shared" si="115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0"/>
        <v>15965524.256637167</v>
      </c>
      <c r="AJ3836" s="27">
        <f t="shared" si="1151"/>
        <v>2480116.5996584073</v>
      </c>
      <c r="AK3836" s="232">
        <f t="shared" si="1158"/>
        <v>0.15534200817911609</v>
      </c>
      <c r="AL3836" s="24"/>
      <c r="AM3836" s="24"/>
      <c r="AN3836" s="24"/>
      <c r="AO3836" s="24"/>
      <c r="AP3836" s="165" t="str">
        <f t="shared" si="1159"/>
        <v>202412</v>
      </c>
      <c r="AQ3836" s="233" t="str">
        <f t="shared" si="1160"/>
        <v>202412RMB</v>
      </c>
      <c r="AR3836" s="234" t="str">
        <f t="shared" si="1161"/>
        <v>YAMAHA_Mounter</v>
      </c>
      <c r="AS3836" s="22">
        <f t="shared" si="1162"/>
        <v>0</v>
      </c>
      <c r="AT3836" s="24" t="str">
        <f t="shared" si="1163"/>
        <v>0-3 months</v>
      </c>
      <c r="AU3836" s="22" t="s">
        <v>3240</v>
      </c>
    </row>
    <row r="3837" spans="1:47">
      <c r="A3837" s="33" t="str">
        <f t="shared" si="1154"/>
        <v>FY 24/25</v>
      </c>
      <c r="B3837" s="23">
        <v>2024</v>
      </c>
      <c r="C3837" s="23">
        <v>12</v>
      </c>
      <c r="D3837" s="33" t="str">
        <f t="shared" si="1165"/>
        <v>Q3</v>
      </c>
      <c r="E3837" s="33" t="str">
        <f t="shared" si="1153"/>
        <v>FY 24/25</v>
      </c>
      <c r="F3837" s="23">
        <v>2025</v>
      </c>
      <c r="G3837" s="23">
        <v>1</v>
      </c>
      <c r="H3837" s="29"/>
      <c r="I3837" s="93" t="str">
        <f t="shared" si="1155"/>
        <v>Q4</v>
      </c>
      <c r="J3837" s="188" t="s">
        <v>3638</v>
      </c>
      <c r="K3837" s="29" t="s">
        <v>3641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67"/>
        <v>1.13</v>
      </c>
      <c r="Z3837" s="230">
        <f t="shared" si="1166"/>
        <v>62508.78</v>
      </c>
      <c r="AA3837" s="22">
        <v>1.0640000000000001</v>
      </c>
      <c r="AB3837" s="231">
        <f t="shared" si="1152"/>
        <v>58857.82470796461</v>
      </c>
      <c r="AC3837" s="25">
        <f t="shared" si="1156"/>
        <v>11406.646428403541</v>
      </c>
      <c r="AD3837" s="236">
        <v>0.1938</v>
      </c>
      <c r="AE3837" s="26">
        <f t="shared" si="115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0"/>
        <v>16190947.162761064</v>
      </c>
      <c r="AJ3837" s="27">
        <f t="shared" si="1151"/>
        <v>2256328.1660673413</v>
      </c>
      <c r="AK3837" s="232">
        <f t="shared" si="1158"/>
        <v>0.13935739171929745</v>
      </c>
      <c r="AL3837" s="24"/>
      <c r="AM3837" s="24"/>
      <c r="AN3837" s="24"/>
      <c r="AO3837" s="24"/>
      <c r="AP3837" s="165" t="str">
        <f t="shared" si="1159"/>
        <v>20251</v>
      </c>
      <c r="AQ3837" s="233" t="str">
        <f t="shared" si="1160"/>
        <v>20251RMB</v>
      </c>
      <c r="AR3837" s="234" t="str">
        <f t="shared" si="1161"/>
        <v>SOLDERSTAR</v>
      </c>
      <c r="AS3837" s="22">
        <f t="shared" si="1162"/>
        <v>1</v>
      </c>
      <c r="AT3837" s="24" t="str">
        <f t="shared" si="1163"/>
        <v>0-3 months</v>
      </c>
      <c r="AU3837" s="22" t="s">
        <v>3240</v>
      </c>
    </row>
    <row r="3838" spans="1:47">
      <c r="A3838" s="33" t="str">
        <f t="shared" si="1154"/>
        <v>FY 24/25</v>
      </c>
      <c r="B3838" s="23">
        <v>2024</v>
      </c>
      <c r="C3838" s="23">
        <v>12</v>
      </c>
      <c r="D3838" s="33" t="str">
        <f t="shared" si="1165"/>
        <v>Q3</v>
      </c>
      <c r="E3838" s="33" t="str">
        <f t="shared" si="1153"/>
        <v>FY 24/25</v>
      </c>
      <c r="F3838" s="23">
        <v>2024</v>
      </c>
      <c r="G3838" s="23">
        <v>12</v>
      </c>
      <c r="H3838" s="29"/>
      <c r="I3838" s="93" t="str">
        <f t="shared" si="1155"/>
        <v>Q3</v>
      </c>
      <c r="J3838" s="188" t="s">
        <v>3643</v>
      </c>
      <c r="K3838" s="29" t="s">
        <v>3644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67"/>
        <v>1.13</v>
      </c>
      <c r="Z3838" s="230">
        <f t="shared" si="1166"/>
        <v>490000</v>
      </c>
      <c r="AA3838" s="22">
        <v>1.0760000000000001</v>
      </c>
      <c r="AB3838" s="231">
        <f t="shared" si="1152"/>
        <v>466584.07079646026</v>
      </c>
      <c r="AC3838" s="25">
        <f t="shared" si="1156"/>
        <v>55990.088495575226</v>
      </c>
      <c r="AD3838" s="169">
        <v>0.12</v>
      </c>
      <c r="AE3838" s="26">
        <f t="shared" si="115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0"/>
        <v>15965524.256637167</v>
      </c>
      <c r="AJ3838" s="27">
        <f t="shared" si="1151"/>
        <v>2480116.5996584073</v>
      </c>
      <c r="AK3838" s="232">
        <f t="shared" si="1158"/>
        <v>0.15534200817911609</v>
      </c>
      <c r="AL3838" s="24"/>
      <c r="AM3838" s="24"/>
      <c r="AN3838" s="24"/>
      <c r="AO3838" s="24"/>
      <c r="AP3838" s="165" t="str">
        <f t="shared" si="1159"/>
        <v>202412</v>
      </c>
      <c r="AQ3838" s="233" t="str">
        <f t="shared" si="1160"/>
        <v>202412RMB</v>
      </c>
      <c r="AR3838" s="234" t="str">
        <f t="shared" si="1161"/>
        <v>YAMAHA_Mounter</v>
      </c>
      <c r="AS3838" s="22">
        <f t="shared" si="1162"/>
        <v>0</v>
      </c>
      <c r="AT3838" s="24" t="str">
        <f t="shared" si="1163"/>
        <v>0-3 months</v>
      </c>
      <c r="AU3838" s="22" t="s">
        <v>3240</v>
      </c>
    </row>
    <row r="3839" spans="1:47">
      <c r="A3839" s="33" t="str">
        <f t="shared" si="1154"/>
        <v>FY 24/25</v>
      </c>
      <c r="B3839" s="23">
        <v>2025</v>
      </c>
      <c r="C3839" s="23">
        <v>1</v>
      </c>
      <c r="D3839" s="33" t="str">
        <f t="shared" si="1165"/>
        <v>Q4</v>
      </c>
      <c r="E3839" s="33" t="str">
        <f t="shared" si="1153"/>
        <v>FY 24/25</v>
      </c>
      <c r="F3839" s="23">
        <v>2025</v>
      </c>
      <c r="G3839" s="23">
        <v>1</v>
      </c>
      <c r="H3839" s="29"/>
      <c r="I3839" s="93" t="str">
        <f t="shared" si="1155"/>
        <v>Q4</v>
      </c>
      <c r="J3839" s="188" t="s">
        <v>3671</v>
      </c>
      <c r="K3839" s="29" t="s">
        <v>3646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67"/>
        <v>1.13</v>
      </c>
      <c r="Z3839" s="230">
        <f t="shared" si="1166"/>
        <v>1100000</v>
      </c>
      <c r="AA3839" s="22">
        <v>1.0640000000000001</v>
      </c>
      <c r="AB3839" s="231">
        <f t="shared" si="1152"/>
        <v>1035752.2123893807</v>
      </c>
      <c r="AC3839" s="25">
        <f t="shared" si="1156"/>
        <v>139826.54867256639</v>
      </c>
      <c r="AD3839" s="169">
        <v>0.13500000000000001</v>
      </c>
      <c r="AE3839" s="26">
        <f t="shared" si="115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0"/>
        <v>16190947.162761064</v>
      </c>
      <c r="AJ3839" s="27">
        <f t="shared" si="1151"/>
        <v>2256328.1660673413</v>
      </c>
      <c r="AK3839" s="232">
        <f t="shared" si="1158"/>
        <v>0.13935739171929745</v>
      </c>
      <c r="AL3839" s="24"/>
      <c r="AM3839" s="24"/>
      <c r="AN3839" s="24"/>
      <c r="AO3839" s="24"/>
      <c r="AP3839" s="165" t="str">
        <f t="shared" si="1159"/>
        <v>20251</v>
      </c>
      <c r="AQ3839" s="233" t="str">
        <f t="shared" si="1160"/>
        <v>20251RMB</v>
      </c>
      <c r="AR3839" s="234" t="str">
        <f t="shared" si="1161"/>
        <v>YAMAHA_Mounter</v>
      </c>
      <c r="AS3839" s="22">
        <f t="shared" si="1162"/>
        <v>0</v>
      </c>
      <c r="AT3839" s="24" t="str">
        <f t="shared" si="1163"/>
        <v>0-3 months</v>
      </c>
      <c r="AU3839" s="22" t="s">
        <v>3751</v>
      </c>
    </row>
    <row r="3840" spans="1:47">
      <c r="A3840" s="33" t="str">
        <f t="shared" si="1154"/>
        <v>FY 24/25</v>
      </c>
      <c r="B3840" s="23">
        <v>2025</v>
      </c>
      <c r="C3840" s="23">
        <v>1</v>
      </c>
      <c r="D3840" s="33" t="str">
        <f t="shared" si="1165"/>
        <v>Q4</v>
      </c>
      <c r="E3840" s="33" t="str">
        <f t="shared" si="1153"/>
        <v>FY 24/25</v>
      </c>
      <c r="F3840" s="23">
        <v>2025</v>
      </c>
      <c r="G3840" s="23">
        <v>1</v>
      </c>
      <c r="H3840" s="29"/>
      <c r="I3840" s="93" t="str">
        <f t="shared" si="1155"/>
        <v>Q4</v>
      </c>
      <c r="J3840" s="188" t="s">
        <v>3671</v>
      </c>
      <c r="K3840" s="29" t="s">
        <v>3646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67"/>
        <v>1.13</v>
      </c>
      <c r="Z3840" s="230">
        <f t="shared" si="1166"/>
        <v>639000</v>
      </c>
      <c r="AA3840" s="22">
        <v>1.0640000000000001</v>
      </c>
      <c r="AB3840" s="231">
        <f t="shared" si="1152"/>
        <v>601677.8761061948</v>
      </c>
      <c r="AC3840" s="25">
        <f t="shared" si="1156"/>
        <v>81226.513274336306</v>
      </c>
      <c r="AD3840" s="169">
        <v>0.13500000000000001</v>
      </c>
      <c r="AE3840" s="26">
        <f t="shared" si="115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0"/>
        <v>16190947.162761064</v>
      </c>
      <c r="AJ3840" s="27">
        <f t="shared" si="1151"/>
        <v>2256328.1660673413</v>
      </c>
      <c r="AK3840" s="232">
        <f t="shared" si="1158"/>
        <v>0.13935739171929745</v>
      </c>
      <c r="AL3840" s="24"/>
      <c r="AM3840" s="24"/>
      <c r="AN3840" s="24"/>
      <c r="AO3840" s="24"/>
      <c r="AP3840" s="165" t="str">
        <f t="shared" si="1159"/>
        <v>20251</v>
      </c>
      <c r="AQ3840" s="233" t="str">
        <f t="shared" si="1160"/>
        <v>20251RMB</v>
      </c>
      <c r="AR3840" s="234" t="str">
        <f t="shared" si="1161"/>
        <v>YAMAHA_Mounter</v>
      </c>
      <c r="AS3840" s="22">
        <f t="shared" si="1162"/>
        <v>0</v>
      </c>
      <c r="AT3840" s="24" t="str">
        <f t="shared" si="1163"/>
        <v>0-3 months</v>
      </c>
      <c r="AU3840" s="22" t="s">
        <v>3751</v>
      </c>
    </row>
    <row r="3841" spans="1:47">
      <c r="A3841" s="33" t="str">
        <f t="shared" si="1154"/>
        <v>FY 24/25</v>
      </c>
      <c r="B3841" s="23">
        <v>2024</v>
      </c>
      <c r="C3841" s="23">
        <v>12</v>
      </c>
      <c r="D3841" s="33" t="str">
        <f t="shared" si="1165"/>
        <v>Q3</v>
      </c>
      <c r="E3841" s="33" t="str">
        <f t="shared" si="1153"/>
        <v>FY 24/25</v>
      </c>
      <c r="F3841" s="23">
        <v>2025</v>
      </c>
      <c r="G3841" s="23">
        <v>2</v>
      </c>
      <c r="H3841" s="29"/>
      <c r="I3841" s="93" t="str">
        <f t="shared" si="1155"/>
        <v>Q4</v>
      </c>
      <c r="J3841" s="188" t="s">
        <v>3647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67"/>
        <v>1</v>
      </c>
      <c r="Z3841" s="230">
        <f t="shared" si="1166"/>
        <v>60000</v>
      </c>
      <c r="AA3841" s="22">
        <v>7.8</v>
      </c>
      <c r="AB3841" s="231">
        <f t="shared" si="1152"/>
        <v>468000</v>
      </c>
      <c r="AC3841" s="25">
        <f t="shared" si="1156"/>
        <v>123645.59999999999</v>
      </c>
      <c r="AD3841" s="170">
        <v>0.26419999999999999</v>
      </c>
      <c r="AE3841" s="26">
        <f t="shared" si="115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0"/>
        <v>30691842.970796466</v>
      </c>
      <c r="AJ3841" s="27">
        <f t="shared" si="1151"/>
        <v>4088324.205777524</v>
      </c>
      <c r="AK3841" s="232">
        <f t="shared" si="1158"/>
        <v>0.1332055624573473</v>
      </c>
      <c r="AL3841" s="24"/>
      <c r="AM3841" s="24"/>
      <c r="AN3841" s="24"/>
      <c r="AO3841" s="24"/>
      <c r="AP3841" s="165" t="str">
        <f t="shared" si="1159"/>
        <v>20252</v>
      </c>
      <c r="AQ3841" s="233" t="str">
        <f t="shared" si="1160"/>
        <v>20252USD</v>
      </c>
      <c r="AR3841" s="234" t="str">
        <f t="shared" si="1161"/>
        <v>YAMAHA_Mounter</v>
      </c>
      <c r="AS3841" s="22">
        <f t="shared" si="1162"/>
        <v>2</v>
      </c>
      <c r="AT3841" s="24" t="str">
        <f t="shared" si="1163"/>
        <v>0-3 months</v>
      </c>
      <c r="AU3841" s="22" t="s">
        <v>3746</v>
      </c>
    </row>
    <row r="3842" spans="1:47">
      <c r="A3842" s="33" t="str">
        <f t="shared" si="1154"/>
        <v>FY 24/25</v>
      </c>
      <c r="B3842" s="23">
        <v>2024</v>
      </c>
      <c r="C3842" s="23">
        <v>12</v>
      </c>
      <c r="D3842" s="33" t="str">
        <f t="shared" si="1165"/>
        <v>Q3</v>
      </c>
      <c r="E3842" s="33" t="str">
        <f t="shared" si="1153"/>
        <v>FY 24/25</v>
      </c>
      <c r="F3842" s="23">
        <v>2025</v>
      </c>
      <c r="G3842" s="23">
        <v>2</v>
      </c>
      <c r="H3842" s="29"/>
      <c r="I3842" s="93" t="str">
        <f t="shared" si="1155"/>
        <v>Q4</v>
      </c>
      <c r="J3842" s="188" t="s">
        <v>3647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67"/>
        <v>1</v>
      </c>
      <c r="Z3842" s="230">
        <f t="shared" si="1166"/>
        <v>60000</v>
      </c>
      <c r="AA3842" s="22">
        <v>7.8</v>
      </c>
      <c r="AB3842" s="231">
        <f t="shared" si="1152"/>
        <v>468000</v>
      </c>
      <c r="AC3842" s="25">
        <f t="shared" si="1156"/>
        <v>123645.59999999999</v>
      </c>
      <c r="AD3842" s="170">
        <v>0.26419999999999999</v>
      </c>
      <c r="AE3842" s="26">
        <f t="shared" si="115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68">IF(P3842="C66 SERVICE","",SUMIFS(AB:AB,F:F,F3842,G:G,G3842,E:E,E3842))</f>
        <v>30691842.970796466</v>
      </c>
      <c r="AJ3842" s="27">
        <f t="shared" ref="AJ3842:AJ3905" si="1169">IF(P3842="C66 SERVICE","",SUMIFS(AC:AC,F:F,F3842,G:G,G3842,E:E,E3842))</f>
        <v>4088324.205777524</v>
      </c>
      <c r="AK3842" s="232">
        <f t="shared" si="1158"/>
        <v>0.1332055624573473</v>
      </c>
      <c r="AL3842" s="24"/>
      <c r="AM3842" s="24"/>
      <c r="AN3842" s="24"/>
      <c r="AO3842" s="24"/>
      <c r="AP3842" s="165" t="str">
        <f t="shared" si="1159"/>
        <v>20252</v>
      </c>
      <c r="AQ3842" s="233" t="str">
        <f t="shared" si="1160"/>
        <v>20252USD</v>
      </c>
      <c r="AR3842" s="234" t="str">
        <f t="shared" si="1161"/>
        <v>YAMAHA_Mounter</v>
      </c>
      <c r="AS3842" s="22">
        <f t="shared" si="1162"/>
        <v>2</v>
      </c>
      <c r="AT3842" s="24" t="str">
        <f t="shared" si="1163"/>
        <v>0-3 months</v>
      </c>
      <c r="AU3842" s="22" t="s">
        <v>3746</v>
      </c>
    </row>
    <row r="3843" spans="1:47">
      <c r="A3843" s="33" t="str">
        <f t="shared" si="1154"/>
        <v>FY 24/25</v>
      </c>
      <c r="B3843" s="23">
        <v>2024</v>
      </c>
      <c r="C3843" s="23">
        <v>12</v>
      </c>
      <c r="D3843" s="33" t="str">
        <f t="shared" si="1165"/>
        <v>Q3</v>
      </c>
      <c r="E3843" s="33" t="str">
        <f t="shared" si="1153"/>
        <v>FY 24/25</v>
      </c>
      <c r="F3843" s="23">
        <v>2025</v>
      </c>
      <c r="G3843" s="23">
        <v>1</v>
      </c>
      <c r="H3843" s="29"/>
      <c r="I3843" s="93" t="str">
        <f t="shared" si="1155"/>
        <v>Q4</v>
      </c>
      <c r="J3843" s="188" t="s">
        <v>3648</v>
      </c>
      <c r="K3843" s="29" t="s">
        <v>3649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67"/>
        <v>1</v>
      </c>
      <c r="Z3843" s="230">
        <f t="shared" si="1166"/>
        <v>8700000</v>
      </c>
      <c r="AA3843" s="22">
        <v>5.0599999999999999E-2</v>
      </c>
      <c r="AB3843" s="231">
        <f t="shared" si="1152"/>
        <v>440220</v>
      </c>
      <c r="AC3843" s="25">
        <f t="shared" si="1156"/>
        <v>45650.813999999998</v>
      </c>
      <c r="AD3843" s="169">
        <v>0.1037</v>
      </c>
      <c r="AE3843" s="26">
        <f t="shared" si="115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68"/>
        <v>16190947.162761064</v>
      </c>
      <c r="AJ3843" s="27">
        <f t="shared" si="1169"/>
        <v>2256328.1660673413</v>
      </c>
      <c r="AK3843" s="232">
        <f t="shared" si="1158"/>
        <v>0.13935739171929745</v>
      </c>
      <c r="AL3843" s="24"/>
      <c r="AM3843" s="24"/>
      <c r="AN3843" s="24"/>
      <c r="AO3843" s="24"/>
      <c r="AP3843" s="165" t="str">
        <f t="shared" si="1159"/>
        <v>20251</v>
      </c>
      <c r="AQ3843" s="233" t="str">
        <f t="shared" si="1160"/>
        <v>20251JPY</v>
      </c>
      <c r="AR3843" s="234" t="str">
        <f t="shared" si="1161"/>
        <v>YAMAHA_Mounter</v>
      </c>
      <c r="AS3843" s="22">
        <f t="shared" si="1162"/>
        <v>1</v>
      </c>
      <c r="AT3843" s="24" t="str">
        <f t="shared" si="1163"/>
        <v>0-3 months</v>
      </c>
      <c r="AU3843" s="22" t="s">
        <v>3745</v>
      </c>
    </row>
    <row r="3844" spans="1:47">
      <c r="A3844" s="33" t="str">
        <f t="shared" si="1154"/>
        <v>FY 24/25</v>
      </c>
      <c r="B3844" s="23">
        <v>2024</v>
      </c>
      <c r="C3844" s="23">
        <v>12</v>
      </c>
      <c r="D3844" s="33" t="str">
        <f t="shared" si="1165"/>
        <v>Q3</v>
      </c>
      <c r="E3844" s="33" t="str">
        <f t="shared" si="1153"/>
        <v>FY 24/25</v>
      </c>
      <c r="F3844" s="23">
        <v>2025</v>
      </c>
      <c r="G3844" s="23">
        <v>2</v>
      </c>
      <c r="H3844" s="29"/>
      <c r="I3844" s="93" t="str">
        <f t="shared" si="1155"/>
        <v>Q4</v>
      </c>
      <c r="J3844" s="188" t="s">
        <v>3650</v>
      </c>
      <c r="K3844" s="29" t="s">
        <v>579</v>
      </c>
      <c r="L3844" s="24" t="s">
        <v>3651</v>
      </c>
      <c r="M3844" s="13" t="s">
        <v>2607</v>
      </c>
      <c r="N3844" s="22">
        <v>1</v>
      </c>
      <c r="O3844" s="22"/>
      <c r="P3844" s="33" t="str">
        <f t="shared" si="116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67"/>
        <v>1.13</v>
      </c>
      <c r="Z3844" s="230">
        <f t="shared" si="1166"/>
        <v>518500</v>
      </c>
      <c r="AA3844" s="22">
        <v>1.073</v>
      </c>
      <c r="AB3844" s="231">
        <f t="shared" si="1152"/>
        <v>492345.57522123895</v>
      </c>
      <c r="AC3844" s="25">
        <f t="shared" si="1156"/>
        <v>49973.075884955753</v>
      </c>
      <c r="AD3844" s="170">
        <v>0.10150000000000001</v>
      </c>
      <c r="AE3844" s="26">
        <f t="shared" si="115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68"/>
        <v>30691842.970796466</v>
      </c>
      <c r="AJ3844" s="27">
        <f t="shared" si="1169"/>
        <v>4088324.205777524</v>
      </c>
      <c r="AK3844" s="232">
        <f t="shared" si="1158"/>
        <v>0.1332055624573473</v>
      </c>
      <c r="AL3844" s="24"/>
      <c r="AM3844" s="24"/>
      <c r="AN3844" s="24"/>
      <c r="AO3844" s="24"/>
      <c r="AP3844" s="165" t="str">
        <f t="shared" si="1159"/>
        <v>20252</v>
      </c>
      <c r="AQ3844" s="233" t="str">
        <f t="shared" si="1160"/>
        <v>20252RMB</v>
      </c>
      <c r="AR3844" s="234" t="str">
        <f t="shared" si="1161"/>
        <v>HELLER</v>
      </c>
      <c r="AS3844" s="22">
        <f t="shared" si="1162"/>
        <v>2</v>
      </c>
      <c r="AT3844" s="24" t="str">
        <f t="shared" si="1163"/>
        <v>0-3 months</v>
      </c>
      <c r="AU3844" s="22" t="s">
        <v>3240</v>
      </c>
    </row>
    <row r="3845" spans="1:47">
      <c r="A3845" s="33" t="str">
        <f t="shared" si="1154"/>
        <v>FY 24/25</v>
      </c>
      <c r="B3845" s="23">
        <v>2024</v>
      </c>
      <c r="C3845" s="23">
        <v>12</v>
      </c>
      <c r="D3845" s="33" t="str">
        <f t="shared" si="1165"/>
        <v>Q3</v>
      </c>
      <c r="E3845" s="33" t="str">
        <f t="shared" si="1153"/>
        <v>FY 24/25</v>
      </c>
      <c r="F3845" s="23">
        <v>2025</v>
      </c>
      <c r="G3845" s="23">
        <v>2</v>
      </c>
      <c r="H3845" s="29"/>
      <c r="I3845" s="93" t="str">
        <f t="shared" si="1155"/>
        <v>Q4</v>
      </c>
      <c r="J3845" s="188" t="s">
        <v>3668</v>
      </c>
      <c r="K3845" s="29" t="s">
        <v>3653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67"/>
        <v>1</v>
      </c>
      <c r="Z3845" s="230">
        <f t="shared" si="1166"/>
        <v>8000000</v>
      </c>
      <c r="AA3845" s="22">
        <v>5.11E-2</v>
      </c>
      <c r="AB3845" s="231">
        <f t="shared" si="1152"/>
        <v>408800</v>
      </c>
      <c r="AC3845" s="25">
        <f t="shared" si="1156"/>
        <v>33480.720000000001</v>
      </c>
      <c r="AD3845" s="170">
        <v>8.1900000000000001E-2</v>
      </c>
      <c r="AE3845" s="26">
        <f t="shared" si="115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68"/>
        <v>30691842.970796466</v>
      </c>
      <c r="AJ3845" s="27">
        <f t="shared" si="1169"/>
        <v>4088324.205777524</v>
      </c>
      <c r="AK3845" s="232">
        <f t="shared" si="1158"/>
        <v>0.1332055624573473</v>
      </c>
      <c r="AL3845" s="24"/>
      <c r="AM3845" s="24"/>
      <c r="AN3845" s="24"/>
      <c r="AO3845" s="24"/>
      <c r="AP3845" s="165" t="str">
        <f t="shared" si="1159"/>
        <v>20252</v>
      </c>
      <c r="AQ3845" s="233" t="str">
        <f t="shared" si="1160"/>
        <v>20252JPY</v>
      </c>
      <c r="AR3845" s="234" t="str">
        <f t="shared" si="1161"/>
        <v>YAMAHA_Mounter</v>
      </c>
      <c r="AS3845" s="22">
        <f t="shared" si="1162"/>
        <v>2</v>
      </c>
      <c r="AT3845" s="24" t="str">
        <f t="shared" si="1163"/>
        <v>0-3 months</v>
      </c>
      <c r="AU3845" s="22" t="s">
        <v>3745</v>
      </c>
    </row>
    <row r="3846" spans="1:47">
      <c r="A3846" s="33" t="str">
        <f t="shared" si="1154"/>
        <v>FY 24/25</v>
      </c>
      <c r="B3846" s="23">
        <v>2025</v>
      </c>
      <c r="C3846" s="23">
        <v>1</v>
      </c>
      <c r="D3846" s="33" t="str">
        <f t="shared" si="1165"/>
        <v>Q4</v>
      </c>
      <c r="E3846" s="33" t="str">
        <f t="shared" si="1153"/>
        <v>FY 24/25</v>
      </c>
      <c r="F3846" s="23">
        <v>2025</v>
      </c>
      <c r="G3846" s="23">
        <v>2</v>
      </c>
      <c r="H3846" s="29"/>
      <c r="I3846" s="93" t="str">
        <f t="shared" si="1155"/>
        <v>Q4</v>
      </c>
      <c r="J3846" s="188" t="s">
        <v>3668</v>
      </c>
      <c r="K3846" s="29" t="s">
        <v>3653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67"/>
        <v>1</v>
      </c>
      <c r="Z3846" s="230">
        <f t="shared" si="1166"/>
        <v>13000000</v>
      </c>
      <c r="AA3846" s="22">
        <v>5.11E-2</v>
      </c>
      <c r="AB3846" s="231">
        <f t="shared" si="1152"/>
        <v>664300</v>
      </c>
      <c r="AC3846" s="25">
        <f t="shared" si="1156"/>
        <v>54406.17</v>
      </c>
      <c r="AD3846" s="170">
        <v>8.1900000000000001E-2</v>
      </c>
      <c r="AE3846" s="26">
        <f t="shared" si="115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68"/>
        <v>30691842.970796466</v>
      </c>
      <c r="AJ3846" s="27">
        <f t="shared" si="1169"/>
        <v>4088324.205777524</v>
      </c>
      <c r="AK3846" s="232">
        <f t="shared" si="1158"/>
        <v>0.1332055624573473</v>
      </c>
      <c r="AL3846" s="24"/>
      <c r="AM3846" s="24"/>
      <c r="AN3846" s="24"/>
      <c r="AO3846" s="24"/>
      <c r="AP3846" s="165" t="str">
        <f t="shared" si="1159"/>
        <v>20252</v>
      </c>
      <c r="AQ3846" s="233" t="str">
        <f t="shared" si="1160"/>
        <v>20252JPY</v>
      </c>
      <c r="AR3846" s="234" t="str">
        <f t="shared" si="1161"/>
        <v>YAMAHA_Mounter</v>
      </c>
      <c r="AS3846" s="22">
        <f t="shared" si="1162"/>
        <v>1</v>
      </c>
      <c r="AT3846" s="24" t="str">
        <f t="shared" si="1163"/>
        <v>0-3 months</v>
      </c>
      <c r="AU3846" s="22" t="s">
        <v>3745</v>
      </c>
    </row>
    <row r="3847" spans="1:47">
      <c r="A3847" s="33" t="str">
        <f t="shared" si="1154"/>
        <v>FY 24/25</v>
      </c>
      <c r="B3847" s="23">
        <v>2024</v>
      </c>
      <c r="C3847" s="23">
        <v>12</v>
      </c>
      <c r="D3847" s="33" t="str">
        <f t="shared" si="1165"/>
        <v>Q3</v>
      </c>
      <c r="E3847" s="33" t="str">
        <f t="shared" si="1153"/>
        <v>FY 24/25</v>
      </c>
      <c r="F3847" s="23">
        <v>2025</v>
      </c>
      <c r="G3847" s="23">
        <v>1</v>
      </c>
      <c r="H3847" s="29"/>
      <c r="I3847" s="93" t="str">
        <f t="shared" si="1155"/>
        <v>Q4</v>
      </c>
      <c r="J3847" s="188" t="s">
        <v>3654</v>
      </c>
      <c r="K3847" s="29" t="s">
        <v>3655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67"/>
        <v>1.13</v>
      </c>
      <c r="Z3847" s="230">
        <f t="shared" si="1166"/>
        <v>450000</v>
      </c>
      <c r="AA3847" s="22">
        <v>1.0640000000000001</v>
      </c>
      <c r="AB3847" s="231">
        <f t="shared" si="1152"/>
        <v>423716.81415929209</v>
      </c>
      <c r="AC3847" s="25">
        <f t="shared" si="1156"/>
        <v>22075.646017699117</v>
      </c>
      <c r="AD3847" s="236">
        <v>5.21E-2</v>
      </c>
      <c r="AE3847" s="26">
        <f t="shared" si="115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68"/>
        <v>16190947.162761064</v>
      </c>
      <c r="AJ3847" s="27">
        <f t="shared" si="1169"/>
        <v>2256328.1660673413</v>
      </c>
      <c r="AK3847" s="232">
        <f t="shared" si="1158"/>
        <v>0.13935739171929745</v>
      </c>
      <c r="AL3847" s="24"/>
      <c r="AM3847" s="24"/>
      <c r="AN3847" s="24"/>
      <c r="AO3847" s="24"/>
      <c r="AP3847" s="165" t="str">
        <f t="shared" si="1159"/>
        <v>20251</v>
      </c>
      <c r="AQ3847" s="233" t="str">
        <f t="shared" si="1160"/>
        <v>20251RMB</v>
      </c>
      <c r="AR3847" s="234" t="str">
        <f t="shared" si="1161"/>
        <v>YAMAHA_Mounter</v>
      </c>
      <c r="AS3847" s="22">
        <f t="shared" si="1162"/>
        <v>1</v>
      </c>
      <c r="AT3847" s="24" t="str">
        <f t="shared" si="1163"/>
        <v>0-3 months</v>
      </c>
      <c r="AU3847" s="22" t="s">
        <v>3240</v>
      </c>
    </row>
    <row r="3848" spans="1:47">
      <c r="A3848" s="33" t="str">
        <f t="shared" si="1154"/>
        <v>FY 24/25</v>
      </c>
      <c r="B3848" s="23">
        <v>2025</v>
      </c>
      <c r="C3848" s="23">
        <v>1</v>
      </c>
      <c r="D3848" s="33" t="str">
        <f t="shared" si="1165"/>
        <v>Q4</v>
      </c>
      <c r="E3848" s="33" t="str">
        <f t="shared" si="1153"/>
        <v>FY 24/25</v>
      </c>
      <c r="F3848" s="23">
        <v>2025</v>
      </c>
      <c r="G3848" s="23">
        <v>3</v>
      </c>
      <c r="H3848" s="29"/>
      <c r="I3848" s="93" t="str">
        <f t="shared" si="1155"/>
        <v>Q4</v>
      </c>
      <c r="J3848" s="188" t="s">
        <v>3656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67"/>
        <v>1</v>
      </c>
      <c r="Z3848" s="230">
        <f t="shared" si="1166"/>
        <v>14560000</v>
      </c>
      <c r="AA3848" s="22">
        <v>5.2999999999999999E-2</v>
      </c>
      <c r="AB3848" s="231">
        <f t="shared" si="1152"/>
        <v>771680</v>
      </c>
      <c r="AC3848" s="25">
        <f t="shared" si="1156"/>
        <v>92601.599999999991</v>
      </c>
      <c r="AD3848" s="169">
        <v>0.12</v>
      </c>
      <c r="AE3848" s="26">
        <f t="shared" si="115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68"/>
        <v>17727707.415929206</v>
      </c>
      <c r="AJ3848" s="27">
        <f t="shared" si="1169"/>
        <v>2127324.8899115045</v>
      </c>
      <c r="AK3848" s="232">
        <f t="shared" si="1158"/>
        <v>0.11999999999999998</v>
      </c>
      <c r="AL3848" s="24"/>
      <c r="AM3848" s="24"/>
      <c r="AN3848" s="24"/>
      <c r="AO3848" s="24"/>
      <c r="AP3848" s="165" t="str">
        <f t="shared" si="1159"/>
        <v>20253</v>
      </c>
      <c r="AQ3848" s="233" t="str">
        <f t="shared" si="1160"/>
        <v>20253JPY</v>
      </c>
      <c r="AR3848" s="234" t="str">
        <f t="shared" si="1161"/>
        <v>YAMAHA_Mounter</v>
      </c>
      <c r="AS3848" s="22">
        <f t="shared" si="1162"/>
        <v>2</v>
      </c>
      <c r="AT3848" s="24" t="str">
        <f t="shared" si="1163"/>
        <v>0-3 months</v>
      </c>
      <c r="AU3848" s="22" t="s">
        <v>3745</v>
      </c>
    </row>
    <row r="3849" spans="1:47">
      <c r="A3849" s="33" t="str">
        <f t="shared" si="1154"/>
        <v>FY 24/25</v>
      </c>
      <c r="B3849" s="23">
        <v>2024</v>
      </c>
      <c r="C3849" s="23">
        <v>11</v>
      </c>
      <c r="D3849" s="33" t="str">
        <f t="shared" si="1165"/>
        <v>Q3</v>
      </c>
      <c r="E3849" s="33" t="str">
        <f t="shared" si="1153"/>
        <v>FY 25/26</v>
      </c>
      <c r="F3849" s="23">
        <v>2025</v>
      </c>
      <c r="G3849" s="23">
        <v>4</v>
      </c>
      <c r="H3849" s="29"/>
      <c r="I3849" s="93" t="str">
        <f t="shared" si="1155"/>
        <v>Q1</v>
      </c>
      <c r="J3849" s="188" t="s">
        <v>3657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67"/>
        <v>1.13</v>
      </c>
      <c r="Z3849" s="230">
        <f t="shared" si="1166"/>
        <v>620000</v>
      </c>
      <c r="AA3849" s="22">
        <v>1.0669999999999999</v>
      </c>
      <c r="AB3849" s="231">
        <f t="shared" si="1152"/>
        <v>585433.62831858417</v>
      </c>
      <c r="AC3849" s="25">
        <f t="shared" si="1156"/>
        <v>70252.035398230102</v>
      </c>
      <c r="AD3849" s="169">
        <v>0.12</v>
      </c>
      <c r="AE3849" s="26">
        <f t="shared" si="115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68"/>
        <v>29497483.159292053</v>
      </c>
      <c r="AJ3849" s="27">
        <f t="shared" si="1169"/>
        <v>3539697.9791150414</v>
      </c>
      <c r="AK3849" s="232">
        <f t="shared" si="1158"/>
        <v>0.11999999999999983</v>
      </c>
      <c r="AL3849" s="24"/>
      <c r="AM3849" s="24"/>
      <c r="AN3849" s="24"/>
      <c r="AO3849" s="24"/>
      <c r="AP3849" s="165" t="str">
        <f t="shared" si="1159"/>
        <v>20254</v>
      </c>
      <c r="AQ3849" s="233" t="str">
        <f t="shared" si="1160"/>
        <v>20254RMB</v>
      </c>
      <c r="AR3849" s="234" t="str">
        <f t="shared" si="1161"/>
        <v>YAMAHA_Mounter</v>
      </c>
      <c r="AS3849" s="22">
        <f t="shared" si="1162"/>
        <v>5</v>
      </c>
      <c r="AT3849" s="24" t="str">
        <f t="shared" si="1163"/>
        <v>4-6 months</v>
      </c>
      <c r="AU3849" s="22" t="s">
        <v>3240</v>
      </c>
    </row>
    <row r="3850" spans="1:47">
      <c r="A3850" s="33" t="str">
        <f t="shared" si="1154"/>
        <v>FY 24/25</v>
      </c>
      <c r="B3850" s="23">
        <v>2025</v>
      </c>
      <c r="C3850" s="23">
        <v>1</v>
      </c>
      <c r="D3850" s="33" t="str">
        <f t="shared" si="1165"/>
        <v>Q4</v>
      </c>
      <c r="E3850" s="33" t="str">
        <f t="shared" si="1153"/>
        <v>FY 24/25</v>
      </c>
      <c r="F3850" s="23">
        <v>2025</v>
      </c>
      <c r="G3850" s="23">
        <v>2</v>
      </c>
      <c r="H3850" s="29"/>
      <c r="I3850" s="93" t="str">
        <f t="shared" si="1155"/>
        <v>Q4</v>
      </c>
      <c r="J3850" s="188" t="s">
        <v>3658</v>
      </c>
      <c r="K3850" s="29" t="s">
        <v>3659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167"/>
        <v>1</v>
      </c>
      <c r="Z3850" s="230">
        <f t="shared" si="1166"/>
        <v>12660000</v>
      </c>
      <c r="AA3850" s="22">
        <v>5.11E-2</v>
      </c>
      <c r="AB3850" s="231">
        <f t="shared" si="1152"/>
        <v>646926</v>
      </c>
      <c r="AC3850" s="25">
        <f t="shared" si="1156"/>
        <v>84359.150399999999</v>
      </c>
      <c r="AD3850" s="170">
        <v>0.13039999999999999</v>
      </c>
      <c r="AE3850" s="26">
        <f t="shared" si="115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68"/>
        <v>30691842.970796466</v>
      </c>
      <c r="AJ3850" s="27">
        <f t="shared" si="1169"/>
        <v>4088324.205777524</v>
      </c>
      <c r="AK3850" s="232">
        <f t="shared" si="1158"/>
        <v>0.1332055624573473</v>
      </c>
      <c r="AL3850" s="24"/>
      <c r="AM3850" s="24"/>
      <c r="AN3850" s="24"/>
      <c r="AO3850" s="24"/>
      <c r="AP3850" s="165" t="str">
        <f t="shared" si="1159"/>
        <v>20252</v>
      </c>
      <c r="AQ3850" s="233" t="str">
        <f t="shared" si="1160"/>
        <v>20252JPY</v>
      </c>
      <c r="AR3850" s="234" t="str">
        <f t="shared" si="1161"/>
        <v>YAMAHA_Mounter</v>
      </c>
      <c r="AS3850" s="22">
        <f t="shared" si="1162"/>
        <v>1</v>
      </c>
      <c r="AT3850" s="24" t="str">
        <f t="shared" si="1163"/>
        <v>0-3 months</v>
      </c>
      <c r="AU3850" s="22" t="s">
        <v>3745</v>
      </c>
    </row>
    <row r="3851" spans="1:47">
      <c r="A3851" s="33" t="str">
        <f t="shared" si="1154"/>
        <v>FY 24/25</v>
      </c>
      <c r="B3851" s="23">
        <v>2025</v>
      </c>
      <c r="C3851" s="23">
        <v>1</v>
      </c>
      <c r="D3851" s="33" t="str">
        <f t="shared" si="1165"/>
        <v>Q4</v>
      </c>
      <c r="E3851" s="33" t="str">
        <f t="shared" si="1153"/>
        <v>FY 24/25</v>
      </c>
      <c r="F3851" s="23">
        <v>2025</v>
      </c>
      <c r="G3851" s="23">
        <v>2</v>
      </c>
      <c r="H3851" s="29"/>
      <c r="I3851" s="93" t="str">
        <f t="shared" si="1155"/>
        <v>Q4</v>
      </c>
      <c r="J3851" s="188" t="s">
        <v>3658</v>
      </c>
      <c r="K3851" s="29" t="s">
        <v>3659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167"/>
        <v>1</v>
      </c>
      <c r="Z3851" s="230">
        <f t="shared" si="1166"/>
        <v>9000000</v>
      </c>
      <c r="AA3851" s="22">
        <v>5.11E-2</v>
      </c>
      <c r="AB3851" s="231">
        <f t="shared" si="1152"/>
        <v>459900</v>
      </c>
      <c r="AC3851" s="25">
        <f t="shared" si="1156"/>
        <v>59970.959999999992</v>
      </c>
      <c r="AD3851" s="170">
        <v>0.13039999999999999</v>
      </c>
      <c r="AE3851" s="26">
        <f t="shared" si="115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68"/>
        <v>30691842.970796466</v>
      </c>
      <c r="AJ3851" s="27">
        <f t="shared" si="1169"/>
        <v>4088324.205777524</v>
      </c>
      <c r="AK3851" s="232">
        <f t="shared" si="1158"/>
        <v>0.1332055624573473</v>
      </c>
      <c r="AL3851" s="24"/>
      <c r="AM3851" s="24"/>
      <c r="AN3851" s="24"/>
      <c r="AO3851" s="24"/>
      <c r="AP3851" s="165" t="str">
        <f t="shared" si="1159"/>
        <v>20252</v>
      </c>
      <c r="AQ3851" s="233" t="str">
        <f t="shared" si="1160"/>
        <v>20252JPY</v>
      </c>
      <c r="AR3851" s="234" t="str">
        <f t="shared" si="1161"/>
        <v>YAMAHA_Mounter</v>
      </c>
      <c r="AS3851" s="22">
        <f t="shared" si="1162"/>
        <v>1</v>
      </c>
      <c r="AT3851" s="24" t="str">
        <f t="shared" si="1163"/>
        <v>0-3 months</v>
      </c>
      <c r="AU3851" s="22" t="s">
        <v>3745</v>
      </c>
    </row>
    <row r="3852" spans="1:47">
      <c r="A3852" s="33" t="str">
        <f t="shared" si="1154"/>
        <v>FY 24/25</v>
      </c>
      <c r="B3852" s="23">
        <v>2024</v>
      </c>
      <c r="C3852" s="23">
        <v>10</v>
      </c>
      <c r="D3852" s="202" t="str">
        <f t="shared" si="1165"/>
        <v>Q3</v>
      </c>
      <c r="E3852" s="33" t="str">
        <f t="shared" si="1153"/>
        <v>FY 24/25</v>
      </c>
      <c r="F3852" s="23">
        <v>2025</v>
      </c>
      <c r="G3852" s="23">
        <v>1</v>
      </c>
      <c r="H3852" s="29"/>
      <c r="I3852" s="204" t="str">
        <f t="shared" si="1155"/>
        <v>Q4</v>
      </c>
      <c r="J3852" s="188" t="s">
        <v>3652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167"/>
        <v>1</v>
      </c>
      <c r="Z3852" s="196">
        <f t="shared" si="1166"/>
        <v>35700</v>
      </c>
      <c r="AA3852" s="22">
        <v>7.8</v>
      </c>
      <c r="AB3852" s="197">
        <f t="shared" si="1152"/>
        <v>278460</v>
      </c>
      <c r="AC3852" s="198">
        <f t="shared" si="1156"/>
        <v>110186.622</v>
      </c>
      <c r="AD3852" s="169">
        <v>0.3957</v>
      </c>
      <c r="AE3852" s="199">
        <f t="shared" si="115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68"/>
        <v>16190947.162761064</v>
      </c>
      <c r="AJ3852" s="200">
        <f t="shared" si="1169"/>
        <v>2256328.1660673413</v>
      </c>
      <c r="AK3852" s="201">
        <f t="shared" si="1158"/>
        <v>0.13935739171929745</v>
      </c>
      <c r="AL3852" s="24"/>
      <c r="AM3852" s="24"/>
      <c r="AN3852" s="24"/>
      <c r="AO3852" s="24"/>
      <c r="AP3852" s="165" t="str">
        <f t="shared" si="1159"/>
        <v>20251</v>
      </c>
      <c r="AQ3852" s="203" t="str">
        <f t="shared" si="1160"/>
        <v>20251USD</v>
      </c>
      <c r="AR3852" s="206" t="str">
        <f t="shared" si="1161"/>
        <v>YAMAHA_Non_Mounter</v>
      </c>
      <c r="AS3852" s="22">
        <f t="shared" si="1162"/>
        <v>3</v>
      </c>
      <c r="AT3852" s="24" t="str">
        <f t="shared" si="1163"/>
        <v>0-3 months</v>
      </c>
      <c r="AU3852" s="22" t="s">
        <v>3748</v>
      </c>
    </row>
    <row r="3853" spans="1:47">
      <c r="A3853" s="33" t="str">
        <f t="shared" si="1154"/>
        <v>FY 24/25</v>
      </c>
      <c r="B3853" s="23">
        <v>2024</v>
      </c>
      <c r="C3853" s="23">
        <v>10</v>
      </c>
      <c r="D3853" s="202" t="str">
        <f t="shared" si="1165"/>
        <v>Q3</v>
      </c>
      <c r="E3853" s="33" t="str">
        <f t="shared" si="1153"/>
        <v>FY 24/25</v>
      </c>
      <c r="F3853" s="23">
        <v>2025</v>
      </c>
      <c r="G3853" s="23">
        <v>1</v>
      </c>
      <c r="H3853" s="29"/>
      <c r="I3853" s="204" t="str">
        <f t="shared" si="1155"/>
        <v>Q4</v>
      </c>
      <c r="J3853" s="188" t="s">
        <v>3652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167"/>
        <v>1</v>
      </c>
      <c r="Z3853" s="196">
        <f t="shared" si="1166"/>
        <v>84150</v>
      </c>
      <c r="AA3853" s="22">
        <v>7.8</v>
      </c>
      <c r="AB3853" s="197">
        <f t="shared" si="1152"/>
        <v>656370</v>
      </c>
      <c r="AC3853" s="198">
        <f t="shared" si="1156"/>
        <v>259725.609</v>
      </c>
      <c r="AD3853" s="169">
        <v>0.3957</v>
      </c>
      <c r="AE3853" s="199">
        <f t="shared" si="115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68"/>
        <v>16190947.162761064</v>
      </c>
      <c r="AJ3853" s="200">
        <f t="shared" si="1169"/>
        <v>2256328.1660673413</v>
      </c>
      <c r="AK3853" s="201">
        <f t="shared" si="1158"/>
        <v>0.13935739171929745</v>
      </c>
      <c r="AL3853" s="24"/>
      <c r="AM3853" s="24"/>
      <c r="AN3853" s="24"/>
      <c r="AO3853" s="24"/>
      <c r="AP3853" s="165" t="str">
        <f t="shared" si="1159"/>
        <v>20251</v>
      </c>
      <c r="AQ3853" s="203" t="str">
        <f t="shared" si="1160"/>
        <v>20251USD</v>
      </c>
      <c r="AR3853" s="206" t="str">
        <f t="shared" si="1161"/>
        <v>YAMAHA_Non_Mounter</v>
      </c>
      <c r="AS3853" s="22">
        <f t="shared" si="1162"/>
        <v>3</v>
      </c>
      <c r="AT3853" s="24" t="str">
        <f t="shared" si="1163"/>
        <v>0-3 months</v>
      </c>
      <c r="AU3853" s="22" t="s">
        <v>3748</v>
      </c>
    </row>
    <row r="3854" spans="1:47">
      <c r="A3854" s="33" t="str">
        <f t="shared" si="1154"/>
        <v>FY 24/25</v>
      </c>
      <c r="B3854" s="23">
        <v>2024</v>
      </c>
      <c r="C3854" s="23">
        <v>12</v>
      </c>
      <c r="D3854" s="202" t="str">
        <f t="shared" si="1165"/>
        <v>Q3</v>
      </c>
      <c r="E3854" s="33" t="str">
        <f t="shared" si="1153"/>
        <v>FY 24/25</v>
      </c>
      <c r="F3854" s="23">
        <v>2025</v>
      </c>
      <c r="G3854" s="23">
        <v>1</v>
      </c>
      <c r="H3854" s="29"/>
      <c r="I3854" s="204" t="str">
        <f t="shared" si="1155"/>
        <v>Q4</v>
      </c>
      <c r="J3854" s="188" t="s">
        <v>3660</v>
      </c>
      <c r="K3854" s="29" t="s">
        <v>3661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67"/>
        <v>1</v>
      </c>
      <c r="Z3854" s="196">
        <f t="shared" si="1166"/>
        <v>13200000</v>
      </c>
      <c r="AA3854" s="22">
        <v>5.0599999999999999E-2</v>
      </c>
      <c r="AB3854" s="197">
        <f t="shared" si="1152"/>
        <v>667920</v>
      </c>
      <c r="AC3854" s="198">
        <f t="shared" si="1156"/>
        <v>116885.99999999999</v>
      </c>
      <c r="AD3854" s="169">
        <v>0.17499999999999999</v>
      </c>
      <c r="AE3854" s="199">
        <f t="shared" si="115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68"/>
        <v>16190947.162761064</v>
      </c>
      <c r="AJ3854" s="200">
        <f t="shared" si="1169"/>
        <v>2256328.1660673413</v>
      </c>
      <c r="AK3854" s="201">
        <f t="shared" si="1158"/>
        <v>0.13935739171929745</v>
      </c>
      <c r="AL3854" s="24"/>
      <c r="AM3854" s="24"/>
      <c r="AN3854" s="24"/>
      <c r="AO3854" s="24"/>
      <c r="AP3854" s="165" t="str">
        <f t="shared" si="1159"/>
        <v>20251</v>
      </c>
      <c r="AQ3854" s="203" t="str">
        <f t="shared" si="1160"/>
        <v>20251JPY</v>
      </c>
      <c r="AR3854" s="206" t="str">
        <f t="shared" si="1161"/>
        <v>YAMAHA_Mounter</v>
      </c>
      <c r="AS3854" s="22">
        <f t="shared" si="1162"/>
        <v>1</v>
      </c>
      <c r="AT3854" s="24" t="str">
        <f t="shared" si="1163"/>
        <v>0-3 months</v>
      </c>
      <c r="AU3854" s="22" t="s">
        <v>3745</v>
      </c>
    </row>
    <row r="3855" spans="1:47">
      <c r="A3855" s="33" t="str">
        <f t="shared" si="1154"/>
        <v>FY 24/25</v>
      </c>
      <c r="B3855" s="23">
        <v>2024</v>
      </c>
      <c r="C3855" s="23">
        <v>12</v>
      </c>
      <c r="D3855" s="202" t="str">
        <f t="shared" si="1165"/>
        <v>Q3</v>
      </c>
      <c r="E3855" s="33" t="str">
        <f t="shared" si="1153"/>
        <v>FY 24/25</v>
      </c>
      <c r="F3855" s="23">
        <v>2025</v>
      </c>
      <c r="G3855" s="23">
        <v>1</v>
      </c>
      <c r="H3855" s="29"/>
      <c r="I3855" s="204" t="str">
        <f t="shared" si="1155"/>
        <v>Q4</v>
      </c>
      <c r="J3855" s="188" t="s">
        <v>3660</v>
      </c>
      <c r="K3855" s="29" t="s">
        <v>3661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67"/>
        <v>1</v>
      </c>
      <c r="Z3855" s="196">
        <f t="shared" si="1166"/>
        <v>13200000</v>
      </c>
      <c r="AA3855" s="22">
        <v>5.0599999999999999E-2</v>
      </c>
      <c r="AB3855" s="197">
        <f t="shared" si="1152"/>
        <v>667920</v>
      </c>
      <c r="AC3855" s="198">
        <f t="shared" si="1156"/>
        <v>116885.99999999999</v>
      </c>
      <c r="AD3855" s="169">
        <v>0.17499999999999999</v>
      </c>
      <c r="AE3855" s="199">
        <f t="shared" si="115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68"/>
        <v>16190947.162761064</v>
      </c>
      <c r="AJ3855" s="200">
        <f t="shared" si="1169"/>
        <v>2256328.1660673413</v>
      </c>
      <c r="AK3855" s="201">
        <f t="shared" si="1158"/>
        <v>0.13935739171929745</v>
      </c>
      <c r="AL3855" s="24"/>
      <c r="AM3855" s="24"/>
      <c r="AN3855" s="24"/>
      <c r="AO3855" s="24"/>
      <c r="AP3855" s="165" t="str">
        <f t="shared" si="1159"/>
        <v>20251</v>
      </c>
      <c r="AQ3855" s="203" t="str">
        <f t="shared" si="1160"/>
        <v>20251JPY</v>
      </c>
      <c r="AR3855" s="206" t="str">
        <f t="shared" si="1161"/>
        <v>YAMAHA_Mounter</v>
      </c>
      <c r="AS3855" s="22">
        <f t="shared" si="1162"/>
        <v>1</v>
      </c>
      <c r="AT3855" s="24" t="str">
        <f t="shared" si="1163"/>
        <v>0-3 months</v>
      </c>
      <c r="AU3855" s="22" t="s">
        <v>3745</v>
      </c>
    </row>
    <row r="3856" spans="1:47">
      <c r="A3856" s="33" t="str">
        <f t="shared" si="1154"/>
        <v>FY 24/25</v>
      </c>
      <c r="B3856" s="23">
        <v>2024</v>
      </c>
      <c r="C3856" s="23">
        <v>12</v>
      </c>
      <c r="D3856" s="202" t="str">
        <f t="shared" si="1165"/>
        <v>Q3</v>
      </c>
      <c r="E3856" s="33" t="str">
        <f t="shared" si="1153"/>
        <v>FY 24/25</v>
      </c>
      <c r="F3856" s="23">
        <v>2025</v>
      </c>
      <c r="G3856" s="23">
        <v>1</v>
      </c>
      <c r="H3856" s="29"/>
      <c r="I3856" s="204" t="str">
        <f t="shared" si="1155"/>
        <v>Q4</v>
      </c>
      <c r="J3856" s="188" t="s">
        <v>3660</v>
      </c>
      <c r="K3856" s="29" t="s">
        <v>3661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67"/>
        <v>1</v>
      </c>
      <c r="Z3856" s="196">
        <f t="shared" si="1166"/>
        <v>11800000</v>
      </c>
      <c r="AA3856" s="22">
        <v>5.0599999999999999E-2</v>
      </c>
      <c r="AB3856" s="197">
        <f t="shared" si="1152"/>
        <v>597080</v>
      </c>
      <c r="AC3856" s="198">
        <f t="shared" si="1156"/>
        <v>104489</v>
      </c>
      <c r="AD3856" s="169">
        <v>0.17499999999999999</v>
      </c>
      <c r="AE3856" s="199">
        <f t="shared" si="115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68"/>
        <v>16190947.162761064</v>
      </c>
      <c r="AJ3856" s="200">
        <f t="shared" si="1169"/>
        <v>2256328.1660673413</v>
      </c>
      <c r="AK3856" s="201">
        <f t="shared" si="1158"/>
        <v>0.13935739171929745</v>
      </c>
      <c r="AL3856" s="24"/>
      <c r="AM3856" s="24"/>
      <c r="AN3856" s="24"/>
      <c r="AO3856" s="24"/>
      <c r="AP3856" s="165" t="str">
        <f t="shared" si="1159"/>
        <v>20251</v>
      </c>
      <c r="AQ3856" s="203" t="str">
        <f t="shared" si="1160"/>
        <v>20251JPY</v>
      </c>
      <c r="AR3856" s="206" t="str">
        <f t="shared" si="1161"/>
        <v>YAMAHA_Mounter</v>
      </c>
      <c r="AS3856" s="22">
        <f t="shared" si="1162"/>
        <v>1</v>
      </c>
      <c r="AT3856" s="24" t="str">
        <f t="shared" si="1163"/>
        <v>0-3 months</v>
      </c>
      <c r="AU3856" s="22" t="s">
        <v>3745</v>
      </c>
    </row>
    <row r="3857" spans="1:47">
      <c r="A3857" s="33" t="str">
        <f t="shared" si="1154"/>
        <v>FY 24/25</v>
      </c>
      <c r="B3857" s="23">
        <v>2024</v>
      </c>
      <c r="C3857" s="23">
        <v>12</v>
      </c>
      <c r="D3857" s="202" t="str">
        <f t="shared" si="1165"/>
        <v>Q3</v>
      </c>
      <c r="E3857" s="33" t="str">
        <f t="shared" si="1153"/>
        <v>FY 24/25</v>
      </c>
      <c r="F3857" s="23">
        <v>2025</v>
      </c>
      <c r="G3857" s="23">
        <v>1</v>
      </c>
      <c r="H3857" s="29"/>
      <c r="I3857" s="204" t="str">
        <f t="shared" si="1155"/>
        <v>Q4</v>
      </c>
      <c r="J3857" s="188" t="s">
        <v>3660</v>
      </c>
      <c r="K3857" s="29" t="s">
        <v>3661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67"/>
        <v>1</v>
      </c>
      <c r="Z3857" s="196">
        <f t="shared" si="1166"/>
        <v>11800000</v>
      </c>
      <c r="AA3857" s="22">
        <v>5.0599999999999999E-2</v>
      </c>
      <c r="AB3857" s="197">
        <f t="shared" si="1152"/>
        <v>597080</v>
      </c>
      <c r="AC3857" s="198">
        <f t="shared" si="1156"/>
        <v>104489</v>
      </c>
      <c r="AD3857" s="169">
        <v>0.17499999999999999</v>
      </c>
      <c r="AE3857" s="199">
        <f t="shared" si="115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68"/>
        <v>16190947.162761064</v>
      </c>
      <c r="AJ3857" s="200">
        <f t="shared" si="1169"/>
        <v>2256328.1660673413</v>
      </c>
      <c r="AK3857" s="201">
        <f t="shared" si="1158"/>
        <v>0.13935739171929745</v>
      </c>
      <c r="AL3857" s="24"/>
      <c r="AM3857" s="24"/>
      <c r="AN3857" s="24"/>
      <c r="AO3857" s="24"/>
      <c r="AP3857" s="165" t="str">
        <f t="shared" si="1159"/>
        <v>20251</v>
      </c>
      <c r="AQ3857" s="203" t="str">
        <f t="shared" si="1160"/>
        <v>20251JPY</v>
      </c>
      <c r="AR3857" s="206" t="str">
        <f t="shared" si="1161"/>
        <v>YAMAHA_Mounter</v>
      </c>
      <c r="AS3857" s="22">
        <f t="shared" si="1162"/>
        <v>1</v>
      </c>
      <c r="AT3857" s="24" t="str">
        <f t="shared" si="1163"/>
        <v>0-3 months</v>
      </c>
      <c r="AU3857" s="22" t="s">
        <v>3745</v>
      </c>
    </row>
    <row r="3858" spans="1:47">
      <c r="A3858" s="33" t="str">
        <f t="shared" si="1154"/>
        <v>FY 24/25</v>
      </c>
      <c r="B3858" s="23">
        <v>2024</v>
      </c>
      <c r="C3858" s="23">
        <v>12</v>
      </c>
      <c r="D3858" s="202" t="str">
        <f t="shared" si="1165"/>
        <v>Q3</v>
      </c>
      <c r="E3858" s="33" t="str">
        <f t="shared" si="1153"/>
        <v>FY 24/25</v>
      </c>
      <c r="F3858" s="23">
        <v>2025</v>
      </c>
      <c r="G3858" s="23">
        <v>2</v>
      </c>
      <c r="H3858" s="29"/>
      <c r="I3858" s="204" t="str">
        <f t="shared" si="1155"/>
        <v>Q4</v>
      </c>
      <c r="J3858" s="188" t="s">
        <v>3662</v>
      </c>
      <c r="K3858" s="29" t="s">
        <v>3663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67"/>
        <v>1</v>
      </c>
      <c r="Z3858" s="196">
        <f t="shared" si="1166"/>
        <v>7275000</v>
      </c>
      <c r="AA3858" s="22">
        <v>5.11E-2</v>
      </c>
      <c r="AB3858" s="197">
        <f t="shared" ref="AB3858:AB3919" si="1170">IF(AND(R3858&lt;&gt;"C66",R3858&lt;&gt;""),Z3858/Y3858*AA3858,"")</f>
        <v>371752.5</v>
      </c>
      <c r="AC3858" s="198">
        <f t="shared" si="1156"/>
        <v>79183.282500000001</v>
      </c>
      <c r="AD3858" s="170">
        <v>0.21299999999999999</v>
      </c>
      <c r="AE3858" s="199">
        <f t="shared" si="115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68"/>
        <v>30691842.970796466</v>
      </c>
      <c r="AJ3858" s="200">
        <f t="shared" si="1169"/>
        <v>4088324.205777524</v>
      </c>
      <c r="AK3858" s="201">
        <f t="shared" si="1158"/>
        <v>0.1332055624573473</v>
      </c>
      <c r="AL3858" s="24"/>
      <c r="AM3858" s="24"/>
      <c r="AN3858" s="24"/>
      <c r="AO3858" s="24"/>
      <c r="AP3858" s="165" t="str">
        <f t="shared" si="1159"/>
        <v>20252</v>
      </c>
      <c r="AQ3858" s="203" t="str">
        <f t="shared" si="1160"/>
        <v>20252JPY</v>
      </c>
      <c r="AR3858" s="206" t="str">
        <f t="shared" si="1161"/>
        <v>YAMAHA_Non_Mounter</v>
      </c>
      <c r="AS3858" s="22">
        <f t="shared" si="1162"/>
        <v>2</v>
      </c>
      <c r="AT3858" s="24" t="str">
        <f t="shared" si="1163"/>
        <v>0-3 months</v>
      </c>
      <c r="AU3858" s="22" t="s">
        <v>3746</v>
      </c>
    </row>
    <row r="3859" spans="1:47">
      <c r="A3859" s="33" t="str">
        <f t="shared" si="1154"/>
        <v>FY 24/25</v>
      </c>
      <c r="B3859" s="23">
        <v>2024</v>
      </c>
      <c r="C3859" s="23">
        <v>12</v>
      </c>
      <c r="D3859" s="202" t="str">
        <f t="shared" si="1165"/>
        <v>Q3</v>
      </c>
      <c r="E3859" s="33" t="str">
        <f t="shared" si="1153"/>
        <v>FY 24/25</v>
      </c>
      <c r="F3859" s="23">
        <v>2025</v>
      </c>
      <c r="G3859" s="23">
        <v>3</v>
      </c>
      <c r="H3859" s="29"/>
      <c r="I3859" s="204" t="str">
        <f t="shared" si="1155"/>
        <v>Q4</v>
      </c>
      <c r="J3859" s="188" t="s">
        <v>3664</v>
      </c>
      <c r="K3859" s="29" t="s">
        <v>3663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67"/>
        <v>1.13</v>
      </c>
      <c r="Z3859" s="196">
        <f t="shared" si="1166"/>
        <v>184500</v>
      </c>
      <c r="AA3859" s="22">
        <v>1.0669999999999999</v>
      </c>
      <c r="AB3859" s="197">
        <f t="shared" si="1170"/>
        <v>174213.7168141593</v>
      </c>
      <c r="AC3859" s="198">
        <f t="shared" si="1156"/>
        <v>20905.646017699117</v>
      </c>
      <c r="AD3859" s="169">
        <v>0.12</v>
      </c>
      <c r="AE3859" s="199">
        <f t="shared" si="115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68"/>
        <v>17727707.415929206</v>
      </c>
      <c r="AJ3859" s="200">
        <f t="shared" si="1169"/>
        <v>2127324.8899115045</v>
      </c>
      <c r="AK3859" s="201">
        <f t="shared" si="1158"/>
        <v>0.11999999999999998</v>
      </c>
      <c r="AL3859" s="24"/>
      <c r="AM3859" s="24"/>
      <c r="AN3859" s="24"/>
      <c r="AO3859" s="24"/>
      <c r="AP3859" s="165" t="str">
        <f t="shared" si="1159"/>
        <v>20253</v>
      </c>
      <c r="AQ3859" s="203" t="str">
        <f t="shared" si="1160"/>
        <v>20253RMB</v>
      </c>
      <c r="AR3859" s="206" t="str">
        <f t="shared" si="1161"/>
        <v>YAMAHA_Non_Mounter</v>
      </c>
      <c r="AS3859" s="22">
        <f t="shared" si="1162"/>
        <v>3</v>
      </c>
      <c r="AT3859" s="24" t="str">
        <f t="shared" si="1163"/>
        <v>0-3 months</v>
      </c>
      <c r="AU3859" s="22" t="s">
        <v>3751</v>
      </c>
    </row>
    <row r="3860" spans="1:47">
      <c r="A3860" s="33" t="str">
        <f t="shared" si="1154"/>
        <v>FY 24/25</v>
      </c>
      <c r="B3860" s="23">
        <v>2024</v>
      </c>
      <c r="C3860" s="23">
        <v>12</v>
      </c>
      <c r="D3860" s="202" t="str">
        <f t="shared" si="1165"/>
        <v>Q3</v>
      </c>
      <c r="E3860" s="33" t="str">
        <f t="shared" si="1153"/>
        <v>FY 24/25</v>
      </c>
      <c r="F3860" s="23">
        <v>2025</v>
      </c>
      <c r="G3860" s="23">
        <v>1</v>
      </c>
      <c r="H3860" s="29"/>
      <c r="I3860" s="204" t="str">
        <f t="shared" si="1155"/>
        <v>Q4</v>
      </c>
      <c r="J3860" s="188" t="s">
        <v>3665</v>
      </c>
      <c r="K3860" s="29" t="s">
        <v>3663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67"/>
        <v>1</v>
      </c>
      <c r="Z3860" s="196">
        <f t="shared" si="1166"/>
        <v>9894000</v>
      </c>
      <c r="AA3860" s="22">
        <v>5.0599999999999999E-2</v>
      </c>
      <c r="AB3860" s="197">
        <f t="shared" si="1170"/>
        <v>500636.39999999997</v>
      </c>
      <c r="AC3860" s="198">
        <f t="shared" si="1156"/>
        <v>89363.597399999984</v>
      </c>
      <c r="AD3860" s="169">
        <v>0.17849999999999999</v>
      </c>
      <c r="AE3860" s="199">
        <f t="shared" si="115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68"/>
        <v>16190947.162761064</v>
      </c>
      <c r="AJ3860" s="200">
        <f t="shared" si="1169"/>
        <v>2256328.1660673413</v>
      </c>
      <c r="AK3860" s="201">
        <f t="shared" si="1158"/>
        <v>0.13935739171929745</v>
      </c>
      <c r="AL3860" s="24"/>
      <c r="AM3860" s="24"/>
      <c r="AN3860" s="24"/>
      <c r="AO3860" s="24"/>
      <c r="AP3860" s="165" t="str">
        <f t="shared" si="1159"/>
        <v>20251</v>
      </c>
      <c r="AQ3860" s="203" t="str">
        <f t="shared" si="1160"/>
        <v>20251JPY</v>
      </c>
      <c r="AR3860" s="206" t="str">
        <f t="shared" si="1161"/>
        <v>YAMAHA_Mounter</v>
      </c>
      <c r="AS3860" s="22">
        <f t="shared" si="1162"/>
        <v>1</v>
      </c>
      <c r="AT3860" s="24" t="str">
        <f t="shared" si="1163"/>
        <v>0-3 months</v>
      </c>
      <c r="AU3860" s="22" t="s">
        <v>3746</v>
      </c>
    </row>
    <row r="3861" spans="1:47">
      <c r="A3861" s="33" t="str">
        <f t="shared" si="1154"/>
        <v>FY 24/25</v>
      </c>
      <c r="B3861" s="23">
        <v>2025</v>
      </c>
      <c r="C3861" s="23">
        <v>1</v>
      </c>
      <c r="D3861" s="202" t="str">
        <f t="shared" si="1165"/>
        <v>Q4</v>
      </c>
      <c r="E3861" s="33" t="str">
        <f t="shared" si="1153"/>
        <v>FY 24/25</v>
      </c>
      <c r="F3861" s="23">
        <v>2025</v>
      </c>
      <c r="G3861" s="23">
        <v>2</v>
      </c>
      <c r="H3861" s="29"/>
      <c r="I3861" s="204" t="str">
        <f t="shared" si="1155"/>
        <v>Q4</v>
      </c>
      <c r="J3861" s="188" t="s">
        <v>3666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67"/>
        <v>1</v>
      </c>
      <c r="Z3861" s="196">
        <f t="shared" si="1166"/>
        <v>7500000</v>
      </c>
      <c r="AA3861" s="22">
        <v>5.11E-2</v>
      </c>
      <c r="AB3861" s="197">
        <f t="shared" si="1170"/>
        <v>383250</v>
      </c>
      <c r="AC3861" s="198">
        <f t="shared" si="1156"/>
        <v>49477.574999999997</v>
      </c>
      <c r="AD3861" s="170">
        <v>0.12909999999999999</v>
      </c>
      <c r="AE3861" s="199">
        <f t="shared" si="115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68"/>
        <v>30691842.970796466</v>
      </c>
      <c r="AJ3861" s="200">
        <f t="shared" si="1169"/>
        <v>4088324.205777524</v>
      </c>
      <c r="AK3861" s="201">
        <f t="shared" si="1158"/>
        <v>0.1332055624573473</v>
      </c>
      <c r="AL3861" s="24"/>
      <c r="AM3861" s="24"/>
      <c r="AN3861" s="24"/>
      <c r="AO3861" s="24"/>
      <c r="AP3861" s="165" t="str">
        <f t="shared" si="1159"/>
        <v>20252</v>
      </c>
      <c r="AQ3861" s="203" t="str">
        <f t="shared" si="1160"/>
        <v>20252JPY</v>
      </c>
      <c r="AR3861" s="206" t="str">
        <f t="shared" si="1161"/>
        <v>YAMAHA_Mounter</v>
      </c>
      <c r="AS3861" s="22">
        <f t="shared" si="1162"/>
        <v>1</v>
      </c>
      <c r="AT3861" s="24" t="str">
        <f t="shared" si="1163"/>
        <v>0-3 months</v>
      </c>
      <c r="AU3861" s="22" t="s">
        <v>3745</v>
      </c>
    </row>
    <row r="3862" spans="1:47">
      <c r="A3862" s="33" t="str">
        <f t="shared" si="1154"/>
        <v>FY 24/25</v>
      </c>
      <c r="B3862" s="23">
        <v>2025</v>
      </c>
      <c r="C3862" s="23">
        <v>1</v>
      </c>
      <c r="D3862" s="202" t="str">
        <f t="shared" si="1165"/>
        <v>Q4</v>
      </c>
      <c r="E3862" s="33" t="str">
        <f t="shared" si="1153"/>
        <v>FY 24/25</v>
      </c>
      <c r="F3862" s="23">
        <v>2025</v>
      </c>
      <c r="G3862" s="23">
        <v>2</v>
      </c>
      <c r="H3862" s="29"/>
      <c r="I3862" s="204" t="str">
        <f t="shared" si="1155"/>
        <v>Q4</v>
      </c>
      <c r="J3862" s="188" t="s">
        <v>3667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67"/>
        <v>1</v>
      </c>
      <c r="Z3862" s="196">
        <f t="shared" si="1166"/>
        <v>14900000</v>
      </c>
      <c r="AA3862" s="22">
        <v>5.11E-2</v>
      </c>
      <c r="AB3862" s="197">
        <f t="shared" si="1170"/>
        <v>761390</v>
      </c>
      <c r="AC3862" s="198">
        <f t="shared" si="1156"/>
        <v>112914.13699999999</v>
      </c>
      <c r="AD3862" s="170">
        <v>0.14829999999999999</v>
      </c>
      <c r="AE3862" s="199">
        <f t="shared" si="115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68"/>
        <v>30691842.970796466</v>
      </c>
      <c r="AJ3862" s="200">
        <f t="shared" si="1169"/>
        <v>4088324.205777524</v>
      </c>
      <c r="AK3862" s="201">
        <f t="shared" si="1158"/>
        <v>0.1332055624573473</v>
      </c>
      <c r="AL3862" s="24"/>
      <c r="AM3862" s="24"/>
      <c r="AN3862" s="24"/>
      <c r="AO3862" s="24"/>
      <c r="AP3862" s="165" t="str">
        <f t="shared" si="1159"/>
        <v>20252</v>
      </c>
      <c r="AQ3862" s="203" t="str">
        <f t="shared" si="1160"/>
        <v>20252JPY</v>
      </c>
      <c r="AR3862" s="206" t="str">
        <f t="shared" si="1161"/>
        <v>YAMAHA_Mounter</v>
      </c>
      <c r="AS3862" s="22">
        <f t="shared" si="1162"/>
        <v>1</v>
      </c>
      <c r="AT3862" s="24" t="str">
        <f t="shared" si="1163"/>
        <v>0-3 months</v>
      </c>
      <c r="AU3862" s="22" t="s">
        <v>3745</v>
      </c>
    </row>
    <row r="3863" spans="1:47">
      <c r="A3863" s="33" t="str">
        <f t="shared" si="1154"/>
        <v>FY 24/25</v>
      </c>
      <c r="B3863" s="23">
        <v>2025</v>
      </c>
      <c r="C3863" s="23">
        <v>1</v>
      </c>
      <c r="D3863" s="202" t="str">
        <f t="shared" si="1165"/>
        <v>Q4</v>
      </c>
      <c r="E3863" s="33" t="str">
        <f t="shared" si="1153"/>
        <v>FY 24/25</v>
      </c>
      <c r="F3863" s="23">
        <v>2025</v>
      </c>
      <c r="G3863" s="23">
        <v>2</v>
      </c>
      <c r="H3863" s="29"/>
      <c r="I3863" s="204" t="str">
        <f t="shared" si="1155"/>
        <v>Q4</v>
      </c>
      <c r="J3863" s="188" t="s">
        <v>3667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67"/>
        <v>1</v>
      </c>
      <c r="Z3863" s="196">
        <f t="shared" si="1166"/>
        <v>14900000</v>
      </c>
      <c r="AA3863" s="22">
        <v>5.11E-2</v>
      </c>
      <c r="AB3863" s="197">
        <f t="shared" si="1170"/>
        <v>761390</v>
      </c>
      <c r="AC3863" s="198">
        <f t="shared" si="1156"/>
        <v>112914.13699999999</v>
      </c>
      <c r="AD3863" s="170">
        <v>0.14829999999999999</v>
      </c>
      <c r="AE3863" s="199">
        <f t="shared" si="115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68"/>
        <v>30691842.970796466</v>
      </c>
      <c r="AJ3863" s="200">
        <f t="shared" si="1169"/>
        <v>4088324.205777524</v>
      </c>
      <c r="AK3863" s="201">
        <f t="shared" si="1158"/>
        <v>0.1332055624573473</v>
      </c>
      <c r="AL3863" s="24"/>
      <c r="AM3863" s="24"/>
      <c r="AN3863" s="24"/>
      <c r="AO3863" s="24"/>
      <c r="AP3863" s="165" t="str">
        <f t="shared" si="1159"/>
        <v>20252</v>
      </c>
      <c r="AQ3863" s="203" t="str">
        <f t="shared" si="1160"/>
        <v>20252JPY</v>
      </c>
      <c r="AR3863" s="206" t="str">
        <f t="shared" si="1161"/>
        <v>YAMAHA_Mounter</v>
      </c>
      <c r="AS3863" s="22">
        <f t="shared" si="1162"/>
        <v>1</v>
      </c>
      <c r="AT3863" s="24" t="str">
        <f t="shared" si="1163"/>
        <v>0-3 months</v>
      </c>
      <c r="AU3863" s="22" t="s">
        <v>3745</v>
      </c>
    </row>
    <row r="3864" spans="1:47">
      <c r="A3864" s="33" t="str">
        <f t="shared" si="1154"/>
        <v>FY 24/25</v>
      </c>
      <c r="B3864" s="23">
        <v>2025</v>
      </c>
      <c r="C3864" s="23">
        <v>1</v>
      </c>
      <c r="D3864" s="202" t="str">
        <f t="shared" si="1165"/>
        <v>Q4</v>
      </c>
      <c r="E3864" s="33" t="str">
        <f t="shared" ref="E3864:E3927" si="1171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5"/>
        <v>Q4</v>
      </c>
      <c r="J3864" s="188" t="s">
        <v>3666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67"/>
        <v>1</v>
      </c>
      <c r="Z3864" s="196">
        <f t="shared" si="1166"/>
        <v>12840000</v>
      </c>
      <c r="AA3864" s="22">
        <v>5.11E-2</v>
      </c>
      <c r="AB3864" s="197">
        <f t="shared" si="1170"/>
        <v>656124</v>
      </c>
      <c r="AC3864" s="198">
        <f t="shared" si="1156"/>
        <v>84705.608399999997</v>
      </c>
      <c r="AD3864" s="170">
        <v>0.12909999999999999</v>
      </c>
      <c r="AE3864" s="199">
        <f t="shared" si="115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68"/>
        <v>30691842.970796466</v>
      </c>
      <c r="AJ3864" s="200">
        <f t="shared" si="1169"/>
        <v>4088324.205777524</v>
      </c>
      <c r="AK3864" s="201">
        <f t="shared" si="1158"/>
        <v>0.1332055624573473</v>
      </c>
      <c r="AL3864" s="24"/>
      <c r="AM3864" s="24"/>
      <c r="AN3864" s="24"/>
      <c r="AO3864" s="24"/>
      <c r="AP3864" s="165" t="str">
        <f t="shared" si="1159"/>
        <v>20252</v>
      </c>
      <c r="AQ3864" s="203" t="str">
        <f t="shared" si="1160"/>
        <v>20252JPY</v>
      </c>
      <c r="AR3864" s="206" t="str">
        <f t="shared" si="1161"/>
        <v>YAMAHA_Mounter</v>
      </c>
      <c r="AS3864" s="22">
        <f t="shared" si="1162"/>
        <v>1</v>
      </c>
      <c r="AT3864" s="24" t="str">
        <f t="shared" si="1163"/>
        <v>0-3 months</v>
      </c>
      <c r="AU3864" s="22" t="s">
        <v>3745</v>
      </c>
    </row>
    <row r="3865" spans="1:47">
      <c r="A3865" s="33" t="str">
        <f t="shared" si="1154"/>
        <v>FY 24/25</v>
      </c>
      <c r="B3865" s="23">
        <v>2025</v>
      </c>
      <c r="C3865" s="23">
        <v>1</v>
      </c>
      <c r="D3865" s="202" t="str">
        <f t="shared" si="1165"/>
        <v>Q4</v>
      </c>
      <c r="E3865" s="33" t="str">
        <f t="shared" si="1171"/>
        <v>FY 24/25</v>
      </c>
      <c r="F3865" s="23">
        <v>2025</v>
      </c>
      <c r="G3865" s="23">
        <v>2</v>
      </c>
      <c r="H3865" s="29"/>
      <c r="I3865" s="204" t="str">
        <f t="shared" si="1155"/>
        <v>Q4</v>
      </c>
      <c r="J3865" s="188" t="s">
        <v>3666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67"/>
        <v>1</v>
      </c>
      <c r="Z3865" s="196">
        <f t="shared" si="1166"/>
        <v>12840000</v>
      </c>
      <c r="AA3865" s="22">
        <v>5.11E-2</v>
      </c>
      <c r="AB3865" s="197">
        <f t="shared" si="1170"/>
        <v>656124</v>
      </c>
      <c r="AC3865" s="198">
        <f t="shared" si="1156"/>
        <v>84705.608399999997</v>
      </c>
      <c r="AD3865" s="170">
        <v>0.12909999999999999</v>
      </c>
      <c r="AE3865" s="199">
        <f t="shared" si="115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68"/>
        <v>30691842.970796466</v>
      </c>
      <c r="AJ3865" s="200">
        <f t="shared" si="1169"/>
        <v>4088324.205777524</v>
      </c>
      <c r="AK3865" s="201">
        <f t="shared" si="1158"/>
        <v>0.1332055624573473</v>
      </c>
      <c r="AL3865" s="24"/>
      <c r="AM3865" s="24"/>
      <c r="AN3865" s="24"/>
      <c r="AO3865" s="24"/>
      <c r="AP3865" s="165" t="str">
        <f t="shared" si="1159"/>
        <v>20252</v>
      </c>
      <c r="AQ3865" s="203" t="str">
        <f t="shared" si="1160"/>
        <v>20252JPY</v>
      </c>
      <c r="AR3865" s="206" t="str">
        <f t="shared" si="1161"/>
        <v>YAMAHA_Mounter</v>
      </c>
      <c r="AS3865" s="22">
        <f t="shared" si="1162"/>
        <v>1</v>
      </c>
      <c r="AT3865" s="24" t="str">
        <f t="shared" si="1163"/>
        <v>0-3 months</v>
      </c>
      <c r="AU3865" s="22" t="s">
        <v>3745</v>
      </c>
    </row>
    <row r="3866" spans="1:47">
      <c r="A3866" s="33" t="str">
        <f t="shared" si="1154"/>
        <v>FY 24/25</v>
      </c>
      <c r="B3866" s="23">
        <v>2025</v>
      </c>
      <c r="C3866" s="23">
        <v>1</v>
      </c>
      <c r="D3866" s="202" t="str">
        <f t="shared" si="1165"/>
        <v>Q4</v>
      </c>
      <c r="E3866" s="33" t="str">
        <f t="shared" si="1171"/>
        <v>FY 24/25</v>
      </c>
      <c r="F3866" s="23">
        <v>2025</v>
      </c>
      <c r="G3866" s="23">
        <v>3</v>
      </c>
      <c r="H3866" s="29"/>
      <c r="I3866" s="204" t="str">
        <f t="shared" si="1155"/>
        <v>Q4</v>
      </c>
      <c r="J3866" s="188" t="s">
        <v>3669</v>
      </c>
      <c r="K3866" s="29" t="s">
        <v>3670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67"/>
        <v>1.13</v>
      </c>
      <c r="Z3866" s="196">
        <f t="shared" si="1166"/>
        <v>840000</v>
      </c>
      <c r="AA3866" s="22">
        <v>1.0669999999999999</v>
      </c>
      <c r="AB3866" s="197">
        <f t="shared" si="1170"/>
        <v>793168.14159292041</v>
      </c>
      <c r="AC3866" s="198">
        <f t="shared" si="1156"/>
        <v>95180.176991150453</v>
      </c>
      <c r="AD3866" s="169">
        <v>0.12</v>
      </c>
      <c r="AE3866" s="199">
        <f t="shared" si="115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68"/>
        <v>17727707.415929206</v>
      </c>
      <c r="AJ3866" s="200">
        <f t="shared" si="1169"/>
        <v>2127324.8899115045</v>
      </c>
      <c r="AK3866" s="201">
        <f t="shared" si="1158"/>
        <v>0.11999999999999998</v>
      </c>
      <c r="AL3866" s="24"/>
      <c r="AM3866" s="24"/>
      <c r="AN3866" s="24"/>
      <c r="AO3866" s="24"/>
      <c r="AP3866" s="165" t="str">
        <f t="shared" si="1159"/>
        <v>20253</v>
      </c>
      <c r="AQ3866" s="203" t="str">
        <f t="shared" si="1160"/>
        <v>20253RMB</v>
      </c>
      <c r="AR3866" s="206" t="str">
        <f t="shared" si="1161"/>
        <v>YAMAHA_Mounter</v>
      </c>
      <c r="AS3866" s="22">
        <f t="shared" si="1162"/>
        <v>2</v>
      </c>
      <c r="AT3866" s="24" t="str">
        <f t="shared" si="1163"/>
        <v>0-3 months</v>
      </c>
      <c r="AU3866" s="22" t="s">
        <v>3751</v>
      </c>
    </row>
    <row r="3867" spans="1:47">
      <c r="A3867" s="33" t="str">
        <f t="shared" si="1154"/>
        <v>FY 24/25</v>
      </c>
      <c r="B3867" s="23">
        <v>2025</v>
      </c>
      <c r="C3867" s="23">
        <v>1</v>
      </c>
      <c r="D3867" s="202" t="str">
        <f t="shared" si="1165"/>
        <v>Q4</v>
      </c>
      <c r="E3867" s="33" t="str">
        <f t="shared" si="1171"/>
        <v>FY 24/25</v>
      </c>
      <c r="F3867" s="23">
        <v>2025</v>
      </c>
      <c r="G3867" s="23">
        <v>3</v>
      </c>
      <c r="H3867" s="29"/>
      <c r="I3867" s="204" t="str">
        <f t="shared" si="1155"/>
        <v>Q4</v>
      </c>
      <c r="J3867" s="188" t="s">
        <v>3669</v>
      </c>
      <c r="K3867" s="29" t="s">
        <v>3670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67"/>
        <v>1.13</v>
      </c>
      <c r="Z3867" s="196">
        <f t="shared" si="1166"/>
        <v>403000</v>
      </c>
      <c r="AA3867" s="22">
        <v>1.0669999999999999</v>
      </c>
      <c r="AB3867" s="197">
        <f t="shared" si="1170"/>
        <v>380531.85840707965</v>
      </c>
      <c r="AC3867" s="198">
        <f t="shared" si="1156"/>
        <v>45663.823008849555</v>
      </c>
      <c r="AD3867" s="169">
        <v>0.12</v>
      </c>
      <c r="AE3867" s="199">
        <f t="shared" si="115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68"/>
        <v>17727707.415929206</v>
      </c>
      <c r="AJ3867" s="200">
        <f t="shared" si="1169"/>
        <v>2127324.8899115045</v>
      </c>
      <c r="AK3867" s="201">
        <f t="shared" si="1158"/>
        <v>0.11999999999999998</v>
      </c>
      <c r="AL3867" s="24"/>
      <c r="AM3867" s="24"/>
      <c r="AN3867" s="24"/>
      <c r="AO3867" s="24"/>
      <c r="AP3867" s="165" t="str">
        <f t="shared" si="1159"/>
        <v>20253</v>
      </c>
      <c r="AQ3867" s="203" t="str">
        <f t="shared" si="1160"/>
        <v>20253RMB</v>
      </c>
      <c r="AR3867" s="206" t="str">
        <f t="shared" si="1161"/>
        <v>YAMAHA_Mounter</v>
      </c>
      <c r="AS3867" s="22">
        <f t="shared" si="1162"/>
        <v>2</v>
      </c>
      <c r="AT3867" s="24" t="str">
        <f t="shared" si="1163"/>
        <v>0-3 months</v>
      </c>
      <c r="AU3867" s="22" t="s">
        <v>3751</v>
      </c>
    </row>
    <row r="3868" spans="1:47" ht="39.6">
      <c r="A3868" s="33" t="str">
        <f t="shared" si="1154"/>
        <v/>
      </c>
      <c r="B3868" s="23"/>
      <c r="C3868" s="23"/>
      <c r="D3868" s="202" t="str">
        <f t="shared" si="116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67"/>
        <v/>
      </c>
      <c r="Z3868" s="196" t="str">
        <f t="shared" si="1166"/>
        <v/>
      </c>
      <c r="AA3868" s="22"/>
      <c r="AB3868" s="197">
        <v>9000</v>
      </c>
      <c r="AC3868" s="198">
        <f t="shared" si="1156"/>
        <v>2700</v>
      </c>
      <c r="AD3868" s="162">
        <v>0.3</v>
      </c>
      <c r="AE3868" s="199">
        <f t="shared" si="115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68"/>
        <v>15965524.256637167</v>
      </c>
      <c r="AJ3868" s="200">
        <f t="shared" si="1169"/>
        <v>2480116.5996584073</v>
      </c>
      <c r="AK3868" s="201">
        <f t="shared" si="1158"/>
        <v>0.15534200817911609</v>
      </c>
      <c r="AL3868" s="24"/>
      <c r="AM3868" s="24"/>
      <c r="AN3868" s="24"/>
      <c r="AO3868" s="24"/>
      <c r="AP3868" s="165" t="str">
        <f t="shared" si="1159"/>
        <v>202412</v>
      </c>
      <c r="AQ3868" s="203" t="str">
        <f t="shared" si="1160"/>
        <v/>
      </c>
      <c r="AR3868" s="206" t="str">
        <f t="shared" si="1161"/>
        <v>C66 SERVICE</v>
      </c>
      <c r="AS3868" s="22" t="str">
        <f t="shared" si="1162"/>
        <v/>
      </c>
      <c r="AT3868" s="24" t="str">
        <f t="shared" si="1163"/>
        <v/>
      </c>
      <c r="AU3868" s="22">
        <v>0</v>
      </c>
    </row>
    <row r="3869" spans="1:47" ht="39.6">
      <c r="A3869" s="33" t="str">
        <f t="shared" si="1154"/>
        <v/>
      </c>
      <c r="B3869" s="23"/>
      <c r="C3869" s="23"/>
      <c r="D3869" s="202" t="str">
        <f t="shared" si="116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67"/>
        <v/>
      </c>
      <c r="Z3869" s="196" t="str">
        <f t="shared" si="1166"/>
        <v/>
      </c>
      <c r="AA3869" s="22"/>
      <c r="AB3869" s="197">
        <v>118000</v>
      </c>
      <c r="AC3869" s="198">
        <f t="shared" si="1156"/>
        <v>35400</v>
      </c>
      <c r="AD3869" s="162">
        <v>0.3</v>
      </c>
      <c r="AE3869" s="199">
        <f t="shared" si="115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68"/>
        <v>15965524.256637167</v>
      </c>
      <c r="AJ3869" s="200">
        <f t="shared" si="1169"/>
        <v>2480116.5996584073</v>
      </c>
      <c r="AK3869" s="201">
        <f t="shared" si="1158"/>
        <v>0.15534200817911609</v>
      </c>
      <c r="AL3869" s="24"/>
      <c r="AM3869" s="24"/>
      <c r="AN3869" s="24"/>
      <c r="AO3869" s="24"/>
      <c r="AP3869" s="165" t="str">
        <f t="shared" si="1159"/>
        <v>202412</v>
      </c>
      <c r="AQ3869" s="203" t="str">
        <f t="shared" si="1160"/>
        <v/>
      </c>
      <c r="AR3869" s="206" t="str">
        <f t="shared" si="1161"/>
        <v>C66 SERVICE</v>
      </c>
      <c r="AS3869" s="22" t="str">
        <f t="shared" si="1162"/>
        <v/>
      </c>
      <c r="AT3869" s="24" t="str">
        <f t="shared" si="1163"/>
        <v/>
      </c>
      <c r="AU3869" s="22">
        <v>0</v>
      </c>
    </row>
    <row r="3870" spans="1:47" ht="39.6">
      <c r="A3870" s="33" t="str">
        <f t="shared" si="1154"/>
        <v/>
      </c>
      <c r="B3870" s="23"/>
      <c r="C3870" s="23"/>
      <c r="D3870" s="202" t="str">
        <f t="shared" si="116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67"/>
        <v/>
      </c>
      <c r="Z3870" s="196" t="str">
        <f t="shared" si="1166"/>
        <v/>
      </c>
      <c r="AA3870" s="22"/>
      <c r="AB3870" s="197">
        <v>203000</v>
      </c>
      <c r="AC3870" s="198">
        <f t="shared" si="1156"/>
        <v>60900</v>
      </c>
      <c r="AD3870" s="162">
        <v>0.3</v>
      </c>
      <c r="AE3870" s="199">
        <f t="shared" si="115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68"/>
        <v>15965524.256637167</v>
      </c>
      <c r="AJ3870" s="200">
        <f t="shared" si="1169"/>
        <v>2480116.5996584073</v>
      </c>
      <c r="AK3870" s="201">
        <f t="shared" si="1158"/>
        <v>0.15534200817911609</v>
      </c>
      <c r="AL3870" s="24"/>
      <c r="AM3870" s="24"/>
      <c r="AN3870" s="24"/>
      <c r="AO3870" s="24"/>
      <c r="AP3870" s="165" t="str">
        <f t="shared" si="1159"/>
        <v>202412</v>
      </c>
      <c r="AQ3870" s="203" t="str">
        <f t="shared" si="1160"/>
        <v/>
      </c>
      <c r="AR3870" s="206" t="str">
        <f t="shared" si="1161"/>
        <v>C66 SERVICE</v>
      </c>
      <c r="AS3870" s="22" t="str">
        <f t="shared" si="1162"/>
        <v/>
      </c>
      <c r="AT3870" s="24" t="str">
        <f t="shared" si="1163"/>
        <v/>
      </c>
      <c r="AU3870" s="22">
        <v>0</v>
      </c>
    </row>
    <row r="3871" spans="1:47" ht="39.6">
      <c r="A3871" s="33" t="str">
        <f t="shared" si="1154"/>
        <v/>
      </c>
      <c r="B3871" s="23"/>
      <c r="C3871" s="23"/>
      <c r="D3871" s="202" t="str">
        <f t="shared" si="116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67"/>
        <v/>
      </c>
      <c r="Z3871" s="196" t="str">
        <f t="shared" si="1166"/>
        <v/>
      </c>
      <c r="AA3871" s="22"/>
      <c r="AB3871" s="197">
        <v>149000</v>
      </c>
      <c r="AC3871" s="198">
        <f t="shared" si="1156"/>
        <v>44700</v>
      </c>
      <c r="AD3871" s="162">
        <v>0.3</v>
      </c>
      <c r="AE3871" s="199">
        <f t="shared" si="115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68"/>
        <v>15965524.256637167</v>
      </c>
      <c r="AJ3871" s="200">
        <f t="shared" si="1169"/>
        <v>2480116.5996584073</v>
      </c>
      <c r="AK3871" s="201">
        <f t="shared" si="1158"/>
        <v>0.15534200817911609</v>
      </c>
      <c r="AL3871" s="24"/>
      <c r="AM3871" s="24"/>
      <c r="AN3871" s="24"/>
      <c r="AO3871" s="24"/>
      <c r="AP3871" s="165" t="str">
        <f t="shared" si="1159"/>
        <v>202412</v>
      </c>
      <c r="AQ3871" s="203" t="str">
        <f t="shared" si="1160"/>
        <v/>
      </c>
      <c r="AR3871" s="206" t="str">
        <f t="shared" si="1161"/>
        <v>C66 SERVICE</v>
      </c>
      <c r="AS3871" s="22" t="str">
        <f t="shared" si="1162"/>
        <v/>
      </c>
      <c r="AT3871" s="24" t="str">
        <f t="shared" si="1163"/>
        <v/>
      </c>
      <c r="AU3871" s="22">
        <v>0</v>
      </c>
    </row>
    <row r="3872" spans="1:47">
      <c r="A3872" s="33" t="str">
        <f t="shared" ref="A3872:A3935" si="1172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5"/>
        <v>Q3</v>
      </c>
      <c r="E3872" s="33" t="str">
        <f t="shared" si="1171"/>
        <v>FY 24/25</v>
      </c>
      <c r="F3872" s="23">
        <v>2025</v>
      </c>
      <c r="G3872" s="23">
        <v>1</v>
      </c>
      <c r="H3872" s="29"/>
      <c r="I3872" s="204" t="str">
        <f t="shared" ref="I3872:I3935" si="1173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3672</v>
      </c>
      <c r="K3872" s="29" t="s">
        <v>3673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67"/>
        <v>1</v>
      </c>
      <c r="Z3872" s="196">
        <f t="shared" si="1166"/>
        <v>17200000</v>
      </c>
      <c r="AA3872" s="22">
        <v>5.0599999999999999E-2</v>
      </c>
      <c r="AB3872" s="197">
        <f t="shared" si="1170"/>
        <v>870320</v>
      </c>
      <c r="AC3872" s="198">
        <f t="shared" ref="AC3872:AC3935" si="1174">IF(R3872&lt;&gt;"",AB3872*AD3872,"")</f>
        <v>149346.91200000001</v>
      </c>
      <c r="AD3872" s="169">
        <v>0.1716</v>
      </c>
      <c r="AE3872" s="199">
        <f t="shared" ref="AE3872:AE3935" si="1175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68"/>
        <v>16190947.162761064</v>
      </c>
      <c r="AJ3872" s="200">
        <f t="shared" si="1169"/>
        <v>2256328.1660673413</v>
      </c>
      <c r="AK3872" s="201">
        <f t="shared" ref="AK3872:AK3935" si="1176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77">IF(F3872="","",F3872&amp;G3872)</f>
        <v>20251</v>
      </c>
      <c r="AQ3872" s="203" t="str">
        <f t="shared" ref="AQ3872:AQ3935" si="1178">IF(W3872="","",F3872&amp;G3872&amp;W3872)</f>
        <v>20251JPY</v>
      </c>
      <c r="AR3872" s="206" t="str">
        <f t="shared" ref="AR3872:AR3935" si="1179">IFERROR(IF(AND(M3872="YAMAHA", R3872="C28"), "YAMAHA_Non_Mounter", IF(AND(M3872="YAMAHA", R3872="C49"), "YAMAHA_Mounter", M3872)),"")</f>
        <v>YAMAHA_Mounter</v>
      </c>
      <c r="AS3872" s="22">
        <f t="shared" ref="AS3872:AS3935" si="1180">IFERROR(IF(OR(G3872="TBA", G3872=""), "", DATEDIF(DATE(B3872, C3872, 1), DATE(F3872, G3872, 1), "M")),"")</f>
        <v>1</v>
      </c>
      <c r="AT3872" s="24" t="str">
        <f t="shared" ref="AT3872:AT3935" si="1181">IF(ISNUMBER(AS3872), IF(AS3872&gt;=0, IF(AS3872&lt;=3, "0-3 months", IF(AS3872&lt;=6, "4-6 months", "&gt; 6 months"))), "")</f>
        <v>0-3 months</v>
      </c>
      <c r="AU3872" s="22" t="s">
        <v>3746</v>
      </c>
    </row>
    <row r="3873" spans="1:47">
      <c r="A3873" s="33" t="str">
        <f t="shared" si="1172"/>
        <v>FY 24/25</v>
      </c>
      <c r="B3873" s="23">
        <v>2025</v>
      </c>
      <c r="C3873" s="23">
        <v>1</v>
      </c>
      <c r="D3873" s="202" t="str">
        <f t="shared" si="1165"/>
        <v>Q4</v>
      </c>
      <c r="E3873" s="33" t="str">
        <f t="shared" si="1171"/>
        <v>FY 25/26</v>
      </c>
      <c r="F3873" s="23">
        <v>2025</v>
      </c>
      <c r="G3873" s="23">
        <v>4</v>
      </c>
      <c r="H3873" s="29"/>
      <c r="I3873" s="204" t="str">
        <f t="shared" si="1173"/>
        <v>Q1</v>
      </c>
      <c r="J3873" s="188" t="s">
        <v>3674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2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67"/>
        <v>1</v>
      </c>
      <c r="Z3873" s="196">
        <f t="shared" si="1166"/>
        <v>16000000</v>
      </c>
      <c r="AA3873" s="22">
        <v>5.2999999999999999E-2</v>
      </c>
      <c r="AB3873" s="197">
        <f t="shared" si="1170"/>
        <v>848000</v>
      </c>
      <c r="AC3873" s="198">
        <f t="shared" si="1174"/>
        <v>101760</v>
      </c>
      <c r="AD3873" s="169">
        <v>0.12</v>
      </c>
      <c r="AE3873" s="199">
        <f t="shared" si="1175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68"/>
        <v>29497483.159292053</v>
      </c>
      <c r="AJ3873" s="200">
        <f t="shared" si="1169"/>
        <v>3539697.9791150414</v>
      </c>
      <c r="AK3873" s="201">
        <f t="shared" si="1176"/>
        <v>0.11999999999999983</v>
      </c>
      <c r="AL3873" s="24"/>
      <c r="AM3873" s="24"/>
      <c r="AN3873" s="24"/>
      <c r="AO3873" s="24"/>
      <c r="AP3873" s="165" t="str">
        <f t="shared" si="1177"/>
        <v>20254</v>
      </c>
      <c r="AQ3873" s="203" t="str">
        <f t="shared" si="1178"/>
        <v>20254JPY</v>
      </c>
      <c r="AR3873" s="206" t="str">
        <f t="shared" si="1179"/>
        <v>YAMAHA_Mounter</v>
      </c>
      <c r="AS3873" s="22">
        <f t="shared" si="1180"/>
        <v>3</v>
      </c>
      <c r="AT3873" s="24" t="str">
        <f t="shared" si="1181"/>
        <v>0-3 months</v>
      </c>
      <c r="AU3873" s="22" t="s">
        <v>3745</v>
      </c>
    </row>
    <row r="3874" spans="1:47">
      <c r="A3874" s="33" t="str">
        <f t="shared" si="1172"/>
        <v>FY 24/25</v>
      </c>
      <c r="B3874" s="23">
        <v>2025</v>
      </c>
      <c r="C3874" s="23">
        <v>1</v>
      </c>
      <c r="D3874" s="202" t="str">
        <f t="shared" si="1165"/>
        <v>Q4</v>
      </c>
      <c r="E3874" s="33" t="str">
        <f t="shared" si="1171"/>
        <v>FY 24/25</v>
      </c>
      <c r="F3874" s="23">
        <v>2025</v>
      </c>
      <c r="G3874" s="23">
        <v>3</v>
      </c>
      <c r="H3874" s="29"/>
      <c r="I3874" s="204" t="str">
        <f t="shared" si="1173"/>
        <v>Q4</v>
      </c>
      <c r="J3874" s="188" t="s">
        <v>3675</v>
      </c>
      <c r="K3874" s="239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2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67"/>
        <v>1.13</v>
      </c>
      <c r="Z3874" s="196">
        <f t="shared" si="1166"/>
        <v>659040</v>
      </c>
      <c r="AA3874" s="22">
        <v>1.0669999999999999</v>
      </c>
      <c r="AB3874" s="197">
        <f t="shared" si="1170"/>
        <v>622297.06194690266</v>
      </c>
      <c r="AC3874" s="198">
        <f t="shared" si="1174"/>
        <v>74675.647433628314</v>
      </c>
      <c r="AD3874" s="169">
        <v>0.12</v>
      </c>
      <c r="AE3874" s="199">
        <f t="shared" si="1175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68"/>
        <v>17727707.415929206</v>
      </c>
      <c r="AJ3874" s="200">
        <f t="shared" si="1169"/>
        <v>2127324.8899115045</v>
      </c>
      <c r="AK3874" s="201">
        <f t="shared" si="1176"/>
        <v>0.11999999999999998</v>
      </c>
      <c r="AL3874" s="24"/>
      <c r="AM3874" s="24"/>
      <c r="AN3874" s="24"/>
      <c r="AO3874" s="24"/>
      <c r="AP3874" s="165" t="str">
        <f t="shared" si="1177"/>
        <v>20253</v>
      </c>
      <c r="AQ3874" s="203" t="str">
        <f t="shared" si="1178"/>
        <v>20253RMB</v>
      </c>
      <c r="AR3874" s="206" t="str">
        <f t="shared" si="1179"/>
        <v>YAMAHA_Mounter</v>
      </c>
      <c r="AS3874" s="22">
        <f t="shared" si="1180"/>
        <v>2</v>
      </c>
      <c r="AT3874" s="24" t="str">
        <f t="shared" si="1181"/>
        <v>0-3 months</v>
      </c>
      <c r="AU3874" s="22" t="s">
        <v>3240</v>
      </c>
    </row>
    <row r="3875" spans="1:47">
      <c r="A3875" s="33" t="str">
        <f t="shared" si="1172"/>
        <v>FY 24/25</v>
      </c>
      <c r="B3875" s="23">
        <v>2025</v>
      </c>
      <c r="C3875" s="23">
        <v>1</v>
      </c>
      <c r="D3875" s="202" t="str">
        <f t="shared" si="1165"/>
        <v>Q4</v>
      </c>
      <c r="E3875" s="33" t="str">
        <f t="shared" si="1171"/>
        <v>FY 24/25</v>
      </c>
      <c r="F3875" s="23">
        <v>2025</v>
      </c>
      <c r="G3875" s="23">
        <v>2</v>
      </c>
      <c r="H3875" s="29"/>
      <c r="I3875" s="204" t="str">
        <f t="shared" si="1173"/>
        <v>Q4</v>
      </c>
      <c r="J3875" s="188" t="s">
        <v>3676</v>
      </c>
      <c r="K3875" s="29" t="s">
        <v>3677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2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67"/>
        <v>1.13</v>
      </c>
      <c r="Z3875" s="196">
        <f t="shared" si="1166"/>
        <v>882500</v>
      </c>
      <c r="AA3875" s="22">
        <v>1.073</v>
      </c>
      <c r="AB3875" s="197">
        <f t="shared" si="1170"/>
        <v>837984.51327433635</v>
      </c>
      <c r="AC3875" s="198">
        <f t="shared" si="1174"/>
        <v>133071.94070796462</v>
      </c>
      <c r="AD3875" s="170">
        <v>0.1588</v>
      </c>
      <c r="AE3875" s="199">
        <f t="shared" si="1175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68"/>
        <v>30691842.970796466</v>
      </c>
      <c r="AJ3875" s="200">
        <f t="shared" si="1169"/>
        <v>4088324.205777524</v>
      </c>
      <c r="AK3875" s="201">
        <f t="shared" si="1176"/>
        <v>0.1332055624573473</v>
      </c>
      <c r="AL3875" s="24"/>
      <c r="AM3875" s="24"/>
      <c r="AN3875" s="24"/>
      <c r="AO3875" s="24"/>
      <c r="AP3875" s="165" t="str">
        <f t="shared" si="1177"/>
        <v>20252</v>
      </c>
      <c r="AQ3875" s="203" t="str">
        <f t="shared" si="1178"/>
        <v>20252RMB</v>
      </c>
      <c r="AR3875" s="206" t="str">
        <f t="shared" si="1179"/>
        <v>YAMAHA_Mounter</v>
      </c>
      <c r="AS3875" s="22">
        <f t="shared" si="1180"/>
        <v>1</v>
      </c>
      <c r="AT3875" s="24" t="str">
        <f t="shared" si="1181"/>
        <v>0-3 months</v>
      </c>
      <c r="AU3875" s="22" t="s">
        <v>3240</v>
      </c>
    </row>
    <row r="3876" spans="1:47">
      <c r="A3876" s="33" t="str">
        <f t="shared" si="1172"/>
        <v>FY 24/25</v>
      </c>
      <c r="B3876" s="23">
        <v>2025</v>
      </c>
      <c r="C3876" s="23">
        <v>1</v>
      </c>
      <c r="D3876" s="202" t="str">
        <f t="shared" si="1165"/>
        <v>Q4</v>
      </c>
      <c r="E3876" s="33" t="str">
        <f t="shared" si="1171"/>
        <v>FY 24/25</v>
      </c>
      <c r="F3876" s="23">
        <v>2025</v>
      </c>
      <c r="G3876" s="23">
        <v>2</v>
      </c>
      <c r="H3876" s="29"/>
      <c r="I3876" s="204" t="str">
        <f t="shared" si="1173"/>
        <v>Q4</v>
      </c>
      <c r="J3876" s="188" t="s">
        <v>3676</v>
      </c>
      <c r="K3876" s="29" t="s">
        <v>3677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2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67"/>
        <v>1.13</v>
      </c>
      <c r="Z3876" s="196">
        <f t="shared" si="1166"/>
        <v>882500</v>
      </c>
      <c r="AA3876" s="22">
        <v>1.073</v>
      </c>
      <c r="AB3876" s="197">
        <f t="shared" si="1170"/>
        <v>837984.51327433635</v>
      </c>
      <c r="AC3876" s="198">
        <f t="shared" si="1174"/>
        <v>133071.94070796462</v>
      </c>
      <c r="AD3876" s="170">
        <v>0.1588</v>
      </c>
      <c r="AE3876" s="199">
        <f t="shared" si="1175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68"/>
        <v>30691842.970796466</v>
      </c>
      <c r="AJ3876" s="200">
        <f t="shared" si="1169"/>
        <v>4088324.205777524</v>
      </c>
      <c r="AK3876" s="201">
        <f t="shared" si="1176"/>
        <v>0.1332055624573473</v>
      </c>
      <c r="AL3876" s="24"/>
      <c r="AM3876" s="24"/>
      <c r="AN3876" s="24"/>
      <c r="AO3876" s="24"/>
      <c r="AP3876" s="165" t="str">
        <f t="shared" si="1177"/>
        <v>20252</v>
      </c>
      <c r="AQ3876" s="203" t="str">
        <f t="shared" si="1178"/>
        <v>20252RMB</v>
      </c>
      <c r="AR3876" s="206" t="str">
        <f t="shared" si="1179"/>
        <v>YAMAHA_Mounter</v>
      </c>
      <c r="AS3876" s="22">
        <f t="shared" si="1180"/>
        <v>1</v>
      </c>
      <c r="AT3876" s="24" t="str">
        <f t="shared" si="1181"/>
        <v>0-3 months</v>
      </c>
      <c r="AU3876" s="22" t="s">
        <v>3240</v>
      </c>
    </row>
    <row r="3877" spans="1:47">
      <c r="A3877" s="33" t="str">
        <f t="shared" si="1172"/>
        <v>FY 24/25</v>
      </c>
      <c r="B3877" s="23">
        <v>2025</v>
      </c>
      <c r="C3877" s="23">
        <v>1</v>
      </c>
      <c r="D3877" s="202" t="str">
        <f t="shared" si="1165"/>
        <v>Q4</v>
      </c>
      <c r="E3877" s="33" t="str">
        <f t="shared" si="1171"/>
        <v>FY 24/25</v>
      </c>
      <c r="F3877" s="23">
        <v>2025</v>
      </c>
      <c r="G3877" s="23">
        <v>2</v>
      </c>
      <c r="H3877" s="29"/>
      <c r="I3877" s="204" t="str">
        <f t="shared" si="1173"/>
        <v>Q4</v>
      </c>
      <c r="J3877" s="188" t="s">
        <v>3676</v>
      </c>
      <c r="K3877" s="29" t="s">
        <v>3677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2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67"/>
        <v>1.13</v>
      </c>
      <c r="Z3877" s="196">
        <f t="shared" si="1166"/>
        <v>882500</v>
      </c>
      <c r="AA3877" s="22">
        <v>1.073</v>
      </c>
      <c r="AB3877" s="197">
        <f t="shared" si="1170"/>
        <v>837984.51327433635</v>
      </c>
      <c r="AC3877" s="198">
        <f t="shared" si="1174"/>
        <v>133071.94070796462</v>
      </c>
      <c r="AD3877" s="170">
        <v>0.1588</v>
      </c>
      <c r="AE3877" s="199">
        <f t="shared" si="1175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68"/>
        <v>30691842.970796466</v>
      </c>
      <c r="AJ3877" s="200">
        <f t="shared" si="1169"/>
        <v>4088324.205777524</v>
      </c>
      <c r="AK3877" s="201">
        <f t="shared" si="1176"/>
        <v>0.1332055624573473</v>
      </c>
      <c r="AL3877" s="24"/>
      <c r="AM3877" s="24"/>
      <c r="AN3877" s="24"/>
      <c r="AO3877" s="24"/>
      <c r="AP3877" s="165" t="str">
        <f t="shared" si="1177"/>
        <v>20252</v>
      </c>
      <c r="AQ3877" s="203" t="str">
        <f t="shared" si="1178"/>
        <v>20252RMB</v>
      </c>
      <c r="AR3877" s="206" t="str">
        <f t="shared" si="1179"/>
        <v>YAMAHA_Mounter</v>
      </c>
      <c r="AS3877" s="22">
        <f t="shared" si="1180"/>
        <v>1</v>
      </c>
      <c r="AT3877" s="24" t="str">
        <f t="shared" si="1181"/>
        <v>0-3 months</v>
      </c>
      <c r="AU3877" s="22" t="s">
        <v>3240</v>
      </c>
    </row>
    <row r="3878" spans="1:47">
      <c r="A3878" s="33" t="str">
        <f t="shared" si="1172"/>
        <v>FY 24/25</v>
      </c>
      <c r="B3878" s="23">
        <v>2025</v>
      </c>
      <c r="C3878" s="23">
        <v>1</v>
      </c>
      <c r="D3878" s="202" t="str">
        <f t="shared" si="1165"/>
        <v>Q4</v>
      </c>
      <c r="E3878" s="33" t="str">
        <f t="shared" si="1171"/>
        <v>FY 24/25</v>
      </c>
      <c r="F3878" s="23">
        <v>2025</v>
      </c>
      <c r="G3878" s="23">
        <v>2</v>
      </c>
      <c r="H3878" s="29"/>
      <c r="I3878" s="204" t="str">
        <f t="shared" si="1173"/>
        <v>Q4</v>
      </c>
      <c r="J3878" s="188" t="s">
        <v>3676</v>
      </c>
      <c r="K3878" s="29" t="s">
        <v>3677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2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67"/>
        <v>1.13</v>
      </c>
      <c r="Z3878" s="196">
        <f t="shared" si="1166"/>
        <v>882500</v>
      </c>
      <c r="AA3878" s="22">
        <v>1.073</v>
      </c>
      <c r="AB3878" s="197">
        <f t="shared" si="1170"/>
        <v>837984.51327433635</v>
      </c>
      <c r="AC3878" s="198">
        <f t="shared" si="1174"/>
        <v>133071.94070796462</v>
      </c>
      <c r="AD3878" s="170">
        <v>0.1588</v>
      </c>
      <c r="AE3878" s="199">
        <f t="shared" si="1175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68"/>
        <v>30691842.970796466</v>
      </c>
      <c r="AJ3878" s="200">
        <f t="shared" si="1169"/>
        <v>4088324.205777524</v>
      </c>
      <c r="AK3878" s="201">
        <f t="shared" si="1176"/>
        <v>0.1332055624573473</v>
      </c>
      <c r="AL3878" s="24"/>
      <c r="AM3878" s="24"/>
      <c r="AN3878" s="24"/>
      <c r="AO3878" s="24"/>
      <c r="AP3878" s="165" t="str">
        <f t="shared" si="1177"/>
        <v>20252</v>
      </c>
      <c r="AQ3878" s="203" t="str">
        <f t="shared" si="1178"/>
        <v>20252RMB</v>
      </c>
      <c r="AR3878" s="206" t="str">
        <f t="shared" si="1179"/>
        <v>YAMAHA_Mounter</v>
      </c>
      <c r="AS3878" s="22">
        <f t="shared" si="1180"/>
        <v>1</v>
      </c>
      <c r="AT3878" s="24" t="str">
        <f t="shared" si="1181"/>
        <v>0-3 months</v>
      </c>
      <c r="AU3878" s="22" t="s">
        <v>3240</v>
      </c>
    </row>
    <row r="3879" spans="1:47">
      <c r="A3879" s="33" t="str">
        <f t="shared" si="1172"/>
        <v>FY 24/25</v>
      </c>
      <c r="B3879" s="23">
        <v>2025</v>
      </c>
      <c r="C3879" s="23">
        <v>1</v>
      </c>
      <c r="D3879" s="202" t="str">
        <f t="shared" si="1165"/>
        <v>Q4</v>
      </c>
      <c r="E3879" s="33" t="str">
        <f t="shared" si="1171"/>
        <v>FY 24/25</v>
      </c>
      <c r="F3879" s="23">
        <v>2025</v>
      </c>
      <c r="G3879" s="23">
        <v>3</v>
      </c>
      <c r="H3879" s="29"/>
      <c r="I3879" s="204" t="str">
        <f t="shared" si="1173"/>
        <v>Q4</v>
      </c>
      <c r="J3879" s="188" t="s">
        <v>3678</v>
      </c>
      <c r="K3879" s="29" t="s">
        <v>3679</v>
      </c>
      <c r="L3879" s="24" t="s">
        <v>3680</v>
      </c>
      <c r="M3879" s="22" t="s">
        <v>2607</v>
      </c>
      <c r="N3879" s="22">
        <v>1</v>
      </c>
      <c r="O3879" s="22"/>
      <c r="P3879" s="202" t="str">
        <f t="shared" si="1182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167"/>
        <v>1.13</v>
      </c>
      <c r="Z3879" s="196">
        <f t="shared" si="1166"/>
        <v>625200</v>
      </c>
      <c r="AA3879" s="22">
        <v>1.0669999999999999</v>
      </c>
      <c r="AB3879" s="197">
        <f t="shared" si="1170"/>
        <v>590343.7168141593</v>
      </c>
      <c r="AC3879" s="198">
        <f t="shared" si="1174"/>
        <v>70841.246017699115</v>
      </c>
      <c r="AD3879" s="169">
        <v>0.12</v>
      </c>
      <c r="AE3879" s="199">
        <f t="shared" si="1175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68"/>
        <v>17727707.415929206</v>
      </c>
      <c r="AJ3879" s="200">
        <f t="shared" si="1169"/>
        <v>2127324.8899115045</v>
      </c>
      <c r="AK3879" s="201">
        <f t="shared" si="1176"/>
        <v>0.11999999999999998</v>
      </c>
      <c r="AL3879" s="24"/>
      <c r="AM3879" s="24"/>
      <c r="AN3879" s="24"/>
      <c r="AO3879" s="24"/>
      <c r="AP3879" s="165" t="str">
        <f t="shared" si="1177"/>
        <v>20253</v>
      </c>
      <c r="AQ3879" s="203" t="str">
        <f t="shared" si="1178"/>
        <v>20253RMB</v>
      </c>
      <c r="AR3879" s="206" t="str">
        <f t="shared" si="1179"/>
        <v>HELLER</v>
      </c>
      <c r="AS3879" s="22">
        <f t="shared" si="1180"/>
        <v>2</v>
      </c>
      <c r="AT3879" s="24" t="str">
        <f t="shared" si="1181"/>
        <v>0-3 months</v>
      </c>
      <c r="AU3879" s="22" t="s">
        <v>3751</v>
      </c>
    </row>
    <row r="3880" spans="1:47">
      <c r="A3880" s="33" t="str">
        <f t="shared" si="1172"/>
        <v>FY 24/25</v>
      </c>
      <c r="B3880" s="23">
        <v>2025</v>
      </c>
      <c r="C3880" s="23">
        <v>1</v>
      </c>
      <c r="D3880" s="202" t="str">
        <f t="shared" si="1165"/>
        <v>Q4</v>
      </c>
      <c r="E3880" s="33" t="str">
        <f t="shared" si="1171"/>
        <v>FY 24/25</v>
      </c>
      <c r="F3880" s="23">
        <v>2025</v>
      </c>
      <c r="G3880" s="23">
        <v>2</v>
      </c>
      <c r="H3880" s="29"/>
      <c r="I3880" s="204" t="str">
        <f t="shared" si="1173"/>
        <v>Q4</v>
      </c>
      <c r="J3880" s="188" t="s">
        <v>3681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2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67"/>
        <v>1</v>
      </c>
      <c r="Z3880" s="196">
        <f t="shared" si="1166"/>
        <v>12800000</v>
      </c>
      <c r="AA3880" s="22">
        <v>5.11E-2</v>
      </c>
      <c r="AB3880" s="197">
        <f t="shared" si="1170"/>
        <v>654080</v>
      </c>
      <c r="AC3880" s="198">
        <f t="shared" si="1174"/>
        <v>98569.856</v>
      </c>
      <c r="AD3880" s="170">
        <v>0.1507</v>
      </c>
      <c r="AE3880" s="199">
        <f t="shared" si="1175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68"/>
        <v>30691842.970796466</v>
      </c>
      <c r="AJ3880" s="200">
        <f t="shared" si="1169"/>
        <v>4088324.205777524</v>
      </c>
      <c r="AK3880" s="201">
        <f t="shared" si="1176"/>
        <v>0.1332055624573473</v>
      </c>
      <c r="AL3880" s="24"/>
      <c r="AM3880" s="24"/>
      <c r="AN3880" s="24"/>
      <c r="AO3880" s="24"/>
      <c r="AP3880" s="165" t="str">
        <f t="shared" si="1177"/>
        <v>20252</v>
      </c>
      <c r="AQ3880" s="203" t="str">
        <f t="shared" si="1178"/>
        <v>20252JPY</v>
      </c>
      <c r="AR3880" s="206" t="str">
        <f t="shared" si="1179"/>
        <v>YAMAHA_Mounter</v>
      </c>
      <c r="AS3880" s="22">
        <f t="shared" si="1180"/>
        <v>1</v>
      </c>
      <c r="AT3880" s="24" t="str">
        <f t="shared" si="1181"/>
        <v>0-3 months</v>
      </c>
      <c r="AU3880" s="22" t="s">
        <v>3745</v>
      </c>
    </row>
    <row r="3881" spans="1:47">
      <c r="A3881" s="33" t="str">
        <f t="shared" si="1172"/>
        <v>FY 24/25</v>
      </c>
      <c r="B3881" s="23">
        <v>2025</v>
      </c>
      <c r="C3881" s="23">
        <v>1</v>
      </c>
      <c r="D3881" s="202" t="str">
        <f t="shared" si="1165"/>
        <v>Q4</v>
      </c>
      <c r="E3881" s="33" t="str">
        <f t="shared" si="1171"/>
        <v>FY 24/25</v>
      </c>
      <c r="F3881" s="23">
        <v>2025</v>
      </c>
      <c r="G3881" s="23">
        <v>2</v>
      </c>
      <c r="H3881" s="29"/>
      <c r="I3881" s="204" t="str">
        <f t="shared" si="1173"/>
        <v>Q4</v>
      </c>
      <c r="J3881" s="188" t="s">
        <v>3681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2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67"/>
        <v>1</v>
      </c>
      <c r="Z3881" s="196">
        <f t="shared" si="1166"/>
        <v>12800000</v>
      </c>
      <c r="AA3881" s="22">
        <v>5.11E-2</v>
      </c>
      <c r="AB3881" s="197">
        <f t="shared" si="1170"/>
        <v>654080</v>
      </c>
      <c r="AC3881" s="198">
        <f t="shared" si="1174"/>
        <v>98569.856</v>
      </c>
      <c r="AD3881" s="170">
        <v>0.1507</v>
      </c>
      <c r="AE3881" s="199">
        <f t="shared" si="1175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68"/>
        <v>30691842.970796466</v>
      </c>
      <c r="AJ3881" s="200">
        <f t="shared" si="1169"/>
        <v>4088324.205777524</v>
      </c>
      <c r="AK3881" s="201">
        <f t="shared" si="1176"/>
        <v>0.1332055624573473</v>
      </c>
      <c r="AL3881" s="24"/>
      <c r="AM3881" s="24"/>
      <c r="AN3881" s="24"/>
      <c r="AO3881" s="24"/>
      <c r="AP3881" s="165" t="str">
        <f t="shared" si="1177"/>
        <v>20252</v>
      </c>
      <c r="AQ3881" s="203" t="str">
        <f t="shared" si="1178"/>
        <v>20252JPY</v>
      </c>
      <c r="AR3881" s="206" t="str">
        <f t="shared" si="1179"/>
        <v>YAMAHA_Mounter</v>
      </c>
      <c r="AS3881" s="22">
        <f t="shared" si="1180"/>
        <v>1</v>
      </c>
      <c r="AT3881" s="24" t="str">
        <f t="shared" si="1181"/>
        <v>0-3 months</v>
      </c>
      <c r="AU3881" s="22" t="s">
        <v>3745</v>
      </c>
    </row>
    <row r="3882" spans="1:47">
      <c r="A3882" s="33" t="str">
        <f t="shared" si="1172"/>
        <v>FY 24/25</v>
      </c>
      <c r="B3882" s="23">
        <v>2025</v>
      </c>
      <c r="C3882" s="23">
        <v>1</v>
      </c>
      <c r="D3882" s="202" t="str">
        <f t="shared" si="1165"/>
        <v>Q4</v>
      </c>
      <c r="E3882" s="33" t="str">
        <f t="shared" si="1171"/>
        <v>FY 24/25</v>
      </c>
      <c r="F3882" s="23">
        <v>2025</v>
      </c>
      <c r="G3882" s="23">
        <v>3</v>
      </c>
      <c r="H3882" s="29"/>
      <c r="I3882" s="204" t="str">
        <f t="shared" si="1173"/>
        <v>Q4</v>
      </c>
      <c r="J3882" s="188" t="s">
        <v>3682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2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67"/>
        <v>1</v>
      </c>
      <c r="Z3882" s="196">
        <f t="shared" si="1166"/>
        <v>12500000</v>
      </c>
      <c r="AA3882" s="22">
        <v>5.2999999999999999E-2</v>
      </c>
      <c r="AB3882" s="197">
        <f t="shared" si="1170"/>
        <v>662500</v>
      </c>
      <c r="AC3882" s="198">
        <f t="shared" si="1174"/>
        <v>79500</v>
      </c>
      <c r="AD3882" s="169">
        <v>0.12</v>
      </c>
      <c r="AE3882" s="199">
        <f t="shared" si="1175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68"/>
        <v>17727707.415929206</v>
      </c>
      <c r="AJ3882" s="200">
        <f t="shared" si="1169"/>
        <v>2127324.8899115045</v>
      </c>
      <c r="AK3882" s="201">
        <f t="shared" si="1176"/>
        <v>0.11999999999999998</v>
      </c>
      <c r="AL3882" s="24"/>
      <c r="AM3882" s="24"/>
      <c r="AN3882" s="24"/>
      <c r="AO3882" s="24"/>
      <c r="AP3882" s="165" t="str">
        <f t="shared" si="1177"/>
        <v>20253</v>
      </c>
      <c r="AQ3882" s="203" t="str">
        <f t="shared" si="1178"/>
        <v>20253JPY</v>
      </c>
      <c r="AR3882" s="206" t="str">
        <f t="shared" si="1179"/>
        <v>YAMAHA_Mounter</v>
      </c>
      <c r="AS3882" s="22">
        <f t="shared" si="1180"/>
        <v>2</v>
      </c>
      <c r="AT3882" s="24" t="str">
        <f t="shared" si="1181"/>
        <v>0-3 months</v>
      </c>
      <c r="AU3882" s="22" t="s">
        <v>3745</v>
      </c>
    </row>
    <row r="3883" spans="1:47">
      <c r="A3883" s="33" t="str">
        <f t="shared" si="1172"/>
        <v>FY 24/25</v>
      </c>
      <c r="B3883" s="23">
        <v>2025</v>
      </c>
      <c r="C3883" s="23">
        <v>1</v>
      </c>
      <c r="D3883" s="202" t="str">
        <f t="shared" si="1165"/>
        <v>Q4</v>
      </c>
      <c r="E3883" s="33" t="str">
        <f t="shared" si="1171"/>
        <v>FY 24/25</v>
      </c>
      <c r="F3883" s="23">
        <v>2025</v>
      </c>
      <c r="G3883" s="23">
        <v>3</v>
      </c>
      <c r="H3883" s="29"/>
      <c r="I3883" s="204" t="str">
        <f t="shared" si="1173"/>
        <v>Q4</v>
      </c>
      <c r="J3883" s="188" t="s">
        <v>3682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2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67"/>
        <v>1</v>
      </c>
      <c r="Z3883" s="196">
        <f t="shared" si="1166"/>
        <v>7670000</v>
      </c>
      <c r="AA3883" s="22">
        <v>5.2999999999999999E-2</v>
      </c>
      <c r="AB3883" s="197">
        <f t="shared" si="1170"/>
        <v>406510</v>
      </c>
      <c r="AC3883" s="198">
        <f t="shared" si="1174"/>
        <v>48781.2</v>
      </c>
      <c r="AD3883" s="169">
        <v>0.12</v>
      </c>
      <c r="AE3883" s="199">
        <f t="shared" si="1175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68"/>
        <v>17727707.415929206</v>
      </c>
      <c r="AJ3883" s="200">
        <f t="shared" si="1169"/>
        <v>2127324.8899115045</v>
      </c>
      <c r="AK3883" s="201">
        <f t="shared" si="1176"/>
        <v>0.11999999999999998</v>
      </c>
      <c r="AL3883" s="24"/>
      <c r="AM3883" s="24"/>
      <c r="AN3883" s="24"/>
      <c r="AO3883" s="24"/>
      <c r="AP3883" s="165" t="str">
        <f t="shared" si="1177"/>
        <v>20253</v>
      </c>
      <c r="AQ3883" s="203" t="str">
        <f t="shared" si="1178"/>
        <v>20253JPY</v>
      </c>
      <c r="AR3883" s="206" t="str">
        <f t="shared" si="1179"/>
        <v>YAMAHA_Mounter</v>
      </c>
      <c r="AS3883" s="22">
        <f t="shared" si="1180"/>
        <v>2</v>
      </c>
      <c r="AT3883" s="24" t="str">
        <f t="shared" si="1181"/>
        <v>0-3 months</v>
      </c>
      <c r="AU3883" s="22" t="s">
        <v>3745</v>
      </c>
    </row>
    <row r="3884" spans="1:47">
      <c r="A3884" s="33" t="str">
        <f t="shared" si="1172"/>
        <v>FY 24/25</v>
      </c>
      <c r="B3884" s="23">
        <v>2025</v>
      </c>
      <c r="C3884" s="23">
        <v>1</v>
      </c>
      <c r="D3884" s="202" t="str">
        <f t="shared" si="1165"/>
        <v>Q4</v>
      </c>
      <c r="E3884" s="33" t="str">
        <f t="shared" si="1171"/>
        <v>FY 25/26</v>
      </c>
      <c r="F3884" s="23">
        <v>2025</v>
      </c>
      <c r="G3884" s="23">
        <v>4</v>
      </c>
      <c r="H3884" s="29"/>
      <c r="I3884" s="204" t="str">
        <f t="shared" si="1173"/>
        <v>Q1</v>
      </c>
      <c r="J3884" s="188" t="s">
        <v>3754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2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67"/>
        <v>1</v>
      </c>
      <c r="Z3884" s="196">
        <f t="shared" si="1166"/>
        <v>35700</v>
      </c>
      <c r="AA3884" s="22">
        <v>7.8</v>
      </c>
      <c r="AB3884" s="197">
        <f t="shared" si="1170"/>
        <v>278460</v>
      </c>
      <c r="AC3884" s="198">
        <f t="shared" si="1174"/>
        <v>33415.199999999997</v>
      </c>
      <c r="AD3884" s="169">
        <v>0.12</v>
      </c>
      <c r="AE3884" s="199">
        <f t="shared" si="1175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68"/>
        <v>29497483.159292053</v>
      </c>
      <c r="AJ3884" s="200">
        <f t="shared" si="1169"/>
        <v>3539697.9791150414</v>
      </c>
      <c r="AK3884" s="201">
        <f t="shared" si="1176"/>
        <v>0.11999999999999983</v>
      </c>
      <c r="AL3884" s="24"/>
      <c r="AM3884" s="24"/>
      <c r="AN3884" s="24"/>
      <c r="AO3884" s="24"/>
      <c r="AP3884" s="165" t="str">
        <f t="shared" si="1177"/>
        <v>20254</v>
      </c>
      <c r="AQ3884" s="203" t="str">
        <f t="shared" si="1178"/>
        <v>20254USD</v>
      </c>
      <c r="AR3884" s="206" t="str">
        <f t="shared" si="1179"/>
        <v>YAMAHA_Non_Mounter</v>
      </c>
      <c r="AS3884" s="22">
        <f t="shared" si="1180"/>
        <v>3</v>
      </c>
      <c r="AT3884" s="24" t="str">
        <f t="shared" si="1181"/>
        <v>0-3 months</v>
      </c>
      <c r="AU3884" s="22" t="s">
        <v>3749</v>
      </c>
    </row>
    <row r="3885" spans="1:47">
      <c r="A3885" s="33" t="str">
        <f t="shared" si="1172"/>
        <v>FY 24/25</v>
      </c>
      <c r="B3885" s="23">
        <v>2025</v>
      </c>
      <c r="C3885" s="23">
        <v>1</v>
      </c>
      <c r="D3885" s="202" t="str">
        <f t="shared" si="1165"/>
        <v>Q4</v>
      </c>
      <c r="E3885" s="33" t="str">
        <f t="shared" si="1171"/>
        <v>FY 25/26</v>
      </c>
      <c r="F3885" s="23">
        <v>2025</v>
      </c>
      <c r="G3885" s="23">
        <v>4</v>
      </c>
      <c r="H3885" s="29"/>
      <c r="I3885" s="204" t="str">
        <f t="shared" si="1173"/>
        <v>Q1</v>
      </c>
      <c r="J3885" s="188" t="s">
        <v>3754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2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67"/>
        <v>1</v>
      </c>
      <c r="Z3885" s="196">
        <f t="shared" si="1166"/>
        <v>35700</v>
      </c>
      <c r="AA3885" s="22">
        <v>7.8</v>
      </c>
      <c r="AB3885" s="197">
        <f t="shared" si="1170"/>
        <v>278460</v>
      </c>
      <c r="AC3885" s="198">
        <f t="shared" si="1174"/>
        <v>33415.199999999997</v>
      </c>
      <c r="AD3885" s="169">
        <v>0.12</v>
      </c>
      <c r="AE3885" s="199">
        <f t="shared" si="1175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68"/>
        <v>29497483.159292053</v>
      </c>
      <c r="AJ3885" s="200">
        <f t="shared" si="1169"/>
        <v>3539697.9791150414</v>
      </c>
      <c r="AK3885" s="201">
        <f t="shared" si="1176"/>
        <v>0.11999999999999983</v>
      </c>
      <c r="AL3885" s="24"/>
      <c r="AM3885" s="24"/>
      <c r="AN3885" s="24"/>
      <c r="AO3885" s="24"/>
      <c r="AP3885" s="165" t="str">
        <f t="shared" si="1177"/>
        <v>20254</v>
      </c>
      <c r="AQ3885" s="203" t="str">
        <f t="shared" si="1178"/>
        <v>20254USD</v>
      </c>
      <c r="AR3885" s="206" t="str">
        <f t="shared" si="1179"/>
        <v>YAMAHA_Non_Mounter</v>
      </c>
      <c r="AS3885" s="22">
        <f t="shared" si="1180"/>
        <v>3</v>
      </c>
      <c r="AT3885" s="24" t="str">
        <f t="shared" si="1181"/>
        <v>0-3 months</v>
      </c>
      <c r="AU3885" s="22" t="s">
        <v>3749</v>
      </c>
    </row>
    <row r="3886" spans="1:47">
      <c r="A3886" s="33" t="str">
        <f t="shared" si="1172"/>
        <v>FY 24/25</v>
      </c>
      <c r="B3886" s="23">
        <v>2025</v>
      </c>
      <c r="C3886" s="23">
        <v>1</v>
      </c>
      <c r="D3886" s="202" t="str">
        <f t="shared" si="1165"/>
        <v>Q4</v>
      </c>
      <c r="E3886" s="33" t="str">
        <f t="shared" si="1171"/>
        <v>FY 25/26</v>
      </c>
      <c r="F3886" s="23">
        <v>2025</v>
      </c>
      <c r="G3886" s="23">
        <v>4</v>
      </c>
      <c r="H3886" s="29"/>
      <c r="I3886" s="204" t="str">
        <f t="shared" si="1173"/>
        <v>Q1</v>
      </c>
      <c r="J3886" s="188" t="s">
        <v>3754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2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67"/>
        <v>1</v>
      </c>
      <c r="Z3886" s="196">
        <f t="shared" si="1166"/>
        <v>80580</v>
      </c>
      <c r="AA3886" s="22">
        <v>7.8</v>
      </c>
      <c r="AB3886" s="197">
        <f t="shared" si="1170"/>
        <v>628524</v>
      </c>
      <c r="AC3886" s="198">
        <f t="shared" si="1174"/>
        <v>75422.87999999999</v>
      </c>
      <c r="AD3886" s="169">
        <v>0.12</v>
      </c>
      <c r="AE3886" s="199">
        <f t="shared" si="1175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68"/>
        <v>29497483.159292053</v>
      </c>
      <c r="AJ3886" s="200">
        <f t="shared" si="1169"/>
        <v>3539697.9791150414</v>
      </c>
      <c r="AK3886" s="201">
        <f t="shared" si="1176"/>
        <v>0.11999999999999983</v>
      </c>
      <c r="AL3886" s="24"/>
      <c r="AM3886" s="24"/>
      <c r="AN3886" s="24"/>
      <c r="AO3886" s="24"/>
      <c r="AP3886" s="165" t="str">
        <f t="shared" si="1177"/>
        <v>20254</v>
      </c>
      <c r="AQ3886" s="203" t="str">
        <f t="shared" si="1178"/>
        <v>20254USD</v>
      </c>
      <c r="AR3886" s="206" t="str">
        <f t="shared" si="1179"/>
        <v>YAMAHA_Non_Mounter</v>
      </c>
      <c r="AS3886" s="22">
        <f t="shared" si="1180"/>
        <v>3</v>
      </c>
      <c r="AT3886" s="24" t="str">
        <f t="shared" si="1181"/>
        <v>0-3 months</v>
      </c>
      <c r="AU3886" s="22" t="s">
        <v>3749</v>
      </c>
    </row>
    <row r="3887" spans="1:47">
      <c r="A3887" s="33" t="str">
        <f t="shared" si="1172"/>
        <v>FY 24/25</v>
      </c>
      <c r="B3887" s="23">
        <v>2025</v>
      </c>
      <c r="C3887" s="23">
        <v>1</v>
      </c>
      <c r="D3887" s="202" t="str">
        <f t="shared" si="1165"/>
        <v>Q4</v>
      </c>
      <c r="E3887" s="33" t="str">
        <f t="shared" si="1171"/>
        <v>FY 25/26</v>
      </c>
      <c r="F3887" s="23">
        <v>2025</v>
      </c>
      <c r="G3887" s="23">
        <v>4</v>
      </c>
      <c r="H3887" s="29"/>
      <c r="I3887" s="204" t="str">
        <f t="shared" si="1173"/>
        <v>Q1</v>
      </c>
      <c r="J3887" s="188" t="s">
        <v>3754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2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67"/>
        <v>1</v>
      </c>
      <c r="Z3887" s="196">
        <f t="shared" si="1166"/>
        <v>86650</v>
      </c>
      <c r="AA3887" s="22">
        <v>7.8</v>
      </c>
      <c r="AB3887" s="197">
        <f t="shared" si="1170"/>
        <v>675870</v>
      </c>
      <c r="AC3887" s="198">
        <f t="shared" si="1174"/>
        <v>81104.399999999994</v>
      </c>
      <c r="AD3887" s="169">
        <v>0.12</v>
      </c>
      <c r="AE3887" s="199">
        <f t="shared" si="1175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68"/>
        <v>29497483.159292053</v>
      </c>
      <c r="AJ3887" s="200">
        <f t="shared" si="1169"/>
        <v>3539697.9791150414</v>
      </c>
      <c r="AK3887" s="201">
        <f t="shared" si="1176"/>
        <v>0.11999999999999983</v>
      </c>
      <c r="AL3887" s="24"/>
      <c r="AM3887" s="24"/>
      <c r="AN3887" s="24"/>
      <c r="AO3887" s="24"/>
      <c r="AP3887" s="165" t="str">
        <f t="shared" si="1177"/>
        <v>20254</v>
      </c>
      <c r="AQ3887" s="203" t="str">
        <f t="shared" si="1178"/>
        <v>20254USD</v>
      </c>
      <c r="AR3887" s="206" t="str">
        <f t="shared" si="1179"/>
        <v>YAMAHA_Non_Mounter</v>
      </c>
      <c r="AS3887" s="22">
        <f t="shared" si="1180"/>
        <v>3</v>
      </c>
      <c r="AT3887" s="24" t="str">
        <f t="shared" si="1181"/>
        <v>0-3 months</v>
      </c>
      <c r="AU3887" s="22" t="s">
        <v>3749</v>
      </c>
    </row>
    <row r="3888" spans="1:47">
      <c r="A3888" s="33" t="str">
        <f t="shared" si="1172"/>
        <v>FY 24/25</v>
      </c>
      <c r="B3888" s="23">
        <v>2025</v>
      </c>
      <c r="C3888" s="23">
        <v>1</v>
      </c>
      <c r="D3888" s="202" t="str">
        <f t="shared" si="1165"/>
        <v>Q4</v>
      </c>
      <c r="E3888" s="33" t="str">
        <f t="shared" si="1171"/>
        <v>FY 25/26</v>
      </c>
      <c r="F3888" s="23">
        <v>2025</v>
      </c>
      <c r="G3888" s="23">
        <v>4</v>
      </c>
      <c r="H3888" s="29"/>
      <c r="I3888" s="204" t="str">
        <f t="shared" si="1173"/>
        <v>Q1</v>
      </c>
      <c r="J3888" s="188" t="s">
        <v>3754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2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67"/>
        <v>1</v>
      </c>
      <c r="Z3888" s="196">
        <f t="shared" si="1166"/>
        <v>86650</v>
      </c>
      <c r="AA3888" s="22">
        <v>7.8</v>
      </c>
      <c r="AB3888" s="197">
        <f t="shared" si="1170"/>
        <v>675870</v>
      </c>
      <c r="AC3888" s="198">
        <f t="shared" si="1174"/>
        <v>81104.399999999994</v>
      </c>
      <c r="AD3888" s="169">
        <v>0.12</v>
      </c>
      <c r="AE3888" s="199">
        <f t="shared" si="1175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68"/>
        <v>29497483.159292053</v>
      </c>
      <c r="AJ3888" s="200">
        <f t="shared" si="1169"/>
        <v>3539697.9791150414</v>
      </c>
      <c r="AK3888" s="201">
        <f t="shared" si="1176"/>
        <v>0.11999999999999983</v>
      </c>
      <c r="AL3888" s="24"/>
      <c r="AM3888" s="24"/>
      <c r="AN3888" s="24"/>
      <c r="AO3888" s="24"/>
      <c r="AP3888" s="165" t="str">
        <f t="shared" si="1177"/>
        <v>20254</v>
      </c>
      <c r="AQ3888" s="203" t="str">
        <f t="shared" si="1178"/>
        <v>20254USD</v>
      </c>
      <c r="AR3888" s="206" t="str">
        <f t="shared" si="1179"/>
        <v>YAMAHA_Non_Mounter</v>
      </c>
      <c r="AS3888" s="22">
        <f t="shared" si="1180"/>
        <v>3</v>
      </c>
      <c r="AT3888" s="24" t="str">
        <f t="shared" si="1181"/>
        <v>0-3 months</v>
      </c>
      <c r="AU3888" s="22" t="s">
        <v>3749</v>
      </c>
    </row>
    <row r="3889" spans="1:47">
      <c r="A3889" s="33" t="str">
        <f t="shared" si="1172"/>
        <v>FY 24/25</v>
      </c>
      <c r="B3889" s="23">
        <v>2025</v>
      </c>
      <c r="C3889" s="23">
        <v>1</v>
      </c>
      <c r="D3889" s="202" t="str">
        <f t="shared" si="1165"/>
        <v>Q4</v>
      </c>
      <c r="E3889" s="33" t="str">
        <f t="shared" si="1171"/>
        <v>FY 25/26</v>
      </c>
      <c r="F3889" s="23">
        <v>2025</v>
      </c>
      <c r="G3889" s="23">
        <v>4</v>
      </c>
      <c r="H3889" s="29"/>
      <c r="I3889" s="204" t="str">
        <f t="shared" si="1173"/>
        <v>Q1</v>
      </c>
      <c r="J3889" s="188" t="s">
        <v>3754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2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67"/>
        <v>1</v>
      </c>
      <c r="Z3889" s="196">
        <f t="shared" si="1166"/>
        <v>103500</v>
      </c>
      <c r="AA3889" s="22">
        <v>7.8</v>
      </c>
      <c r="AB3889" s="197">
        <f t="shared" si="1170"/>
        <v>807300</v>
      </c>
      <c r="AC3889" s="198">
        <f t="shared" si="1174"/>
        <v>96876</v>
      </c>
      <c r="AD3889" s="169">
        <v>0.12</v>
      </c>
      <c r="AE3889" s="199">
        <f t="shared" si="1175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68"/>
        <v>29497483.159292053</v>
      </c>
      <c r="AJ3889" s="200">
        <f t="shared" si="1169"/>
        <v>3539697.9791150414</v>
      </c>
      <c r="AK3889" s="201">
        <f t="shared" si="1176"/>
        <v>0.11999999999999983</v>
      </c>
      <c r="AL3889" s="24"/>
      <c r="AM3889" s="24"/>
      <c r="AN3889" s="24"/>
      <c r="AO3889" s="24"/>
      <c r="AP3889" s="165" t="str">
        <f t="shared" si="1177"/>
        <v>20254</v>
      </c>
      <c r="AQ3889" s="203" t="str">
        <f t="shared" si="1178"/>
        <v>20254USD</v>
      </c>
      <c r="AR3889" s="206" t="str">
        <f t="shared" si="1179"/>
        <v>YAMAHA_Mounter</v>
      </c>
      <c r="AS3889" s="22">
        <f t="shared" si="1180"/>
        <v>3</v>
      </c>
      <c r="AT3889" s="24" t="str">
        <f t="shared" si="1181"/>
        <v>0-3 months</v>
      </c>
      <c r="AU3889" s="22" t="s">
        <v>3749</v>
      </c>
    </row>
    <row r="3890" spans="1:47">
      <c r="A3890" s="33" t="str">
        <f t="shared" si="1172"/>
        <v>FY 24/25</v>
      </c>
      <c r="B3890" s="23">
        <v>2025</v>
      </c>
      <c r="C3890" s="23">
        <v>1</v>
      </c>
      <c r="D3890" s="202" t="str">
        <f t="shared" ref="D3890:D3953" si="1183">IF(B3890="","",IF(AND(C3890&gt;=10,C3890&lt;=12),"Q3",IF(AND(C3890&gt;=1,C3890&lt;=3),"Q4",IF(AND(C3890&gt;=7,C3890&lt;=9),"Q2",IF(AND(C3890&gt;=4,C3890&lt;=6),"Q1")))))</f>
        <v>Q4</v>
      </c>
      <c r="E3890" s="33" t="str">
        <f t="shared" si="1171"/>
        <v>FY 25/26</v>
      </c>
      <c r="F3890" s="23">
        <v>2025</v>
      </c>
      <c r="G3890" s="23">
        <v>4</v>
      </c>
      <c r="H3890" s="29"/>
      <c r="I3890" s="204" t="str">
        <f t="shared" si="1173"/>
        <v>Q1</v>
      </c>
      <c r="J3890" s="188" t="s">
        <v>3754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2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67"/>
        <v>1</v>
      </c>
      <c r="Z3890" s="196">
        <f t="shared" ref="Z3890:Z3953" si="1184">IF(X3890="","",X3890*MAX(O3890,N3890))</f>
        <v>103500</v>
      </c>
      <c r="AA3890" s="22">
        <v>7.8</v>
      </c>
      <c r="AB3890" s="197">
        <f t="shared" si="1170"/>
        <v>807300</v>
      </c>
      <c r="AC3890" s="198">
        <f t="shared" si="1174"/>
        <v>96876</v>
      </c>
      <c r="AD3890" s="169">
        <v>0.12</v>
      </c>
      <c r="AE3890" s="199">
        <f t="shared" si="1175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68"/>
        <v>29497483.159292053</v>
      </c>
      <c r="AJ3890" s="200">
        <f t="shared" si="1169"/>
        <v>3539697.9791150414</v>
      </c>
      <c r="AK3890" s="201">
        <f t="shared" si="1176"/>
        <v>0.11999999999999983</v>
      </c>
      <c r="AL3890" s="24"/>
      <c r="AM3890" s="24"/>
      <c r="AN3890" s="24"/>
      <c r="AO3890" s="24"/>
      <c r="AP3890" s="165" t="str">
        <f t="shared" si="1177"/>
        <v>20254</v>
      </c>
      <c r="AQ3890" s="203" t="str">
        <f t="shared" si="1178"/>
        <v>20254USD</v>
      </c>
      <c r="AR3890" s="206" t="str">
        <f t="shared" si="1179"/>
        <v>YAMAHA_Mounter</v>
      </c>
      <c r="AS3890" s="22">
        <f t="shared" si="1180"/>
        <v>3</v>
      </c>
      <c r="AT3890" s="24" t="str">
        <f t="shared" si="1181"/>
        <v>0-3 months</v>
      </c>
      <c r="AU3890" s="22" t="s">
        <v>3749</v>
      </c>
    </row>
    <row r="3891" spans="1:47">
      <c r="A3891" s="33" t="str">
        <f t="shared" si="1172"/>
        <v>FY 24/25</v>
      </c>
      <c r="B3891" s="23">
        <v>2025</v>
      </c>
      <c r="C3891" s="23">
        <v>1</v>
      </c>
      <c r="D3891" s="202" t="str">
        <f t="shared" si="1183"/>
        <v>Q4</v>
      </c>
      <c r="E3891" s="33" t="str">
        <f t="shared" si="1171"/>
        <v>FY 25/26</v>
      </c>
      <c r="F3891" s="23">
        <v>2025</v>
      </c>
      <c r="G3891" s="23">
        <v>4</v>
      </c>
      <c r="H3891" s="29"/>
      <c r="I3891" s="204" t="str">
        <f t="shared" si="1173"/>
        <v>Q1</v>
      </c>
      <c r="J3891" s="188" t="s">
        <v>3754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2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67"/>
        <v>1</v>
      </c>
      <c r="Z3891" s="196">
        <f t="shared" si="1184"/>
        <v>103500</v>
      </c>
      <c r="AA3891" s="22">
        <v>7.8</v>
      </c>
      <c r="AB3891" s="197">
        <f t="shared" si="1170"/>
        <v>807300</v>
      </c>
      <c r="AC3891" s="198">
        <f t="shared" si="1174"/>
        <v>96876</v>
      </c>
      <c r="AD3891" s="169">
        <v>0.12</v>
      </c>
      <c r="AE3891" s="199">
        <f t="shared" si="1175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68"/>
        <v>29497483.159292053</v>
      </c>
      <c r="AJ3891" s="200">
        <f t="shared" si="1169"/>
        <v>3539697.9791150414</v>
      </c>
      <c r="AK3891" s="201">
        <f t="shared" si="1176"/>
        <v>0.11999999999999983</v>
      </c>
      <c r="AL3891" s="24"/>
      <c r="AM3891" s="24"/>
      <c r="AN3891" s="24"/>
      <c r="AO3891" s="24"/>
      <c r="AP3891" s="165" t="str">
        <f t="shared" si="1177"/>
        <v>20254</v>
      </c>
      <c r="AQ3891" s="203" t="str">
        <f t="shared" si="1178"/>
        <v>20254USD</v>
      </c>
      <c r="AR3891" s="206" t="str">
        <f t="shared" si="1179"/>
        <v>YAMAHA_Mounter</v>
      </c>
      <c r="AS3891" s="22">
        <f t="shared" si="1180"/>
        <v>3</v>
      </c>
      <c r="AT3891" s="24" t="str">
        <f t="shared" si="1181"/>
        <v>0-3 months</v>
      </c>
      <c r="AU3891" s="22" t="s">
        <v>3749</v>
      </c>
    </row>
    <row r="3892" spans="1:47">
      <c r="A3892" s="33" t="str">
        <f t="shared" si="1172"/>
        <v>FY 24/25</v>
      </c>
      <c r="B3892" s="23">
        <v>2025</v>
      </c>
      <c r="C3892" s="23">
        <v>1</v>
      </c>
      <c r="D3892" s="202" t="str">
        <f t="shared" si="1183"/>
        <v>Q4</v>
      </c>
      <c r="E3892" s="33" t="str">
        <f t="shared" si="1171"/>
        <v>FY 25/26</v>
      </c>
      <c r="F3892" s="23">
        <v>2025</v>
      </c>
      <c r="G3892" s="23">
        <v>4</v>
      </c>
      <c r="H3892" s="29"/>
      <c r="I3892" s="204" t="str">
        <f t="shared" si="1173"/>
        <v>Q1</v>
      </c>
      <c r="J3892" s="188" t="s">
        <v>3754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2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5">IF(W3892="","",IF(W3892="RMB","1.13", "1"))</f>
        <v>1</v>
      </c>
      <c r="Z3892" s="196">
        <f t="shared" si="1184"/>
        <v>103500</v>
      </c>
      <c r="AA3892" s="22">
        <v>7.8</v>
      </c>
      <c r="AB3892" s="197">
        <f t="shared" si="1170"/>
        <v>807300</v>
      </c>
      <c r="AC3892" s="198">
        <f t="shared" si="1174"/>
        <v>96876</v>
      </c>
      <c r="AD3892" s="169">
        <v>0.12</v>
      </c>
      <c r="AE3892" s="199">
        <f t="shared" si="1175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68"/>
        <v>29497483.159292053</v>
      </c>
      <c r="AJ3892" s="200">
        <f t="shared" si="1169"/>
        <v>3539697.9791150414</v>
      </c>
      <c r="AK3892" s="201">
        <f t="shared" si="1176"/>
        <v>0.11999999999999983</v>
      </c>
      <c r="AL3892" s="24"/>
      <c r="AM3892" s="24"/>
      <c r="AN3892" s="24"/>
      <c r="AO3892" s="24"/>
      <c r="AP3892" s="165" t="str">
        <f t="shared" si="1177"/>
        <v>20254</v>
      </c>
      <c r="AQ3892" s="203" t="str">
        <f t="shared" si="1178"/>
        <v>20254USD</v>
      </c>
      <c r="AR3892" s="206" t="str">
        <f t="shared" si="1179"/>
        <v>YAMAHA_Mounter</v>
      </c>
      <c r="AS3892" s="22">
        <f t="shared" si="1180"/>
        <v>3</v>
      </c>
      <c r="AT3892" s="24" t="str">
        <f t="shared" si="1181"/>
        <v>0-3 months</v>
      </c>
      <c r="AU3892" s="22" t="s">
        <v>3749</v>
      </c>
    </row>
    <row r="3893" spans="1:47">
      <c r="A3893" s="33" t="str">
        <f t="shared" si="1172"/>
        <v>FY 24/25</v>
      </c>
      <c r="B3893" s="23">
        <v>2025</v>
      </c>
      <c r="C3893" s="23">
        <v>1</v>
      </c>
      <c r="D3893" s="202" t="str">
        <f t="shared" si="1183"/>
        <v>Q4</v>
      </c>
      <c r="E3893" s="33" t="str">
        <f t="shared" si="1171"/>
        <v>FY 25/26</v>
      </c>
      <c r="F3893" s="23">
        <v>2025</v>
      </c>
      <c r="G3893" s="23">
        <v>4</v>
      </c>
      <c r="H3893" s="29"/>
      <c r="I3893" s="204" t="str">
        <f t="shared" si="1173"/>
        <v>Q1</v>
      </c>
      <c r="J3893" s="188" t="s">
        <v>3754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2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5"/>
        <v>1</v>
      </c>
      <c r="Z3893" s="196">
        <f t="shared" si="1184"/>
        <v>72050</v>
      </c>
      <c r="AA3893" s="22">
        <v>7.8</v>
      </c>
      <c r="AB3893" s="197">
        <f t="shared" si="1170"/>
        <v>561990</v>
      </c>
      <c r="AC3893" s="198">
        <f t="shared" si="1174"/>
        <v>67438.8</v>
      </c>
      <c r="AD3893" s="169">
        <v>0.12</v>
      </c>
      <c r="AE3893" s="199">
        <f t="shared" si="1175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68"/>
        <v>29497483.159292053</v>
      </c>
      <c r="AJ3893" s="200">
        <f t="shared" si="1169"/>
        <v>3539697.9791150414</v>
      </c>
      <c r="AK3893" s="201">
        <f t="shared" si="1176"/>
        <v>0.11999999999999983</v>
      </c>
      <c r="AL3893" s="24"/>
      <c r="AM3893" s="24"/>
      <c r="AN3893" s="24"/>
      <c r="AO3893" s="24"/>
      <c r="AP3893" s="165" t="str">
        <f t="shared" si="1177"/>
        <v>20254</v>
      </c>
      <c r="AQ3893" s="203" t="str">
        <f t="shared" si="1178"/>
        <v>20254USD</v>
      </c>
      <c r="AR3893" s="206" t="str">
        <f t="shared" si="1179"/>
        <v>YAMAHA_Mounter</v>
      </c>
      <c r="AS3893" s="22">
        <f t="shared" si="1180"/>
        <v>3</v>
      </c>
      <c r="AT3893" s="24" t="str">
        <f t="shared" si="1181"/>
        <v>0-3 months</v>
      </c>
      <c r="AU3893" s="22" t="s">
        <v>3749</v>
      </c>
    </row>
    <row r="3894" spans="1:47">
      <c r="A3894" s="33" t="str">
        <f t="shared" si="1172"/>
        <v>FY 24/25</v>
      </c>
      <c r="B3894" s="23">
        <v>2025</v>
      </c>
      <c r="C3894" s="23">
        <v>1</v>
      </c>
      <c r="D3894" s="202" t="str">
        <f t="shared" si="1183"/>
        <v>Q4</v>
      </c>
      <c r="E3894" s="33" t="str">
        <f t="shared" si="1171"/>
        <v>FY 25/26</v>
      </c>
      <c r="F3894" s="23">
        <v>2025</v>
      </c>
      <c r="G3894" s="23">
        <v>4</v>
      </c>
      <c r="H3894" s="29"/>
      <c r="I3894" s="204" t="str">
        <f t="shared" si="1173"/>
        <v>Q1</v>
      </c>
      <c r="J3894" s="188" t="s">
        <v>3754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2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5"/>
        <v>1</v>
      </c>
      <c r="Z3894" s="196">
        <f t="shared" si="1184"/>
        <v>72050</v>
      </c>
      <c r="AA3894" s="22">
        <v>7.8</v>
      </c>
      <c r="AB3894" s="197">
        <f t="shared" si="1170"/>
        <v>561990</v>
      </c>
      <c r="AC3894" s="198">
        <f t="shared" si="1174"/>
        <v>67438.8</v>
      </c>
      <c r="AD3894" s="169">
        <v>0.12</v>
      </c>
      <c r="AE3894" s="199">
        <f t="shared" si="1175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68"/>
        <v>29497483.159292053</v>
      </c>
      <c r="AJ3894" s="200">
        <f t="shared" si="1169"/>
        <v>3539697.9791150414</v>
      </c>
      <c r="AK3894" s="201">
        <f t="shared" si="1176"/>
        <v>0.11999999999999983</v>
      </c>
      <c r="AL3894" s="24"/>
      <c r="AM3894" s="24"/>
      <c r="AN3894" s="24"/>
      <c r="AO3894" s="24"/>
      <c r="AP3894" s="165" t="str">
        <f t="shared" si="1177"/>
        <v>20254</v>
      </c>
      <c r="AQ3894" s="203" t="str">
        <f t="shared" si="1178"/>
        <v>20254USD</v>
      </c>
      <c r="AR3894" s="206" t="str">
        <f t="shared" si="1179"/>
        <v>YAMAHA_Mounter</v>
      </c>
      <c r="AS3894" s="22">
        <f t="shared" si="1180"/>
        <v>3</v>
      </c>
      <c r="AT3894" s="24" t="str">
        <f t="shared" si="1181"/>
        <v>0-3 months</v>
      </c>
      <c r="AU3894" s="22" t="s">
        <v>3749</v>
      </c>
    </row>
    <row r="3895" spans="1:47">
      <c r="A3895" s="33" t="str">
        <f t="shared" si="1172"/>
        <v>FY 24/25</v>
      </c>
      <c r="B3895" s="23">
        <v>2025</v>
      </c>
      <c r="C3895" s="23">
        <v>1</v>
      </c>
      <c r="D3895" s="202" t="str">
        <f t="shared" si="1183"/>
        <v>Q4</v>
      </c>
      <c r="E3895" s="33" t="str">
        <f t="shared" si="1171"/>
        <v>FY 25/26</v>
      </c>
      <c r="F3895" s="23">
        <v>2025</v>
      </c>
      <c r="G3895" s="23">
        <v>4</v>
      </c>
      <c r="H3895" s="29"/>
      <c r="I3895" s="204" t="str">
        <f t="shared" si="1173"/>
        <v>Q1</v>
      </c>
      <c r="J3895" s="188" t="s">
        <v>3683</v>
      </c>
      <c r="K3895" s="29" t="s">
        <v>1830</v>
      </c>
      <c r="L3895" s="24" t="s">
        <v>3684</v>
      </c>
      <c r="M3895" s="13" t="s">
        <v>60</v>
      </c>
      <c r="N3895" s="22">
        <v>1</v>
      </c>
      <c r="O3895" s="22"/>
      <c r="P3895" s="202" t="str">
        <f t="shared" si="1182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5"/>
        <v>1.13</v>
      </c>
      <c r="Z3895" s="196">
        <f t="shared" si="1184"/>
        <v>306400</v>
      </c>
      <c r="AA3895" s="22">
        <v>1.0669999999999999</v>
      </c>
      <c r="AB3895" s="197">
        <f t="shared" si="1170"/>
        <v>289317.52212389384</v>
      </c>
      <c r="AC3895" s="198">
        <f t="shared" si="1174"/>
        <v>34718.10265486726</v>
      </c>
      <c r="AD3895" s="169">
        <v>0.12</v>
      </c>
      <c r="AE3895" s="199">
        <f t="shared" si="1175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68"/>
        <v>29497483.159292053</v>
      </c>
      <c r="AJ3895" s="200">
        <f t="shared" si="1169"/>
        <v>3539697.9791150414</v>
      </c>
      <c r="AK3895" s="201">
        <f t="shared" si="1176"/>
        <v>0.11999999999999983</v>
      </c>
      <c r="AL3895" s="24"/>
      <c r="AM3895" s="24"/>
      <c r="AN3895" s="24"/>
      <c r="AO3895" s="24"/>
      <c r="AP3895" s="165" t="str">
        <f t="shared" si="1177"/>
        <v>20254</v>
      </c>
      <c r="AQ3895" s="203" t="str">
        <f t="shared" si="1178"/>
        <v>20254RMB</v>
      </c>
      <c r="AR3895" s="206" t="str">
        <f t="shared" si="1179"/>
        <v>YAMAHA_Non_Mounter</v>
      </c>
      <c r="AS3895" s="22">
        <f t="shared" si="1180"/>
        <v>3</v>
      </c>
      <c r="AT3895" s="24" t="str">
        <f t="shared" si="1181"/>
        <v>0-3 months</v>
      </c>
      <c r="AU3895" s="22" t="s">
        <v>3240</v>
      </c>
    </row>
    <row r="3896" spans="1:47">
      <c r="A3896" s="33" t="str">
        <f t="shared" si="1172"/>
        <v>FY 24/25</v>
      </c>
      <c r="B3896" s="23">
        <v>2025</v>
      </c>
      <c r="C3896" s="23">
        <v>1</v>
      </c>
      <c r="D3896" s="202" t="str">
        <f t="shared" si="1183"/>
        <v>Q4</v>
      </c>
      <c r="E3896" s="33" t="str">
        <f t="shared" si="1171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3683</v>
      </c>
      <c r="K3896" s="29" t="s">
        <v>1830</v>
      </c>
      <c r="L3896" s="24" t="s">
        <v>3684</v>
      </c>
      <c r="M3896" s="13" t="s">
        <v>60</v>
      </c>
      <c r="N3896" s="22">
        <v>1</v>
      </c>
      <c r="O3896" s="22"/>
      <c r="P3896" s="202" t="str">
        <f t="shared" si="1182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5"/>
        <v>1.13</v>
      </c>
      <c r="Z3896" s="196">
        <f t="shared" si="1184"/>
        <v>306400</v>
      </c>
      <c r="AA3896" s="22">
        <v>1.0669999999999999</v>
      </c>
      <c r="AB3896" s="197">
        <f t="shared" si="1170"/>
        <v>289317.52212389384</v>
      </c>
      <c r="AC3896" s="198">
        <f t="shared" si="1174"/>
        <v>34718.10265486726</v>
      </c>
      <c r="AD3896" s="169">
        <v>0.12</v>
      </c>
      <c r="AE3896" s="199">
        <f t="shared" si="1175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68"/>
        <v>29497483.159292053</v>
      </c>
      <c r="AJ3896" s="200">
        <f t="shared" si="1169"/>
        <v>3539697.9791150414</v>
      </c>
      <c r="AK3896" s="201">
        <f t="shared" ref="AK3896" si="1186">IF(AJ3896&gt;0,AJ3896/AI3896,"")</f>
        <v>0.11999999999999983</v>
      </c>
      <c r="AL3896" s="24"/>
      <c r="AM3896" s="24"/>
      <c r="AN3896" s="24"/>
      <c r="AO3896" s="24"/>
      <c r="AP3896" s="165" t="str">
        <f t="shared" ref="AP3896" si="1187">IF(F3896="","",F3896&amp;G3896)</f>
        <v>20254</v>
      </c>
      <c r="AQ3896" s="203" t="str">
        <f t="shared" ref="AQ3896" si="1188">IF(W3896="","",F3896&amp;G3896&amp;W3896)</f>
        <v>20254RMB</v>
      </c>
      <c r="AR3896" s="206" t="str">
        <f t="shared" ref="AR3896" si="1189">IFERROR(IF(AND(M3896="YAMAHA", R3896="C28"), "YAMAHA_Non_Mounter", IF(AND(M3896="YAMAHA", R3896="C49"), "YAMAHA_Mounter", M3896)),"")</f>
        <v>YAMAHA_Non_Mounter</v>
      </c>
      <c r="AS3896" s="22">
        <f t="shared" ref="AS3896" si="1190">IFERROR(IF(OR(G3896="TBA", G3896=""), "", DATEDIF(DATE(B3896, C3896, 1), DATE(F3896, G3896, 1), "M")),"")</f>
        <v>3</v>
      </c>
      <c r="AT3896" s="24" t="str">
        <f t="shared" ref="AT3896" si="1191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2"/>
        <v>FY 24/25</v>
      </c>
      <c r="B3897" s="23">
        <v>2025</v>
      </c>
      <c r="C3897" s="23">
        <v>1</v>
      </c>
      <c r="D3897" s="202" t="str">
        <f t="shared" si="1183"/>
        <v>Q4</v>
      </c>
      <c r="E3897" s="33" t="str">
        <f t="shared" si="1171"/>
        <v>FY 25/26</v>
      </c>
      <c r="F3897" s="23">
        <v>2025</v>
      </c>
      <c r="G3897" s="23">
        <v>4</v>
      </c>
      <c r="H3897" s="29"/>
      <c r="I3897" s="204" t="str">
        <f t="shared" si="1173"/>
        <v>Q1</v>
      </c>
      <c r="J3897" s="188" t="s">
        <v>3683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2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5"/>
        <v>1.13</v>
      </c>
      <c r="Z3897" s="196">
        <f t="shared" si="1184"/>
        <v>750000</v>
      </c>
      <c r="AA3897" s="22">
        <v>1.0669999999999999</v>
      </c>
      <c r="AB3897" s="197">
        <f t="shared" si="1170"/>
        <v>708185.84070796473</v>
      </c>
      <c r="AC3897" s="198">
        <f t="shared" si="1174"/>
        <v>84982.300884955766</v>
      </c>
      <c r="AD3897" s="169">
        <v>0.12</v>
      </c>
      <c r="AE3897" s="199">
        <f t="shared" si="1175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68"/>
        <v>29497483.159292053</v>
      </c>
      <c r="AJ3897" s="200">
        <f t="shared" si="1169"/>
        <v>3539697.9791150414</v>
      </c>
      <c r="AK3897" s="201">
        <f t="shared" si="1176"/>
        <v>0.11999999999999983</v>
      </c>
      <c r="AL3897" s="24"/>
      <c r="AM3897" s="24"/>
      <c r="AN3897" s="24"/>
      <c r="AO3897" s="24"/>
      <c r="AP3897" s="165" t="str">
        <f t="shared" si="1177"/>
        <v>20254</v>
      </c>
      <c r="AQ3897" s="203" t="str">
        <f t="shared" si="1178"/>
        <v>20254RMB</v>
      </c>
      <c r="AR3897" s="206" t="str">
        <f t="shared" si="1179"/>
        <v>YAMAHA_Mounter</v>
      </c>
      <c r="AS3897" s="22">
        <f t="shared" si="1180"/>
        <v>3</v>
      </c>
      <c r="AT3897" s="24" t="str">
        <f t="shared" si="1181"/>
        <v>0-3 months</v>
      </c>
      <c r="AU3897" s="22" t="s">
        <v>3240</v>
      </c>
    </row>
    <row r="3898" spans="1:47">
      <c r="A3898" s="33" t="str">
        <f t="shared" si="1172"/>
        <v>FY 24/25</v>
      </c>
      <c r="B3898" s="23">
        <v>2025</v>
      </c>
      <c r="C3898" s="23">
        <v>1</v>
      </c>
      <c r="D3898" s="202" t="str">
        <f t="shared" si="1183"/>
        <v>Q4</v>
      </c>
      <c r="E3898" s="33" t="str">
        <f t="shared" si="1171"/>
        <v>FY 25/26</v>
      </c>
      <c r="F3898" s="23">
        <v>2025</v>
      </c>
      <c r="G3898" s="23">
        <v>4</v>
      </c>
      <c r="H3898" s="29"/>
      <c r="I3898" s="204" t="str">
        <f t="shared" si="1173"/>
        <v>Q1</v>
      </c>
      <c r="J3898" s="188" t="s">
        <v>3683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2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5"/>
        <v>1.13</v>
      </c>
      <c r="Z3898" s="196">
        <f t="shared" si="1184"/>
        <v>750000</v>
      </c>
      <c r="AA3898" s="22">
        <v>1.0669999999999999</v>
      </c>
      <c r="AB3898" s="197">
        <f t="shared" si="1170"/>
        <v>708185.84070796473</v>
      </c>
      <c r="AC3898" s="198">
        <f t="shared" si="1174"/>
        <v>84982.300884955766</v>
      </c>
      <c r="AD3898" s="169">
        <v>0.12</v>
      </c>
      <c r="AE3898" s="199">
        <f t="shared" si="1175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68"/>
        <v>29497483.159292053</v>
      </c>
      <c r="AJ3898" s="200">
        <f t="shared" si="1169"/>
        <v>3539697.9791150414</v>
      </c>
      <c r="AK3898" s="201">
        <f t="shared" si="1176"/>
        <v>0.11999999999999983</v>
      </c>
      <c r="AL3898" s="24"/>
      <c r="AM3898" s="24"/>
      <c r="AN3898" s="24"/>
      <c r="AO3898" s="24"/>
      <c r="AP3898" s="165" t="str">
        <f t="shared" si="1177"/>
        <v>20254</v>
      </c>
      <c r="AQ3898" s="203" t="str">
        <f t="shared" si="1178"/>
        <v>20254RMB</v>
      </c>
      <c r="AR3898" s="206" t="str">
        <f t="shared" si="1179"/>
        <v>YAMAHA_Mounter</v>
      </c>
      <c r="AS3898" s="22">
        <f t="shared" si="1180"/>
        <v>3</v>
      </c>
      <c r="AT3898" s="24" t="str">
        <f t="shared" si="1181"/>
        <v>0-3 months</v>
      </c>
      <c r="AU3898" s="22" t="s">
        <v>3240</v>
      </c>
    </row>
    <row r="3899" spans="1:47">
      <c r="A3899" s="33" t="str">
        <f t="shared" si="1172"/>
        <v>FY 24/25</v>
      </c>
      <c r="B3899" s="23">
        <v>2025</v>
      </c>
      <c r="C3899" s="23">
        <v>1</v>
      </c>
      <c r="D3899" s="202" t="str">
        <f t="shared" si="1183"/>
        <v>Q4</v>
      </c>
      <c r="E3899" s="33" t="str">
        <f t="shared" si="1171"/>
        <v>FY 25/26</v>
      </c>
      <c r="F3899" s="23">
        <v>2025</v>
      </c>
      <c r="G3899" s="23">
        <v>4</v>
      </c>
      <c r="H3899" s="29"/>
      <c r="I3899" s="204" t="str">
        <f t="shared" si="1173"/>
        <v>Q1</v>
      </c>
      <c r="J3899" s="188" t="s">
        <v>3683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2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5"/>
        <v>1.13</v>
      </c>
      <c r="Z3899" s="196">
        <f t="shared" si="1184"/>
        <v>750000</v>
      </c>
      <c r="AA3899" s="22">
        <v>1.0669999999999999</v>
      </c>
      <c r="AB3899" s="197">
        <f t="shared" si="1170"/>
        <v>708185.84070796473</v>
      </c>
      <c r="AC3899" s="198">
        <f t="shared" si="1174"/>
        <v>84982.300884955766</v>
      </c>
      <c r="AD3899" s="169">
        <v>0.12</v>
      </c>
      <c r="AE3899" s="199">
        <f t="shared" si="1175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68"/>
        <v>29497483.159292053</v>
      </c>
      <c r="AJ3899" s="200">
        <f t="shared" si="1169"/>
        <v>3539697.9791150414</v>
      </c>
      <c r="AK3899" s="201">
        <f t="shared" si="1176"/>
        <v>0.11999999999999983</v>
      </c>
      <c r="AL3899" s="24"/>
      <c r="AM3899" s="24"/>
      <c r="AN3899" s="24"/>
      <c r="AO3899" s="24"/>
      <c r="AP3899" s="165" t="str">
        <f t="shared" si="1177"/>
        <v>20254</v>
      </c>
      <c r="AQ3899" s="203" t="str">
        <f t="shared" si="1178"/>
        <v>20254RMB</v>
      </c>
      <c r="AR3899" s="206" t="str">
        <f t="shared" si="1179"/>
        <v>YAMAHA_Mounter</v>
      </c>
      <c r="AS3899" s="22">
        <f t="shared" si="1180"/>
        <v>3</v>
      </c>
      <c r="AT3899" s="24" t="str">
        <f t="shared" si="1181"/>
        <v>0-3 months</v>
      </c>
      <c r="AU3899" s="22" t="s">
        <v>3240</v>
      </c>
    </row>
    <row r="3900" spans="1:47">
      <c r="A3900" s="33" t="str">
        <f t="shared" si="1172"/>
        <v>FY 24/25</v>
      </c>
      <c r="B3900" s="23">
        <v>2025</v>
      </c>
      <c r="C3900" s="23">
        <v>1</v>
      </c>
      <c r="D3900" s="202" t="str">
        <f t="shared" si="1183"/>
        <v>Q4</v>
      </c>
      <c r="E3900" s="33" t="str">
        <f t="shared" si="1171"/>
        <v>FY 25/26</v>
      </c>
      <c r="F3900" s="23">
        <v>2025</v>
      </c>
      <c r="G3900" s="23">
        <v>4</v>
      </c>
      <c r="H3900" s="29"/>
      <c r="I3900" s="204" t="str">
        <f t="shared" si="1173"/>
        <v>Q1</v>
      </c>
      <c r="J3900" s="188" t="s">
        <v>3683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2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5"/>
        <v>1.13</v>
      </c>
      <c r="Z3900" s="196">
        <f t="shared" si="1184"/>
        <v>750000</v>
      </c>
      <c r="AA3900" s="22">
        <v>1.0669999999999999</v>
      </c>
      <c r="AB3900" s="197">
        <f t="shared" si="1170"/>
        <v>708185.84070796473</v>
      </c>
      <c r="AC3900" s="198">
        <f t="shared" si="1174"/>
        <v>84982.300884955766</v>
      </c>
      <c r="AD3900" s="169">
        <v>0.12</v>
      </c>
      <c r="AE3900" s="199">
        <f t="shared" si="1175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68"/>
        <v>29497483.159292053</v>
      </c>
      <c r="AJ3900" s="200">
        <f t="shared" si="1169"/>
        <v>3539697.9791150414</v>
      </c>
      <c r="AK3900" s="201">
        <f t="shared" si="1176"/>
        <v>0.11999999999999983</v>
      </c>
      <c r="AL3900" s="24"/>
      <c r="AM3900" s="24"/>
      <c r="AN3900" s="24"/>
      <c r="AO3900" s="24"/>
      <c r="AP3900" s="165" t="str">
        <f t="shared" si="1177"/>
        <v>20254</v>
      </c>
      <c r="AQ3900" s="203" t="str">
        <f t="shared" si="1178"/>
        <v>20254RMB</v>
      </c>
      <c r="AR3900" s="206" t="str">
        <f t="shared" si="1179"/>
        <v>YAMAHA_Mounter</v>
      </c>
      <c r="AS3900" s="22">
        <f t="shared" si="1180"/>
        <v>3</v>
      </c>
      <c r="AT3900" s="24" t="str">
        <f t="shared" si="1181"/>
        <v>0-3 months</v>
      </c>
      <c r="AU3900" s="22" t="s">
        <v>3240</v>
      </c>
    </row>
    <row r="3901" spans="1:47">
      <c r="A3901" s="33" t="str">
        <f t="shared" si="1172"/>
        <v>FY 24/25</v>
      </c>
      <c r="B3901" s="23">
        <v>2025</v>
      </c>
      <c r="C3901" s="23">
        <v>1</v>
      </c>
      <c r="D3901" s="202" t="str">
        <f t="shared" si="1183"/>
        <v>Q4</v>
      </c>
      <c r="E3901" s="33" t="str">
        <f t="shared" si="1171"/>
        <v>FY 25/26</v>
      </c>
      <c r="F3901" s="23">
        <v>2025</v>
      </c>
      <c r="G3901" s="23">
        <v>4</v>
      </c>
      <c r="H3901" s="29"/>
      <c r="I3901" s="204" t="str">
        <f t="shared" si="1173"/>
        <v>Q1</v>
      </c>
      <c r="J3901" s="188" t="s">
        <v>3683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2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5"/>
        <v>1.13</v>
      </c>
      <c r="Z3901" s="196">
        <f t="shared" si="1184"/>
        <v>750000</v>
      </c>
      <c r="AA3901" s="22">
        <v>1.0669999999999999</v>
      </c>
      <c r="AB3901" s="197">
        <f t="shared" si="1170"/>
        <v>708185.84070796473</v>
      </c>
      <c r="AC3901" s="198">
        <f t="shared" si="1174"/>
        <v>84982.300884955766</v>
      </c>
      <c r="AD3901" s="169">
        <v>0.12</v>
      </c>
      <c r="AE3901" s="199">
        <f t="shared" si="1175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68"/>
        <v>29497483.159292053</v>
      </c>
      <c r="AJ3901" s="200">
        <f t="shared" si="1169"/>
        <v>3539697.9791150414</v>
      </c>
      <c r="AK3901" s="201">
        <f t="shared" si="1176"/>
        <v>0.11999999999999983</v>
      </c>
      <c r="AL3901" s="24"/>
      <c r="AM3901" s="24"/>
      <c r="AN3901" s="24"/>
      <c r="AO3901" s="24"/>
      <c r="AP3901" s="165" t="str">
        <f t="shared" si="1177"/>
        <v>20254</v>
      </c>
      <c r="AQ3901" s="203" t="str">
        <f t="shared" si="1178"/>
        <v>20254RMB</v>
      </c>
      <c r="AR3901" s="206" t="str">
        <f t="shared" si="1179"/>
        <v>YAMAHA_Mounter</v>
      </c>
      <c r="AS3901" s="22">
        <f t="shared" si="1180"/>
        <v>3</v>
      </c>
      <c r="AT3901" s="24" t="str">
        <f t="shared" si="1181"/>
        <v>0-3 months</v>
      </c>
      <c r="AU3901" s="22" t="s">
        <v>3240</v>
      </c>
    </row>
    <row r="3902" spans="1:47">
      <c r="A3902" s="33" t="str">
        <f t="shared" si="1172"/>
        <v>FY 24/25</v>
      </c>
      <c r="B3902" s="23">
        <v>2025</v>
      </c>
      <c r="C3902" s="23">
        <v>1</v>
      </c>
      <c r="D3902" s="202" t="str">
        <f t="shared" si="1183"/>
        <v>Q4</v>
      </c>
      <c r="E3902" s="33" t="str">
        <f t="shared" si="1171"/>
        <v>FY 25/26</v>
      </c>
      <c r="F3902" s="23">
        <v>2025</v>
      </c>
      <c r="G3902" s="23">
        <v>4</v>
      </c>
      <c r="H3902" s="29"/>
      <c r="I3902" s="204" t="str">
        <f t="shared" si="1173"/>
        <v>Q1</v>
      </c>
      <c r="J3902" s="188" t="s">
        <v>3683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2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5"/>
        <v>1.13</v>
      </c>
      <c r="Z3902" s="196">
        <f t="shared" si="1184"/>
        <v>750000</v>
      </c>
      <c r="AA3902" s="22">
        <v>1.0669999999999999</v>
      </c>
      <c r="AB3902" s="197">
        <f t="shared" si="1170"/>
        <v>708185.84070796473</v>
      </c>
      <c r="AC3902" s="198">
        <f t="shared" si="1174"/>
        <v>84982.300884955766</v>
      </c>
      <c r="AD3902" s="169">
        <v>0.12</v>
      </c>
      <c r="AE3902" s="199">
        <f t="shared" si="1175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68"/>
        <v>29497483.159292053</v>
      </c>
      <c r="AJ3902" s="200">
        <f t="shared" si="1169"/>
        <v>3539697.9791150414</v>
      </c>
      <c r="AK3902" s="201">
        <f t="shared" si="1176"/>
        <v>0.11999999999999983</v>
      </c>
      <c r="AL3902" s="24"/>
      <c r="AM3902" s="24"/>
      <c r="AN3902" s="24"/>
      <c r="AO3902" s="24"/>
      <c r="AP3902" s="165" t="str">
        <f t="shared" si="1177"/>
        <v>20254</v>
      </c>
      <c r="AQ3902" s="203" t="str">
        <f t="shared" si="1178"/>
        <v>20254RMB</v>
      </c>
      <c r="AR3902" s="206" t="str">
        <f t="shared" si="1179"/>
        <v>YAMAHA_Mounter</v>
      </c>
      <c r="AS3902" s="22">
        <f t="shared" si="1180"/>
        <v>3</v>
      </c>
      <c r="AT3902" s="24" t="str">
        <f t="shared" si="1181"/>
        <v>0-3 months</v>
      </c>
      <c r="AU3902" s="22" t="s">
        <v>3240</v>
      </c>
    </row>
    <row r="3903" spans="1:47">
      <c r="A3903" s="33" t="str">
        <f t="shared" si="1172"/>
        <v>FY 24/25</v>
      </c>
      <c r="B3903" s="23">
        <v>2025</v>
      </c>
      <c r="C3903" s="23">
        <v>1</v>
      </c>
      <c r="D3903" s="202" t="str">
        <f t="shared" si="1183"/>
        <v>Q4</v>
      </c>
      <c r="E3903" s="33" t="str">
        <f t="shared" si="1171"/>
        <v>FY 25/26</v>
      </c>
      <c r="F3903" s="23">
        <v>2025</v>
      </c>
      <c r="G3903" s="23">
        <v>4</v>
      </c>
      <c r="H3903" s="29"/>
      <c r="I3903" s="204" t="str">
        <f t="shared" si="1173"/>
        <v>Q1</v>
      </c>
      <c r="J3903" s="188" t="s">
        <v>3683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2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5"/>
        <v>1.13</v>
      </c>
      <c r="Z3903" s="196">
        <f t="shared" si="1184"/>
        <v>750000</v>
      </c>
      <c r="AA3903" s="22">
        <v>1.0669999999999999</v>
      </c>
      <c r="AB3903" s="197">
        <f t="shared" si="1170"/>
        <v>708185.84070796473</v>
      </c>
      <c r="AC3903" s="198">
        <f t="shared" si="1174"/>
        <v>84982.300884955766</v>
      </c>
      <c r="AD3903" s="169">
        <v>0.12</v>
      </c>
      <c r="AE3903" s="199">
        <f t="shared" si="1175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68"/>
        <v>29497483.159292053</v>
      </c>
      <c r="AJ3903" s="200">
        <f t="shared" si="1169"/>
        <v>3539697.9791150414</v>
      </c>
      <c r="AK3903" s="201">
        <f t="shared" si="1176"/>
        <v>0.11999999999999983</v>
      </c>
      <c r="AL3903" s="24"/>
      <c r="AM3903" s="24"/>
      <c r="AN3903" s="24"/>
      <c r="AO3903" s="24"/>
      <c r="AP3903" s="165" t="str">
        <f t="shared" si="1177"/>
        <v>20254</v>
      </c>
      <c r="AQ3903" s="203" t="str">
        <f t="shared" si="1178"/>
        <v>20254RMB</v>
      </c>
      <c r="AR3903" s="206" t="str">
        <f t="shared" si="1179"/>
        <v>YAMAHA_Mounter</v>
      </c>
      <c r="AS3903" s="22">
        <f t="shared" si="1180"/>
        <v>3</v>
      </c>
      <c r="AT3903" s="24" t="str">
        <f t="shared" si="1181"/>
        <v>0-3 months</v>
      </c>
      <c r="AU3903" s="22" t="s">
        <v>3240</v>
      </c>
    </row>
    <row r="3904" spans="1:47">
      <c r="A3904" s="33" t="str">
        <f t="shared" si="1172"/>
        <v>FY 24/25</v>
      </c>
      <c r="B3904" s="23">
        <v>2025</v>
      </c>
      <c r="C3904" s="23">
        <v>1</v>
      </c>
      <c r="D3904" s="202" t="str">
        <f t="shared" si="1183"/>
        <v>Q4</v>
      </c>
      <c r="E3904" s="33" t="str">
        <f t="shared" si="1171"/>
        <v>FY 25/26</v>
      </c>
      <c r="F3904" s="23">
        <v>2025</v>
      </c>
      <c r="G3904" s="23">
        <v>4</v>
      </c>
      <c r="H3904" s="29"/>
      <c r="I3904" s="204" t="str">
        <f t="shared" si="1173"/>
        <v>Q1</v>
      </c>
      <c r="J3904" s="188" t="s">
        <v>3683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2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5"/>
        <v>1.13</v>
      </c>
      <c r="Z3904" s="196">
        <f t="shared" si="1184"/>
        <v>750000</v>
      </c>
      <c r="AA3904" s="22">
        <v>1.0669999999999999</v>
      </c>
      <c r="AB3904" s="197">
        <f t="shared" si="1170"/>
        <v>708185.84070796473</v>
      </c>
      <c r="AC3904" s="198">
        <f t="shared" si="1174"/>
        <v>84982.300884955766</v>
      </c>
      <c r="AD3904" s="169">
        <v>0.12</v>
      </c>
      <c r="AE3904" s="199">
        <f t="shared" si="1175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68"/>
        <v>29497483.159292053</v>
      </c>
      <c r="AJ3904" s="200">
        <f t="shared" si="1169"/>
        <v>3539697.9791150414</v>
      </c>
      <c r="AK3904" s="201">
        <f t="shared" si="1176"/>
        <v>0.11999999999999983</v>
      </c>
      <c r="AL3904" s="24"/>
      <c r="AM3904" s="24"/>
      <c r="AN3904" s="24"/>
      <c r="AO3904" s="24"/>
      <c r="AP3904" s="165" t="str">
        <f t="shared" si="1177"/>
        <v>20254</v>
      </c>
      <c r="AQ3904" s="203" t="str">
        <f t="shared" si="1178"/>
        <v>20254RMB</v>
      </c>
      <c r="AR3904" s="206" t="str">
        <f t="shared" si="1179"/>
        <v>YAMAHA_Mounter</v>
      </c>
      <c r="AS3904" s="22">
        <f t="shared" si="1180"/>
        <v>3</v>
      </c>
      <c r="AT3904" s="24" t="str">
        <f t="shared" si="1181"/>
        <v>0-3 months</v>
      </c>
      <c r="AU3904" s="22" t="s">
        <v>3240</v>
      </c>
    </row>
    <row r="3905" spans="1:47">
      <c r="A3905" s="33" t="str">
        <f t="shared" si="1172"/>
        <v>FY 24/25</v>
      </c>
      <c r="B3905" s="23">
        <v>2025</v>
      </c>
      <c r="C3905" s="23">
        <v>1</v>
      </c>
      <c r="D3905" s="202" t="str">
        <f t="shared" si="1183"/>
        <v>Q4</v>
      </c>
      <c r="E3905" s="33" t="str">
        <f t="shared" si="1171"/>
        <v>FY 25/26</v>
      </c>
      <c r="F3905" s="23">
        <v>2025</v>
      </c>
      <c r="G3905" s="23">
        <v>4</v>
      </c>
      <c r="H3905" s="29"/>
      <c r="I3905" s="204" t="str">
        <f t="shared" si="1173"/>
        <v>Q1</v>
      </c>
      <c r="J3905" s="188" t="s">
        <v>3683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2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5"/>
        <v>1.13</v>
      </c>
      <c r="Z3905" s="196">
        <f t="shared" si="1184"/>
        <v>750000</v>
      </c>
      <c r="AA3905" s="22">
        <v>1.0669999999999999</v>
      </c>
      <c r="AB3905" s="197">
        <f t="shared" si="1170"/>
        <v>708185.84070796473</v>
      </c>
      <c r="AC3905" s="198">
        <f t="shared" si="1174"/>
        <v>84982.300884955766</v>
      </c>
      <c r="AD3905" s="169">
        <v>0.12</v>
      </c>
      <c r="AE3905" s="199">
        <f t="shared" si="1175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68"/>
        <v>29497483.159292053</v>
      </c>
      <c r="AJ3905" s="200">
        <f t="shared" si="1169"/>
        <v>3539697.9791150414</v>
      </c>
      <c r="AK3905" s="201">
        <f t="shared" si="1176"/>
        <v>0.11999999999999983</v>
      </c>
      <c r="AL3905" s="24"/>
      <c r="AM3905" s="24"/>
      <c r="AN3905" s="24"/>
      <c r="AO3905" s="24"/>
      <c r="AP3905" s="165" t="str">
        <f t="shared" si="1177"/>
        <v>20254</v>
      </c>
      <c r="AQ3905" s="203" t="str">
        <f t="shared" si="1178"/>
        <v>20254RMB</v>
      </c>
      <c r="AR3905" s="206" t="str">
        <f t="shared" si="1179"/>
        <v>YAMAHA_Mounter</v>
      </c>
      <c r="AS3905" s="22">
        <f t="shared" si="1180"/>
        <v>3</v>
      </c>
      <c r="AT3905" s="24" t="str">
        <f t="shared" si="1181"/>
        <v>0-3 months</v>
      </c>
      <c r="AU3905" s="22" t="s">
        <v>3240</v>
      </c>
    </row>
    <row r="3906" spans="1:47">
      <c r="A3906" s="33" t="str">
        <f t="shared" si="1172"/>
        <v>FY 24/25</v>
      </c>
      <c r="B3906" s="23">
        <v>2025</v>
      </c>
      <c r="C3906" s="23">
        <v>1</v>
      </c>
      <c r="D3906" s="202" t="str">
        <f t="shared" si="1183"/>
        <v>Q4</v>
      </c>
      <c r="E3906" s="33" t="str">
        <f t="shared" si="1171"/>
        <v>FY 25/26</v>
      </c>
      <c r="F3906" s="23">
        <v>2025</v>
      </c>
      <c r="G3906" s="23">
        <v>4</v>
      </c>
      <c r="H3906" s="29"/>
      <c r="I3906" s="204" t="str">
        <f t="shared" si="1173"/>
        <v>Q1</v>
      </c>
      <c r="J3906" s="188" t="s">
        <v>3683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2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5"/>
        <v>1.13</v>
      </c>
      <c r="Z3906" s="196">
        <f t="shared" si="1184"/>
        <v>734670</v>
      </c>
      <c r="AA3906" s="22">
        <v>1.0669999999999999</v>
      </c>
      <c r="AB3906" s="197">
        <f t="shared" si="1170"/>
        <v>693710.52212389384</v>
      </c>
      <c r="AC3906" s="198">
        <f t="shared" si="1174"/>
        <v>83245.262654867256</v>
      </c>
      <c r="AD3906" s="169">
        <v>0.12</v>
      </c>
      <c r="AE3906" s="199">
        <f t="shared" si="1175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13" si="1192">IF(P3906="C66 SERVICE","",SUMIFS(AB:AB,F:F,F3906,G:G,G3906,E:E,E3906))</f>
        <v>29497483.159292053</v>
      </c>
      <c r="AJ3906" s="200">
        <f t="shared" ref="AJ3906:AJ3913" si="1193">IF(P3906="C66 SERVICE","",SUMIFS(AC:AC,F:F,F3906,G:G,G3906,E:E,E3906))</f>
        <v>3539697.9791150414</v>
      </c>
      <c r="AK3906" s="201">
        <f t="shared" si="1176"/>
        <v>0.11999999999999983</v>
      </c>
      <c r="AL3906" s="24"/>
      <c r="AM3906" s="24"/>
      <c r="AN3906" s="24"/>
      <c r="AO3906" s="24"/>
      <c r="AP3906" s="165" t="str">
        <f t="shared" si="1177"/>
        <v>20254</v>
      </c>
      <c r="AQ3906" s="203" t="str">
        <f t="shared" si="1178"/>
        <v>20254RMB</v>
      </c>
      <c r="AR3906" s="206" t="str">
        <f t="shared" si="1179"/>
        <v>YAMAHA_Mounter</v>
      </c>
      <c r="AS3906" s="22">
        <f t="shared" si="1180"/>
        <v>3</v>
      </c>
      <c r="AT3906" s="24" t="str">
        <f t="shared" si="1181"/>
        <v>0-3 months</v>
      </c>
      <c r="AU3906" s="22" t="s">
        <v>3240</v>
      </c>
    </row>
    <row r="3907" spans="1:47">
      <c r="A3907" s="33" t="str">
        <f t="shared" si="1172"/>
        <v>FY 24/25</v>
      </c>
      <c r="B3907" s="23">
        <v>2025</v>
      </c>
      <c r="C3907" s="23">
        <v>1</v>
      </c>
      <c r="D3907" s="202" t="str">
        <f t="shared" si="1183"/>
        <v>Q4</v>
      </c>
      <c r="E3907" s="33" t="str">
        <f t="shared" si="1171"/>
        <v>FY 25/26</v>
      </c>
      <c r="F3907" s="23">
        <v>2025</v>
      </c>
      <c r="G3907" s="23">
        <v>4</v>
      </c>
      <c r="H3907" s="29"/>
      <c r="I3907" s="204" t="str">
        <f t="shared" si="1173"/>
        <v>Q1</v>
      </c>
      <c r="J3907" s="188" t="s">
        <v>3683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2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5"/>
        <v>1.13</v>
      </c>
      <c r="Z3907" s="196">
        <f t="shared" si="1184"/>
        <v>734670</v>
      </c>
      <c r="AA3907" s="22">
        <v>1.0669999999999999</v>
      </c>
      <c r="AB3907" s="197">
        <f t="shared" si="1170"/>
        <v>693710.52212389384</v>
      </c>
      <c r="AC3907" s="198">
        <f t="shared" si="1174"/>
        <v>83245.262654867256</v>
      </c>
      <c r="AD3907" s="169">
        <v>0.12</v>
      </c>
      <c r="AE3907" s="199">
        <f t="shared" si="1175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2"/>
        <v>29497483.159292053</v>
      </c>
      <c r="AJ3907" s="200">
        <f t="shared" si="1193"/>
        <v>3539697.9791150414</v>
      </c>
      <c r="AK3907" s="201">
        <f t="shared" si="1176"/>
        <v>0.11999999999999983</v>
      </c>
      <c r="AL3907" s="24"/>
      <c r="AM3907" s="24"/>
      <c r="AN3907" s="24"/>
      <c r="AO3907" s="24"/>
      <c r="AP3907" s="165" t="str">
        <f t="shared" si="1177"/>
        <v>20254</v>
      </c>
      <c r="AQ3907" s="203" t="str">
        <f t="shared" si="1178"/>
        <v>20254RMB</v>
      </c>
      <c r="AR3907" s="206" t="str">
        <f t="shared" si="1179"/>
        <v>YAMAHA_Mounter</v>
      </c>
      <c r="AS3907" s="22">
        <f t="shared" si="1180"/>
        <v>3</v>
      </c>
      <c r="AT3907" s="24" t="str">
        <f t="shared" si="1181"/>
        <v>0-3 months</v>
      </c>
      <c r="AU3907" s="22" t="s">
        <v>3240</v>
      </c>
    </row>
    <row r="3908" spans="1:47">
      <c r="A3908" s="33" t="str">
        <f t="shared" si="1172"/>
        <v>FY 24/25</v>
      </c>
      <c r="B3908" s="23">
        <v>2025</v>
      </c>
      <c r="C3908" s="23">
        <v>1</v>
      </c>
      <c r="D3908" s="202" t="str">
        <f t="shared" si="1183"/>
        <v>Q4</v>
      </c>
      <c r="E3908" s="33" t="str">
        <f t="shared" si="1171"/>
        <v>FY 25/26</v>
      </c>
      <c r="F3908" s="23">
        <v>2025</v>
      </c>
      <c r="G3908" s="23">
        <v>4</v>
      </c>
      <c r="H3908" s="29"/>
      <c r="I3908" s="204" t="str">
        <f t="shared" si="1173"/>
        <v>Q1</v>
      </c>
      <c r="J3908" s="188" t="s">
        <v>3683</v>
      </c>
      <c r="K3908" s="29" t="s">
        <v>1830</v>
      </c>
      <c r="L3908" s="24" t="s">
        <v>3685</v>
      </c>
      <c r="M3908" s="13" t="s">
        <v>60</v>
      </c>
      <c r="N3908" s="22">
        <v>1</v>
      </c>
      <c r="O3908" s="22"/>
      <c r="P3908" s="202" t="str">
        <f t="shared" si="1182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5"/>
        <v>1.13</v>
      </c>
      <c r="Z3908" s="196">
        <f t="shared" si="1184"/>
        <v>636660</v>
      </c>
      <c r="AA3908" s="22">
        <v>1.0669999999999999</v>
      </c>
      <c r="AB3908" s="197">
        <f t="shared" si="1170"/>
        <v>601164.79646017705</v>
      </c>
      <c r="AC3908" s="198">
        <f t="shared" si="1174"/>
        <v>72139.77557522124</v>
      </c>
      <c r="AD3908" s="169">
        <v>0.12</v>
      </c>
      <c r="AE3908" s="199">
        <f t="shared" si="1175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2"/>
        <v>29497483.159292053</v>
      </c>
      <c r="AJ3908" s="200">
        <f t="shared" si="1193"/>
        <v>3539697.9791150414</v>
      </c>
      <c r="AK3908" s="201">
        <f t="shared" si="1176"/>
        <v>0.11999999999999983</v>
      </c>
      <c r="AL3908" s="24"/>
      <c r="AM3908" s="24"/>
      <c r="AN3908" s="24"/>
      <c r="AO3908" s="24"/>
      <c r="AP3908" s="165" t="str">
        <f t="shared" si="1177"/>
        <v>20254</v>
      </c>
      <c r="AQ3908" s="203" t="str">
        <f t="shared" si="1178"/>
        <v>20254RMB</v>
      </c>
      <c r="AR3908" s="206" t="str">
        <f t="shared" si="1179"/>
        <v>YAMAHA_Non_Mounter</v>
      </c>
      <c r="AS3908" s="22">
        <f t="shared" si="1180"/>
        <v>3</v>
      </c>
      <c r="AT3908" s="24" t="str">
        <f t="shared" si="1181"/>
        <v>0-3 months</v>
      </c>
      <c r="AU3908" s="22" t="s">
        <v>3240</v>
      </c>
    </row>
    <row r="3909" spans="1:47">
      <c r="A3909" s="33" t="str">
        <f t="shared" si="1172"/>
        <v>FY 24/25</v>
      </c>
      <c r="B3909" s="23">
        <v>2025</v>
      </c>
      <c r="C3909" s="23">
        <v>1</v>
      </c>
      <c r="D3909" s="202" t="str">
        <f t="shared" si="1183"/>
        <v>Q4</v>
      </c>
      <c r="E3909" s="33" t="str">
        <f t="shared" si="1171"/>
        <v>FY 25/26</v>
      </c>
      <c r="F3909" s="23">
        <v>2025</v>
      </c>
      <c r="G3909" s="23">
        <v>4</v>
      </c>
      <c r="H3909" s="29"/>
      <c r="I3909" s="204" t="str">
        <f t="shared" si="1173"/>
        <v>Q1</v>
      </c>
      <c r="J3909" s="188" t="s">
        <v>3683</v>
      </c>
      <c r="K3909" s="29" t="s">
        <v>1830</v>
      </c>
      <c r="L3909" s="24" t="s">
        <v>3685</v>
      </c>
      <c r="M3909" s="13" t="s">
        <v>60</v>
      </c>
      <c r="N3909" s="22">
        <v>1</v>
      </c>
      <c r="O3909" s="22"/>
      <c r="P3909" s="202" t="str">
        <f t="shared" si="1182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5"/>
        <v>1.13</v>
      </c>
      <c r="Z3909" s="196">
        <f t="shared" si="1184"/>
        <v>636660</v>
      </c>
      <c r="AA3909" s="22">
        <v>1.0669999999999999</v>
      </c>
      <c r="AB3909" s="197">
        <f t="shared" si="1170"/>
        <v>601164.79646017705</v>
      </c>
      <c r="AC3909" s="198">
        <f t="shared" si="1174"/>
        <v>72139.77557522124</v>
      </c>
      <c r="AD3909" s="169">
        <v>0.12</v>
      </c>
      <c r="AE3909" s="199">
        <f t="shared" si="1175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2"/>
        <v>29497483.159292053</v>
      </c>
      <c r="AJ3909" s="200">
        <f t="shared" si="1193"/>
        <v>3539697.9791150414</v>
      </c>
      <c r="AK3909" s="201">
        <f t="shared" si="1176"/>
        <v>0.11999999999999983</v>
      </c>
      <c r="AL3909" s="24"/>
      <c r="AM3909" s="24"/>
      <c r="AN3909" s="24"/>
      <c r="AO3909" s="24"/>
      <c r="AP3909" s="165" t="str">
        <f t="shared" si="1177"/>
        <v>20254</v>
      </c>
      <c r="AQ3909" s="203" t="str">
        <f t="shared" si="1178"/>
        <v>20254RMB</v>
      </c>
      <c r="AR3909" s="206" t="str">
        <f t="shared" si="1179"/>
        <v>YAMAHA_Non_Mounter</v>
      </c>
      <c r="AS3909" s="22">
        <f t="shared" si="1180"/>
        <v>3</v>
      </c>
      <c r="AT3909" s="24" t="str">
        <f t="shared" si="1181"/>
        <v>0-3 months</v>
      </c>
      <c r="AU3909" s="22" t="s">
        <v>3240</v>
      </c>
    </row>
    <row r="3910" spans="1:47">
      <c r="A3910" s="33" t="str">
        <f t="shared" si="1172"/>
        <v>FY 24/25</v>
      </c>
      <c r="B3910" s="23">
        <v>2025</v>
      </c>
      <c r="C3910" s="23">
        <v>1</v>
      </c>
      <c r="D3910" s="202" t="str">
        <f t="shared" si="1183"/>
        <v>Q4</v>
      </c>
      <c r="E3910" s="33" t="str">
        <f t="shared" si="1171"/>
        <v>FY 25/26</v>
      </c>
      <c r="F3910" s="23">
        <v>2025</v>
      </c>
      <c r="G3910" s="23">
        <v>4</v>
      </c>
      <c r="H3910" s="29"/>
      <c r="I3910" s="204" t="str">
        <f t="shared" si="1173"/>
        <v>Q1</v>
      </c>
      <c r="J3910" s="188" t="s">
        <v>3683</v>
      </c>
      <c r="K3910" s="29" t="s">
        <v>1830</v>
      </c>
      <c r="L3910" s="24" t="s">
        <v>3685</v>
      </c>
      <c r="M3910" s="13" t="s">
        <v>60</v>
      </c>
      <c r="N3910" s="22">
        <v>1</v>
      </c>
      <c r="O3910" s="22"/>
      <c r="P3910" s="202" t="str">
        <f t="shared" si="1182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5"/>
        <v>1.13</v>
      </c>
      <c r="Z3910" s="196">
        <f t="shared" si="1184"/>
        <v>636660</v>
      </c>
      <c r="AA3910" s="22">
        <v>1.0669999999999999</v>
      </c>
      <c r="AB3910" s="197">
        <f t="shared" si="1170"/>
        <v>601164.79646017705</v>
      </c>
      <c r="AC3910" s="198">
        <f t="shared" si="1174"/>
        <v>72139.77557522124</v>
      </c>
      <c r="AD3910" s="169">
        <v>0.12</v>
      </c>
      <c r="AE3910" s="199">
        <f t="shared" si="1175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2"/>
        <v>29497483.159292053</v>
      </c>
      <c r="AJ3910" s="200">
        <f t="shared" si="1193"/>
        <v>3539697.9791150414</v>
      </c>
      <c r="AK3910" s="201">
        <f t="shared" si="1176"/>
        <v>0.11999999999999983</v>
      </c>
      <c r="AL3910" s="24"/>
      <c r="AM3910" s="24"/>
      <c r="AN3910" s="24"/>
      <c r="AO3910" s="24"/>
      <c r="AP3910" s="165" t="str">
        <f t="shared" si="1177"/>
        <v>20254</v>
      </c>
      <c r="AQ3910" s="203" t="str">
        <f t="shared" si="1178"/>
        <v>20254RMB</v>
      </c>
      <c r="AR3910" s="206" t="str">
        <f t="shared" si="1179"/>
        <v>YAMAHA_Non_Mounter</v>
      </c>
      <c r="AS3910" s="22">
        <f t="shared" si="1180"/>
        <v>3</v>
      </c>
      <c r="AT3910" s="24" t="str">
        <f t="shared" si="1181"/>
        <v>0-3 months</v>
      </c>
      <c r="AU3910" s="22" t="s">
        <v>3240</v>
      </c>
    </row>
    <row r="3911" spans="1:47">
      <c r="A3911" s="33" t="str">
        <f t="shared" si="1172"/>
        <v>FY 24/25</v>
      </c>
      <c r="B3911" s="23">
        <v>2025</v>
      </c>
      <c r="C3911" s="23">
        <v>1</v>
      </c>
      <c r="D3911" s="202" t="str">
        <f t="shared" si="1183"/>
        <v>Q4</v>
      </c>
      <c r="E3911" s="33" t="str">
        <f t="shared" si="1171"/>
        <v>FY 25/26</v>
      </c>
      <c r="F3911" s="23">
        <v>2025</v>
      </c>
      <c r="G3911" s="23">
        <v>4</v>
      </c>
      <c r="H3911" s="29"/>
      <c r="I3911" s="204" t="str">
        <f t="shared" si="1173"/>
        <v>Q1</v>
      </c>
      <c r="J3911" s="188" t="s">
        <v>3683</v>
      </c>
      <c r="K3911" s="29" t="s">
        <v>1830</v>
      </c>
      <c r="L3911" s="24" t="s">
        <v>3685</v>
      </c>
      <c r="M3911" s="13" t="s">
        <v>60</v>
      </c>
      <c r="N3911" s="22">
        <v>1</v>
      </c>
      <c r="O3911" s="22"/>
      <c r="P3911" s="202" t="str">
        <f t="shared" si="1182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5"/>
        <v>1.13</v>
      </c>
      <c r="Z3911" s="196">
        <f t="shared" si="1184"/>
        <v>636660</v>
      </c>
      <c r="AA3911" s="22">
        <v>1.0669999999999999</v>
      </c>
      <c r="AB3911" s="197">
        <f t="shared" si="1170"/>
        <v>601164.79646017705</v>
      </c>
      <c r="AC3911" s="198">
        <f t="shared" si="1174"/>
        <v>72139.77557522124</v>
      </c>
      <c r="AD3911" s="169">
        <v>0.12</v>
      </c>
      <c r="AE3911" s="199">
        <f t="shared" si="1175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2"/>
        <v>29497483.159292053</v>
      </c>
      <c r="AJ3911" s="200">
        <f t="shared" si="1193"/>
        <v>3539697.9791150414</v>
      </c>
      <c r="AK3911" s="201">
        <f t="shared" si="1176"/>
        <v>0.11999999999999983</v>
      </c>
      <c r="AL3911" s="24"/>
      <c r="AM3911" s="24"/>
      <c r="AN3911" s="24"/>
      <c r="AO3911" s="24"/>
      <c r="AP3911" s="165" t="str">
        <f t="shared" si="1177"/>
        <v>20254</v>
      </c>
      <c r="AQ3911" s="203" t="str">
        <f t="shared" si="1178"/>
        <v>20254RMB</v>
      </c>
      <c r="AR3911" s="206" t="str">
        <f t="shared" si="1179"/>
        <v>YAMAHA_Non_Mounter</v>
      </c>
      <c r="AS3911" s="22">
        <f t="shared" si="1180"/>
        <v>3</v>
      </c>
      <c r="AT3911" s="24" t="str">
        <f t="shared" si="1181"/>
        <v>0-3 months</v>
      </c>
      <c r="AU3911" s="22" t="s">
        <v>3240</v>
      </c>
    </row>
    <row r="3912" spans="1:47">
      <c r="A3912" s="33" t="str">
        <f t="shared" si="1172"/>
        <v>FY 24/25</v>
      </c>
      <c r="B3912" s="23">
        <v>2025</v>
      </c>
      <c r="C3912" s="23">
        <v>1</v>
      </c>
      <c r="D3912" s="202" t="str">
        <f t="shared" si="1183"/>
        <v>Q4</v>
      </c>
      <c r="E3912" s="33" t="str">
        <f t="shared" si="1171"/>
        <v>FY 25/26</v>
      </c>
      <c r="F3912" s="23">
        <v>2025</v>
      </c>
      <c r="G3912" s="23">
        <v>4</v>
      </c>
      <c r="H3912" s="29"/>
      <c r="I3912" s="204" t="str">
        <f t="shared" si="1173"/>
        <v>Q1</v>
      </c>
      <c r="J3912" s="188" t="s">
        <v>3683</v>
      </c>
      <c r="K3912" s="29" t="s">
        <v>1830</v>
      </c>
      <c r="L3912" s="24" t="s">
        <v>3685</v>
      </c>
      <c r="M3912" s="13" t="s">
        <v>60</v>
      </c>
      <c r="N3912" s="22">
        <v>1</v>
      </c>
      <c r="O3912" s="22"/>
      <c r="P3912" s="202" t="str">
        <f t="shared" si="1182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5"/>
        <v>1.13</v>
      </c>
      <c r="Z3912" s="196">
        <f t="shared" si="1184"/>
        <v>636660</v>
      </c>
      <c r="AA3912" s="22">
        <v>1.0669999999999999</v>
      </c>
      <c r="AB3912" s="197">
        <f t="shared" si="1170"/>
        <v>601164.79646017705</v>
      </c>
      <c r="AC3912" s="198">
        <f t="shared" si="1174"/>
        <v>72139.77557522124</v>
      </c>
      <c r="AD3912" s="169">
        <v>0.12</v>
      </c>
      <c r="AE3912" s="199">
        <f t="shared" si="1175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2"/>
        <v>29497483.159292053</v>
      </c>
      <c r="AJ3912" s="200">
        <f t="shared" si="1193"/>
        <v>3539697.9791150414</v>
      </c>
      <c r="AK3912" s="201">
        <f t="shared" si="1176"/>
        <v>0.11999999999999983</v>
      </c>
      <c r="AL3912" s="24"/>
      <c r="AM3912" s="24"/>
      <c r="AN3912" s="24"/>
      <c r="AO3912" s="24"/>
      <c r="AP3912" s="165" t="str">
        <f t="shared" si="1177"/>
        <v>20254</v>
      </c>
      <c r="AQ3912" s="203" t="str">
        <f t="shared" si="1178"/>
        <v>20254RMB</v>
      </c>
      <c r="AR3912" s="206" t="str">
        <f t="shared" si="1179"/>
        <v>YAMAHA_Non_Mounter</v>
      </c>
      <c r="AS3912" s="22">
        <f t="shared" si="1180"/>
        <v>3</v>
      </c>
      <c r="AT3912" s="24" t="str">
        <f t="shared" si="1181"/>
        <v>0-3 months</v>
      </c>
      <c r="AU3912" s="22" t="s">
        <v>3240</v>
      </c>
    </row>
    <row r="3913" spans="1:47">
      <c r="A3913" s="33" t="str">
        <f t="shared" si="1172"/>
        <v>FY 24/25</v>
      </c>
      <c r="B3913" s="23">
        <v>2025</v>
      </c>
      <c r="C3913" s="23">
        <v>1</v>
      </c>
      <c r="D3913" s="202" t="str">
        <f t="shared" si="1183"/>
        <v>Q4</v>
      </c>
      <c r="E3913" s="33" t="str">
        <f t="shared" si="1171"/>
        <v>FY 25/26</v>
      </c>
      <c r="F3913" s="23">
        <v>2025</v>
      </c>
      <c r="G3913" s="23">
        <v>4</v>
      </c>
      <c r="H3913" s="29"/>
      <c r="I3913" s="204" t="str">
        <f t="shared" si="1173"/>
        <v>Q1</v>
      </c>
      <c r="J3913" s="188" t="s">
        <v>3683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2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5"/>
        <v>1.13</v>
      </c>
      <c r="Z3913" s="196">
        <f t="shared" si="1184"/>
        <v>544605</v>
      </c>
      <c r="AA3913" s="22">
        <v>1.0669999999999999</v>
      </c>
      <c r="AB3913" s="197">
        <f t="shared" si="1170"/>
        <v>514242.06637168146</v>
      </c>
      <c r="AC3913" s="198">
        <f t="shared" si="1174"/>
        <v>61709.04796460177</v>
      </c>
      <c r="AD3913" s="169">
        <v>0.12</v>
      </c>
      <c r="AE3913" s="199">
        <f t="shared" si="1175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2"/>
        <v>29497483.159292053</v>
      </c>
      <c r="AJ3913" s="200">
        <f t="shared" si="1193"/>
        <v>3539697.9791150414</v>
      </c>
      <c r="AK3913" s="201">
        <f t="shared" si="1176"/>
        <v>0.11999999999999983</v>
      </c>
      <c r="AL3913" s="24"/>
      <c r="AM3913" s="24"/>
      <c r="AN3913" s="24"/>
      <c r="AO3913" s="24"/>
      <c r="AP3913" s="165" t="str">
        <f t="shared" si="1177"/>
        <v>20254</v>
      </c>
      <c r="AQ3913" s="203" t="str">
        <f t="shared" si="1178"/>
        <v>20254RMB</v>
      </c>
      <c r="AR3913" s="206" t="str">
        <f t="shared" si="1179"/>
        <v>HELLER</v>
      </c>
      <c r="AS3913" s="22">
        <f t="shared" si="1180"/>
        <v>3</v>
      </c>
      <c r="AT3913" s="24" t="str">
        <f t="shared" si="1181"/>
        <v>0-3 months</v>
      </c>
      <c r="AU3913" s="22" t="s">
        <v>3240</v>
      </c>
    </row>
    <row r="3914" spans="1:47">
      <c r="A3914" s="33" t="str">
        <f t="shared" si="1172"/>
        <v>FY 24/25</v>
      </c>
      <c r="B3914" s="23">
        <v>2025</v>
      </c>
      <c r="C3914" s="23">
        <v>1</v>
      </c>
      <c r="D3914" s="202" t="str">
        <f t="shared" si="1183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3683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2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5"/>
        <v>1.13</v>
      </c>
      <c r="Z3914" s="196">
        <f t="shared" si="1184"/>
        <v>544605</v>
      </c>
      <c r="AA3914" s="22">
        <v>1.0669999999999999</v>
      </c>
      <c r="AB3914" s="197">
        <f t="shared" si="1170"/>
        <v>514242.06637168146</v>
      </c>
      <c r="AC3914" s="198">
        <f t="shared" si="1174"/>
        <v>61709.04796460177</v>
      </c>
      <c r="AD3914" s="169">
        <v>0.12</v>
      </c>
      <c r="AE3914" s="199">
        <f t="shared" si="1175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29497483.159292053</v>
      </c>
      <c r="AJ3914" s="200">
        <f>IF(P3914="C66 SERVICE","",SUMIFS(AC:AC,F:F,F3914,G:G,G3896,E:E,E3914))</f>
        <v>3539697.9791150414</v>
      </c>
      <c r="AK3914" s="201">
        <f t="shared" si="1176"/>
        <v>0.11999999999999983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79"/>
        <v>HELLER</v>
      </c>
      <c r="AS3914" s="22">
        <f>IFERROR(IF(OR(G3896="TBA", G3896=""), "", DATEDIF(DATE(B3914, C3914, 1), DATE(F3914, G3896, 1), "M")),"")</f>
        <v>3</v>
      </c>
      <c r="AT3914" s="24" t="str">
        <f t="shared" si="1181"/>
        <v>0-3 months</v>
      </c>
      <c r="AU3914" s="22" t="s">
        <v>3240</v>
      </c>
    </row>
    <row r="3915" spans="1:47">
      <c r="A3915" s="33" t="str">
        <f t="shared" si="1172"/>
        <v>FY 24/25</v>
      </c>
      <c r="B3915" s="23">
        <v>2025</v>
      </c>
      <c r="C3915" s="23">
        <v>1</v>
      </c>
      <c r="D3915" s="202" t="str">
        <f t="shared" si="1183"/>
        <v>Q4</v>
      </c>
      <c r="E3915" s="33" t="str">
        <f t="shared" si="1171"/>
        <v>FY 24/25</v>
      </c>
      <c r="F3915" s="23">
        <v>2025</v>
      </c>
      <c r="G3915" s="23">
        <v>2</v>
      </c>
      <c r="H3915" s="29"/>
      <c r="I3915" s="204" t="str">
        <f t="shared" si="1173"/>
        <v>Q4</v>
      </c>
      <c r="J3915" s="188" t="s">
        <v>3686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2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7">
        <v>431522</v>
      </c>
      <c r="Y3915" s="195" t="str">
        <f t="shared" si="1185"/>
        <v>1.13</v>
      </c>
      <c r="Z3915" s="196">
        <f t="shared" si="1184"/>
        <v>431522</v>
      </c>
      <c r="AA3915" s="22">
        <v>1.073</v>
      </c>
      <c r="AB3915" s="197">
        <f t="shared" si="1170"/>
        <v>409754.96106194693</v>
      </c>
      <c r="AC3915" s="198">
        <f t="shared" si="1174"/>
        <v>33722.833295398232</v>
      </c>
      <c r="AD3915" s="170">
        <v>8.2299999999999998E-2</v>
      </c>
      <c r="AE3915" s="199">
        <f t="shared" si="1175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ref="AI3915:AI3946" si="1194">IF(P3915="C66 SERVICE","",SUMIFS(AB:AB,F:F,F3915,G:G,G3915,E:E,E3915))</f>
        <v>30691842.970796466</v>
      </c>
      <c r="AJ3915" s="200">
        <f t="shared" ref="AJ3915:AJ3946" si="1195">IF(P3915="C66 SERVICE","",SUMIFS(AC:AC,F:F,F3915,G:G,G3915,E:E,E3915))</f>
        <v>4088324.205777524</v>
      </c>
      <c r="AK3915" s="201">
        <f t="shared" si="1176"/>
        <v>0.1332055624573473</v>
      </c>
      <c r="AL3915" s="24"/>
      <c r="AM3915" s="24"/>
      <c r="AN3915" s="24"/>
      <c r="AO3915" s="24"/>
      <c r="AP3915" s="165" t="str">
        <f t="shared" si="1177"/>
        <v>20252</v>
      </c>
      <c r="AQ3915" s="203" t="str">
        <f t="shared" si="1178"/>
        <v>20252RMB</v>
      </c>
      <c r="AR3915" s="206" t="str">
        <f t="shared" si="1179"/>
        <v>YAMAHA_Mounter</v>
      </c>
      <c r="AS3915" s="22">
        <f t="shared" si="1180"/>
        <v>1</v>
      </c>
      <c r="AT3915" s="24" t="str">
        <f t="shared" si="1181"/>
        <v>0-3 months</v>
      </c>
      <c r="AU3915" s="22" t="s">
        <v>3240</v>
      </c>
    </row>
    <row r="3916" spans="1:47">
      <c r="A3916" s="33" t="str">
        <f t="shared" si="1172"/>
        <v>FY 24/25</v>
      </c>
      <c r="B3916" s="23">
        <v>2025</v>
      </c>
      <c r="C3916" s="23">
        <v>1</v>
      </c>
      <c r="D3916" s="202" t="str">
        <f t="shared" si="1183"/>
        <v>Q4</v>
      </c>
      <c r="E3916" s="33" t="str">
        <f t="shared" si="1171"/>
        <v>FY 24/25</v>
      </c>
      <c r="F3916" s="23">
        <v>2025</v>
      </c>
      <c r="G3916" s="23">
        <v>2</v>
      </c>
      <c r="H3916" s="29"/>
      <c r="I3916" s="204" t="str">
        <f t="shared" si="1173"/>
        <v>Q4</v>
      </c>
      <c r="J3916" s="188" t="s">
        <v>3686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2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7">
        <v>431522</v>
      </c>
      <c r="Y3916" s="195" t="str">
        <f t="shared" si="1185"/>
        <v>1.13</v>
      </c>
      <c r="Z3916" s="196">
        <f t="shared" si="1184"/>
        <v>431522</v>
      </c>
      <c r="AA3916" s="22">
        <v>1.073</v>
      </c>
      <c r="AB3916" s="197">
        <f t="shared" si="1170"/>
        <v>409754.96106194693</v>
      </c>
      <c r="AC3916" s="198">
        <f t="shared" si="1174"/>
        <v>33722.833295398232</v>
      </c>
      <c r="AD3916" s="170">
        <v>8.2299999999999998E-2</v>
      </c>
      <c r="AE3916" s="199">
        <f t="shared" si="1175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4"/>
        <v>30691842.970796466</v>
      </c>
      <c r="AJ3916" s="200">
        <f t="shared" si="1195"/>
        <v>4088324.205777524</v>
      </c>
      <c r="AK3916" s="201">
        <f t="shared" si="1176"/>
        <v>0.1332055624573473</v>
      </c>
      <c r="AL3916" s="24"/>
      <c r="AM3916" s="24"/>
      <c r="AN3916" s="24"/>
      <c r="AO3916" s="24"/>
      <c r="AP3916" s="165" t="str">
        <f t="shared" si="1177"/>
        <v>20252</v>
      </c>
      <c r="AQ3916" s="203" t="str">
        <f t="shared" si="1178"/>
        <v>20252RMB</v>
      </c>
      <c r="AR3916" s="206" t="str">
        <f t="shared" si="1179"/>
        <v>YAMAHA_Mounter</v>
      </c>
      <c r="AS3916" s="22">
        <f t="shared" si="1180"/>
        <v>1</v>
      </c>
      <c r="AT3916" s="24" t="str">
        <f t="shared" si="1181"/>
        <v>0-3 months</v>
      </c>
      <c r="AU3916" s="22" t="s">
        <v>3240</v>
      </c>
    </row>
    <row r="3917" spans="1:47">
      <c r="A3917" s="33" t="str">
        <f t="shared" si="1172"/>
        <v>FY 24/25</v>
      </c>
      <c r="B3917" s="23">
        <v>2025</v>
      </c>
      <c r="C3917" s="23">
        <v>1</v>
      </c>
      <c r="D3917" s="202" t="str">
        <f t="shared" si="1183"/>
        <v>Q4</v>
      </c>
      <c r="E3917" s="33" t="str">
        <f t="shared" si="1171"/>
        <v>FY 25/26</v>
      </c>
      <c r="F3917" s="23">
        <v>2025</v>
      </c>
      <c r="G3917" s="23">
        <v>4</v>
      </c>
      <c r="H3917" s="29"/>
      <c r="I3917" s="204" t="str">
        <f t="shared" si="1173"/>
        <v>Q1</v>
      </c>
      <c r="J3917" s="188" t="s">
        <v>3687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2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5"/>
        <v>1.13</v>
      </c>
      <c r="Z3917" s="196">
        <f t="shared" si="1184"/>
        <v>450000</v>
      </c>
      <c r="AA3917" s="22">
        <v>1.0669999999999999</v>
      </c>
      <c r="AB3917" s="197">
        <f t="shared" si="1170"/>
        <v>424911.50442477874</v>
      </c>
      <c r="AC3917" s="198">
        <f t="shared" si="1174"/>
        <v>50989.380530973445</v>
      </c>
      <c r="AD3917" s="169">
        <v>0.12</v>
      </c>
      <c r="AE3917" s="199">
        <f t="shared" si="1175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4"/>
        <v>29497483.159292053</v>
      </c>
      <c r="AJ3917" s="200">
        <f t="shared" si="1195"/>
        <v>3539697.9791150414</v>
      </c>
      <c r="AK3917" s="201">
        <f t="shared" si="1176"/>
        <v>0.11999999999999983</v>
      </c>
      <c r="AL3917" s="24"/>
      <c r="AM3917" s="24"/>
      <c r="AN3917" s="24"/>
      <c r="AO3917" s="24"/>
      <c r="AP3917" s="165" t="str">
        <f t="shared" si="1177"/>
        <v>20254</v>
      </c>
      <c r="AQ3917" s="203" t="str">
        <f t="shared" si="1178"/>
        <v>20254RMB</v>
      </c>
      <c r="AR3917" s="206" t="str">
        <f t="shared" si="1179"/>
        <v>YAMAHA_Non_Mounter</v>
      </c>
      <c r="AS3917" s="22">
        <f t="shared" si="1180"/>
        <v>3</v>
      </c>
      <c r="AT3917" s="24" t="str">
        <f t="shared" si="1181"/>
        <v>0-3 months</v>
      </c>
      <c r="AU3917" s="22" t="s">
        <v>3240</v>
      </c>
    </row>
    <row r="3918" spans="1:47">
      <c r="A3918" s="33" t="str">
        <f t="shared" si="1172"/>
        <v>FY 24/25</v>
      </c>
      <c r="B3918" s="23">
        <v>2025</v>
      </c>
      <c r="C3918" s="23">
        <v>1</v>
      </c>
      <c r="D3918" s="202" t="str">
        <f t="shared" si="1183"/>
        <v>Q4</v>
      </c>
      <c r="E3918" s="33" t="str">
        <f t="shared" si="1171"/>
        <v>FY 25/26</v>
      </c>
      <c r="F3918" s="23">
        <v>2025</v>
      </c>
      <c r="G3918" s="23">
        <v>4</v>
      </c>
      <c r="H3918" s="29"/>
      <c r="I3918" s="204" t="str">
        <f t="shared" si="1173"/>
        <v>Q1</v>
      </c>
      <c r="J3918" s="188" t="s">
        <v>3687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2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5"/>
        <v>1.13</v>
      </c>
      <c r="Z3918" s="196">
        <f t="shared" si="1184"/>
        <v>450000</v>
      </c>
      <c r="AA3918" s="22">
        <v>1.0669999999999999</v>
      </c>
      <c r="AB3918" s="197">
        <f t="shared" si="1170"/>
        <v>424911.50442477874</v>
      </c>
      <c r="AC3918" s="198">
        <f t="shared" si="1174"/>
        <v>50989.380530973445</v>
      </c>
      <c r="AD3918" s="169">
        <v>0.12</v>
      </c>
      <c r="AE3918" s="199">
        <f t="shared" si="1175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4"/>
        <v>29497483.159292053</v>
      </c>
      <c r="AJ3918" s="200">
        <f t="shared" si="1195"/>
        <v>3539697.9791150414</v>
      </c>
      <c r="AK3918" s="201">
        <f t="shared" si="1176"/>
        <v>0.11999999999999983</v>
      </c>
      <c r="AL3918" s="24"/>
      <c r="AM3918" s="24"/>
      <c r="AN3918" s="24"/>
      <c r="AO3918" s="24"/>
      <c r="AP3918" s="165" t="str">
        <f t="shared" si="1177"/>
        <v>20254</v>
      </c>
      <c r="AQ3918" s="203" t="str">
        <f t="shared" si="1178"/>
        <v>20254RMB</v>
      </c>
      <c r="AR3918" s="206" t="str">
        <f t="shared" si="1179"/>
        <v>YAMAHA_Non_Mounter</v>
      </c>
      <c r="AS3918" s="22">
        <f t="shared" si="1180"/>
        <v>3</v>
      </c>
      <c r="AT3918" s="24" t="str">
        <f t="shared" si="1181"/>
        <v>0-3 months</v>
      </c>
      <c r="AU3918" s="22" t="s">
        <v>3240</v>
      </c>
    </row>
    <row r="3919" spans="1:47">
      <c r="A3919" s="33" t="str">
        <f t="shared" si="1172"/>
        <v>FY 24/25</v>
      </c>
      <c r="B3919" s="23">
        <v>2025</v>
      </c>
      <c r="C3919" s="23">
        <v>1</v>
      </c>
      <c r="D3919" s="202" t="str">
        <f t="shared" si="1183"/>
        <v>Q4</v>
      </c>
      <c r="E3919" s="33" t="str">
        <f t="shared" si="1171"/>
        <v>FY 24/25</v>
      </c>
      <c r="F3919" s="23">
        <v>2025</v>
      </c>
      <c r="G3919" s="23">
        <v>3</v>
      </c>
      <c r="H3919" s="29"/>
      <c r="I3919" s="204" t="str">
        <f t="shared" si="1173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2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5"/>
        <v>1</v>
      </c>
      <c r="Z3919" s="196">
        <f t="shared" si="1184"/>
        <v>96900</v>
      </c>
      <c r="AA3919" s="22">
        <v>7.8</v>
      </c>
      <c r="AB3919" s="197">
        <f t="shared" si="1170"/>
        <v>755820</v>
      </c>
      <c r="AC3919" s="198">
        <f t="shared" si="1174"/>
        <v>90698.4</v>
      </c>
      <c r="AD3919" s="169">
        <v>0.12</v>
      </c>
      <c r="AE3919" s="199">
        <f t="shared" si="1175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4"/>
        <v>17727707.415929206</v>
      </c>
      <c r="AJ3919" s="200">
        <f t="shared" si="1195"/>
        <v>2127324.8899115045</v>
      </c>
      <c r="AK3919" s="201">
        <f t="shared" si="1176"/>
        <v>0.11999999999999998</v>
      </c>
      <c r="AL3919" s="24"/>
      <c r="AM3919" s="24"/>
      <c r="AN3919" s="24"/>
      <c r="AO3919" s="24"/>
      <c r="AP3919" s="165" t="str">
        <f t="shared" si="1177"/>
        <v>20253</v>
      </c>
      <c r="AQ3919" s="203" t="str">
        <f t="shared" si="1178"/>
        <v>20253USD</v>
      </c>
      <c r="AR3919" s="206" t="str">
        <f t="shared" si="1179"/>
        <v>HELLER</v>
      </c>
      <c r="AS3919" s="22">
        <f t="shared" si="1180"/>
        <v>2</v>
      </c>
      <c r="AT3919" s="24" t="str">
        <f t="shared" si="1181"/>
        <v>0-3 months</v>
      </c>
      <c r="AU3919" s="22" t="s">
        <v>3240</v>
      </c>
    </row>
    <row r="3920" spans="1:47" ht="39.6">
      <c r="A3920" s="33" t="str">
        <f t="shared" si="1172"/>
        <v/>
      </c>
      <c r="B3920" s="23"/>
      <c r="C3920" s="23"/>
      <c r="D3920" s="202" t="str">
        <f t="shared" si="1183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3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2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5"/>
        <v/>
      </c>
      <c r="Z3920" s="196" t="str">
        <f t="shared" si="1184"/>
        <v/>
      </c>
      <c r="AA3920" s="22"/>
      <c r="AB3920" s="197">
        <v>3000</v>
      </c>
      <c r="AC3920" s="198">
        <f t="shared" si="1174"/>
        <v>900</v>
      </c>
      <c r="AD3920" s="162">
        <v>0.3</v>
      </c>
      <c r="AE3920" s="199">
        <f t="shared" si="1175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4"/>
        <v>16190947.162761064</v>
      </c>
      <c r="AJ3920" s="200">
        <f t="shared" si="1195"/>
        <v>2256328.1660673413</v>
      </c>
      <c r="AK3920" s="201">
        <f t="shared" si="1176"/>
        <v>0.13935739171929745</v>
      </c>
      <c r="AL3920" s="24"/>
      <c r="AM3920" s="24"/>
      <c r="AN3920" s="24"/>
      <c r="AO3920" s="24"/>
      <c r="AP3920" s="165" t="str">
        <f t="shared" si="1177"/>
        <v>20251</v>
      </c>
      <c r="AQ3920" s="203" t="str">
        <f t="shared" si="1178"/>
        <v/>
      </c>
      <c r="AR3920" s="206" t="str">
        <f t="shared" si="1179"/>
        <v>C66 SERVICE</v>
      </c>
      <c r="AS3920" s="22" t="str">
        <f t="shared" si="1180"/>
        <v/>
      </c>
      <c r="AT3920" s="24" t="str">
        <f t="shared" si="1181"/>
        <v/>
      </c>
      <c r="AU3920" s="22">
        <v>0</v>
      </c>
    </row>
    <row r="3921" spans="1:47" ht="39.6">
      <c r="A3921" s="33" t="str">
        <f t="shared" si="1172"/>
        <v/>
      </c>
      <c r="B3921" s="23"/>
      <c r="C3921" s="23"/>
      <c r="D3921" s="202" t="str">
        <f t="shared" si="1183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3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2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5"/>
        <v/>
      </c>
      <c r="Z3921" s="196" t="str">
        <f t="shared" si="1184"/>
        <v/>
      </c>
      <c r="AA3921" s="22"/>
      <c r="AB3921" s="197">
        <v>7000</v>
      </c>
      <c r="AC3921" s="198">
        <f t="shared" si="1174"/>
        <v>2100</v>
      </c>
      <c r="AD3921" s="162">
        <v>0.3</v>
      </c>
      <c r="AE3921" s="199">
        <f t="shared" si="1175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4"/>
        <v>16190947.162761064</v>
      </c>
      <c r="AJ3921" s="200">
        <f t="shared" si="1195"/>
        <v>2256328.1660673413</v>
      </c>
      <c r="AK3921" s="201">
        <f t="shared" si="1176"/>
        <v>0.13935739171929745</v>
      </c>
      <c r="AL3921" s="24"/>
      <c r="AM3921" s="24"/>
      <c r="AN3921" s="24"/>
      <c r="AO3921" s="24"/>
      <c r="AP3921" s="165" t="str">
        <f t="shared" si="1177"/>
        <v>20251</v>
      </c>
      <c r="AQ3921" s="203" t="str">
        <f t="shared" si="1178"/>
        <v/>
      </c>
      <c r="AR3921" s="206" t="str">
        <f t="shared" si="1179"/>
        <v>C66 SERVICE</v>
      </c>
      <c r="AS3921" s="22" t="str">
        <f t="shared" si="1180"/>
        <v/>
      </c>
      <c r="AT3921" s="24" t="str">
        <f t="shared" si="1181"/>
        <v/>
      </c>
      <c r="AU3921" s="22">
        <v>0</v>
      </c>
    </row>
    <row r="3922" spans="1:47" ht="39.6">
      <c r="A3922" s="33" t="str">
        <f t="shared" si="1172"/>
        <v/>
      </c>
      <c r="B3922" s="23"/>
      <c r="C3922" s="23"/>
      <c r="D3922" s="202" t="str">
        <f t="shared" si="1183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3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2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5"/>
        <v/>
      </c>
      <c r="Z3922" s="196" t="str">
        <f t="shared" si="1184"/>
        <v/>
      </c>
      <c r="AA3922" s="22"/>
      <c r="AB3922" s="197">
        <v>34000</v>
      </c>
      <c r="AC3922" s="198">
        <f t="shared" si="1174"/>
        <v>10200</v>
      </c>
      <c r="AD3922" s="162">
        <v>0.3</v>
      </c>
      <c r="AE3922" s="199">
        <f t="shared" si="1175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4"/>
        <v>16190947.162761064</v>
      </c>
      <c r="AJ3922" s="200">
        <f t="shared" si="1195"/>
        <v>2256328.1660673413</v>
      </c>
      <c r="AK3922" s="201">
        <f t="shared" si="1176"/>
        <v>0.13935739171929745</v>
      </c>
      <c r="AL3922" s="24"/>
      <c r="AM3922" s="24"/>
      <c r="AN3922" s="24"/>
      <c r="AO3922" s="24"/>
      <c r="AP3922" s="165" t="str">
        <f t="shared" si="1177"/>
        <v>20251</v>
      </c>
      <c r="AQ3922" s="203" t="str">
        <f t="shared" si="1178"/>
        <v/>
      </c>
      <c r="AR3922" s="206" t="str">
        <f t="shared" si="1179"/>
        <v>C66 SERVICE</v>
      </c>
      <c r="AS3922" s="22" t="str">
        <f t="shared" si="1180"/>
        <v/>
      </c>
      <c r="AT3922" s="24" t="str">
        <f t="shared" si="1181"/>
        <v/>
      </c>
      <c r="AU3922" s="22">
        <v>0</v>
      </c>
    </row>
    <row r="3923" spans="1:47" ht="39.6">
      <c r="A3923" s="33" t="str">
        <f t="shared" si="1172"/>
        <v/>
      </c>
      <c r="B3923" s="23"/>
      <c r="C3923" s="23"/>
      <c r="D3923" s="202" t="str">
        <f t="shared" si="1183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3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2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5"/>
        <v/>
      </c>
      <c r="Z3923" s="196" t="str">
        <f t="shared" si="1184"/>
        <v/>
      </c>
      <c r="AA3923" s="22"/>
      <c r="AB3923" s="197">
        <v>120000</v>
      </c>
      <c r="AC3923" s="198">
        <f t="shared" si="1174"/>
        <v>36000</v>
      </c>
      <c r="AD3923" s="162">
        <v>0.3</v>
      </c>
      <c r="AE3923" s="199">
        <f t="shared" si="1175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4"/>
        <v>16190947.162761064</v>
      </c>
      <c r="AJ3923" s="200">
        <f t="shared" si="1195"/>
        <v>2256328.1660673413</v>
      </c>
      <c r="AK3923" s="201">
        <f t="shared" si="1176"/>
        <v>0.13935739171929745</v>
      </c>
      <c r="AL3923" s="24"/>
      <c r="AM3923" s="24"/>
      <c r="AN3923" s="24"/>
      <c r="AO3923" s="24"/>
      <c r="AP3923" s="165" t="str">
        <f t="shared" si="1177"/>
        <v>20251</v>
      </c>
      <c r="AQ3923" s="203" t="str">
        <f t="shared" si="1178"/>
        <v/>
      </c>
      <c r="AR3923" s="206" t="str">
        <f t="shared" si="1179"/>
        <v>C66 SERVICE</v>
      </c>
      <c r="AS3923" s="22" t="str">
        <f t="shared" si="1180"/>
        <v/>
      </c>
      <c r="AT3923" s="24" t="str">
        <f t="shared" si="1181"/>
        <v/>
      </c>
      <c r="AU3923" s="22">
        <v>0</v>
      </c>
    </row>
    <row r="3924" spans="1:47">
      <c r="A3924" s="33" t="str">
        <f t="shared" si="1172"/>
        <v>FY 24/25</v>
      </c>
      <c r="B3924" s="23">
        <v>2025</v>
      </c>
      <c r="C3924" s="23">
        <v>1</v>
      </c>
      <c r="D3924" s="202" t="str">
        <f t="shared" si="1183"/>
        <v>Q4</v>
      </c>
      <c r="E3924" s="33" t="str">
        <f t="shared" si="1171"/>
        <v>FY 24/25</v>
      </c>
      <c r="F3924" s="23">
        <v>2025</v>
      </c>
      <c r="G3924" s="23">
        <v>3</v>
      </c>
      <c r="H3924" s="29"/>
      <c r="I3924" s="204" t="str">
        <f t="shared" si="1173"/>
        <v>Q4</v>
      </c>
      <c r="J3924" s="188" t="s">
        <v>3688</v>
      </c>
      <c r="K3924" s="29" t="s">
        <v>3689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2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5"/>
        <v>1.13</v>
      </c>
      <c r="Z3924" s="196">
        <f t="shared" si="1184"/>
        <v>750000</v>
      </c>
      <c r="AA3924" s="22">
        <v>1.0669999999999999</v>
      </c>
      <c r="AB3924" s="197">
        <f t="shared" ref="AB3924:AB3985" si="1196">IF(AND(R3924&lt;&gt;"C66",R3924&lt;&gt;""),Z3924/Y3924*AA3924,"")</f>
        <v>708185.84070796473</v>
      </c>
      <c r="AC3924" s="198">
        <f t="shared" si="1174"/>
        <v>84982.300884955766</v>
      </c>
      <c r="AD3924" s="169">
        <v>0.12</v>
      </c>
      <c r="AE3924" s="199">
        <f t="shared" si="1175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4"/>
        <v>17727707.415929206</v>
      </c>
      <c r="AJ3924" s="200">
        <f t="shared" si="1195"/>
        <v>2127324.8899115045</v>
      </c>
      <c r="AK3924" s="201">
        <f t="shared" si="1176"/>
        <v>0.11999999999999998</v>
      </c>
      <c r="AL3924" s="24"/>
      <c r="AM3924" s="24"/>
      <c r="AN3924" s="24"/>
      <c r="AO3924" s="24"/>
      <c r="AP3924" s="165" t="str">
        <f t="shared" si="1177"/>
        <v>20253</v>
      </c>
      <c r="AQ3924" s="203" t="str">
        <f t="shared" si="1178"/>
        <v>20253RMB</v>
      </c>
      <c r="AR3924" s="206" t="str">
        <f t="shared" si="1179"/>
        <v>YAMAHA_Mounter</v>
      </c>
      <c r="AS3924" s="22">
        <f t="shared" si="1180"/>
        <v>2</v>
      </c>
      <c r="AT3924" s="24" t="str">
        <f t="shared" si="1181"/>
        <v>0-3 months</v>
      </c>
      <c r="AU3924" s="22" t="s">
        <v>3240</v>
      </c>
    </row>
    <row r="3925" spans="1:47">
      <c r="A3925" s="33" t="str">
        <f t="shared" si="1172"/>
        <v>FY 24/25</v>
      </c>
      <c r="B3925" s="23">
        <v>2025</v>
      </c>
      <c r="C3925" s="23">
        <v>1</v>
      </c>
      <c r="D3925" s="202" t="str">
        <f t="shared" si="1183"/>
        <v>Q4</v>
      </c>
      <c r="E3925" s="33" t="str">
        <f t="shared" si="1171"/>
        <v>FY 24/25</v>
      </c>
      <c r="F3925" s="23">
        <v>2025</v>
      </c>
      <c r="G3925" s="23">
        <v>3</v>
      </c>
      <c r="H3925" s="29"/>
      <c r="I3925" s="204" t="str">
        <f t="shared" si="1173"/>
        <v>Q4</v>
      </c>
      <c r="J3925" s="188" t="s">
        <v>3688</v>
      </c>
      <c r="K3925" s="29" t="s">
        <v>3689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2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5"/>
        <v>1.13</v>
      </c>
      <c r="Z3925" s="196">
        <f t="shared" si="1184"/>
        <v>620000</v>
      </c>
      <c r="AA3925" s="22">
        <v>1.0669999999999999</v>
      </c>
      <c r="AB3925" s="197">
        <f t="shared" si="1196"/>
        <v>585433.62831858417</v>
      </c>
      <c r="AC3925" s="198">
        <f t="shared" si="1174"/>
        <v>70252.035398230102</v>
      </c>
      <c r="AD3925" s="169">
        <v>0.12</v>
      </c>
      <c r="AE3925" s="199">
        <f t="shared" si="1175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4"/>
        <v>17727707.415929206</v>
      </c>
      <c r="AJ3925" s="200">
        <f t="shared" si="1195"/>
        <v>2127324.8899115045</v>
      </c>
      <c r="AK3925" s="201">
        <f t="shared" si="1176"/>
        <v>0.11999999999999998</v>
      </c>
      <c r="AL3925" s="24"/>
      <c r="AM3925" s="24"/>
      <c r="AN3925" s="24"/>
      <c r="AO3925" s="24"/>
      <c r="AP3925" s="165" t="str">
        <f t="shared" si="1177"/>
        <v>20253</v>
      </c>
      <c r="AQ3925" s="203" t="str">
        <f t="shared" si="1178"/>
        <v>20253RMB</v>
      </c>
      <c r="AR3925" s="206" t="str">
        <f t="shared" si="1179"/>
        <v>YAMAHA_Mounter</v>
      </c>
      <c r="AS3925" s="22">
        <f t="shared" si="1180"/>
        <v>2</v>
      </c>
      <c r="AT3925" s="24" t="str">
        <f t="shared" si="1181"/>
        <v>0-3 months</v>
      </c>
      <c r="AU3925" s="22" t="s">
        <v>3240</v>
      </c>
    </row>
    <row r="3926" spans="1:47">
      <c r="A3926" s="33" t="str">
        <f t="shared" si="1172"/>
        <v>FY 24/25</v>
      </c>
      <c r="B3926" s="23">
        <v>2025</v>
      </c>
      <c r="C3926" s="23">
        <v>2</v>
      </c>
      <c r="D3926" s="202" t="str">
        <f t="shared" si="1183"/>
        <v>Q4</v>
      </c>
      <c r="E3926" s="33" t="str">
        <f t="shared" si="1171"/>
        <v>FY 24/25</v>
      </c>
      <c r="F3926" s="23">
        <v>2025</v>
      </c>
      <c r="G3926" s="23">
        <v>2</v>
      </c>
      <c r="H3926" s="29"/>
      <c r="I3926" s="204" t="str">
        <f t="shared" si="1173"/>
        <v>Q4</v>
      </c>
      <c r="J3926" s="188" t="s">
        <v>3692</v>
      </c>
      <c r="K3926" s="29" t="s">
        <v>3693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2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5"/>
        <v>1.13</v>
      </c>
      <c r="Z3926" s="196">
        <f t="shared" si="1184"/>
        <v>670000</v>
      </c>
      <c r="AA3926" s="22">
        <v>1.073</v>
      </c>
      <c r="AB3926" s="197">
        <f t="shared" si="1196"/>
        <v>636203.53982300893</v>
      </c>
      <c r="AC3926" s="198">
        <f t="shared" si="1174"/>
        <v>88814.014159292055</v>
      </c>
      <c r="AD3926" s="170">
        <v>0.1396</v>
      </c>
      <c r="AE3926" s="199">
        <f t="shared" si="1175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4"/>
        <v>30691842.970796466</v>
      </c>
      <c r="AJ3926" s="200">
        <f t="shared" si="1195"/>
        <v>4088324.205777524</v>
      </c>
      <c r="AK3926" s="201">
        <f t="shared" si="1176"/>
        <v>0.1332055624573473</v>
      </c>
      <c r="AL3926" s="24"/>
      <c r="AM3926" s="24"/>
      <c r="AN3926" s="24"/>
      <c r="AO3926" s="24"/>
      <c r="AP3926" s="165" t="str">
        <f t="shared" si="1177"/>
        <v>20252</v>
      </c>
      <c r="AQ3926" s="203" t="str">
        <f t="shared" si="1178"/>
        <v>20252RMB</v>
      </c>
      <c r="AR3926" s="206" t="str">
        <f t="shared" si="1179"/>
        <v>YAMAHA_Mounter</v>
      </c>
      <c r="AS3926" s="22">
        <f t="shared" si="1180"/>
        <v>0</v>
      </c>
      <c r="AT3926" s="24" t="str">
        <f t="shared" si="1181"/>
        <v>0-3 months</v>
      </c>
      <c r="AU3926" s="22" t="s">
        <v>3751</v>
      </c>
    </row>
    <row r="3927" spans="1:47">
      <c r="A3927" s="33" t="str">
        <f t="shared" si="1172"/>
        <v>FY 24/25</v>
      </c>
      <c r="B3927" s="23">
        <v>2025</v>
      </c>
      <c r="C3927" s="23">
        <v>2</v>
      </c>
      <c r="D3927" s="202" t="str">
        <f t="shared" si="1183"/>
        <v>Q4</v>
      </c>
      <c r="E3927" s="33" t="str">
        <f t="shared" si="1171"/>
        <v>FY 25/26</v>
      </c>
      <c r="F3927" s="23">
        <v>2025</v>
      </c>
      <c r="G3927" s="23">
        <v>5</v>
      </c>
      <c r="H3927" s="29"/>
      <c r="I3927" s="204" t="str">
        <f t="shared" si="1173"/>
        <v>Q1</v>
      </c>
      <c r="J3927" s="188" t="s">
        <v>3694</v>
      </c>
      <c r="K3927" s="29" t="s">
        <v>3695</v>
      </c>
      <c r="L3927" s="24" t="s">
        <v>3698</v>
      </c>
      <c r="M3927" s="13" t="s">
        <v>60</v>
      </c>
      <c r="N3927" s="22">
        <v>1</v>
      </c>
      <c r="O3927" s="22"/>
      <c r="P3927" s="202" t="str">
        <f t="shared" si="1182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5"/>
        <v>1</v>
      </c>
      <c r="Z3927" s="196">
        <f t="shared" si="1184"/>
        <v>29837877</v>
      </c>
      <c r="AA3927" s="22">
        <v>5.2999999999999999E-2</v>
      </c>
      <c r="AB3927" s="197">
        <f t="shared" si="1196"/>
        <v>1581407.4809999999</v>
      </c>
      <c r="AC3927" s="198">
        <f t="shared" si="1174"/>
        <v>189768.89771999998</v>
      </c>
      <c r="AD3927" s="169">
        <v>0.12</v>
      </c>
      <c r="AE3927" s="199">
        <f t="shared" si="1175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4"/>
        <v>14766529.81520354</v>
      </c>
      <c r="AJ3927" s="200">
        <f t="shared" si="1195"/>
        <v>1771983.5778244243</v>
      </c>
      <c r="AK3927" s="201">
        <f t="shared" si="1176"/>
        <v>0.11999999999999997</v>
      </c>
      <c r="AL3927" s="24"/>
      <c r="AM3927" s="24"/>
      <c r="AN3927" s="24"/>
      <c r="AO3927" s="24"/>
      <c r="AP3927" s="165" t="str">
        <f t="shared" si="1177"/>
        <v>20255</v>
      </c>
      <c r="AQ3927" s="203" t="str">
        <f t="shared" si="1178"/>
        <v>20255JPY</v>
      </c>
      <c r="AR3927" s="206" t="str">
        <f t="shared" si="1179"/>
        <v>YAMAHA_Mounter</v>
      </c>
      <c r="AS3927" s="22">
        <f t="shared" si="1180"/>
        <v>3</v>
      </c>
      <c r="AT3927" s="24" t="str">
        <f t="shared" si="1181"/>
        <v>0-3 months</v>
      </c>
      <c r="AU3927" s="22" t="s">
        <v>3745</v>
      </c>
    </row>
    <row r="3928" spans="1:47">
      <c r="A3928" s="33" t="str">
        <f t="shared" si="1172"/>
        <v>FY 24/25</v>
      </c>
      <c r="B3928" s="23">
        <v>2025</v>
      </c>
      <c r="C3928" s="23">
        <v>2</v>
      </c>
      <c r="D3928" s="202" t="str">
        <f t="shared" si="1183"/>
        <v>Q4</v>
      </c>
      <c r="E3928" s="33" t="str">
        <f t="shared" ref="E3928:E3991" si="1197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3"/>
        <v>Q1</v>
      </c>
      <c r="J3928" s="188" t="s">
        <v>3694</v>
      </c>
      <c r="K3928" s="29" t="s">
        <v>3695</v>
      </c>
      <c r="L3928" s="24" t="s">
        <v>3698</v>
      </c>
      <c r="M3928" s="13" t="s">
        <v>60</v>
      </c>
      <c r="N3928" s="22">
        <v>1</v>
      </c>
      <c r="O3928" s="22"/>
      <c r="P3928" s="202" t="str">
        <f t="shared" si="1182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5"/>
        <v>1</v>
      </c>
      <c r="Z3928" s="196">
        <f t="shared" si="1184"/>
        <v>29837877</v>
      </c>
      <c r="AA3928" s="22">
        <v>5.2999999999999999E-2</v>
      </c>
      <c r="AB3928" s="197">
        <f t="shared" si="1196"/>
        <v>1581407.4809999999</v>
      </c>
      <c r="AC3928" s="198">
        <f t="shared" si="1174"/>
        <v>189768.89771999998</v>
      </c>
      <c r="AD3928" s="169">
        <v>0.12</v>
      </c>
      <c r="AE3928" s="199">
        <f t="shared" si="1175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4"/>
        <v>14766529.81520354</v>
      </c>
      <c r="AJ3928" s="200">
        <f t="shared" si="1195"/>
        <v>1771983.5778244243</v>
      </c>
      <c r="AK3928" s="201">
        <f t="shared" si="1176"/>
        <v>0.11999999999999997</v>
      </c>
      <c r="AL3928" s="24"/>
      <c r="AM3928" s="24"/>
      <c r="AN3928" s="24"/>
      <c r="AO3928" s="24"/>
      <c r="AP3928" s="165" t="str">
        <f t="shared" si="1177"/>
        <v>20255</v>
      </c>
      <c r="AQ3928" s="203" t="str">
        <f t="shared" si="1178"/>
        <v>20255JPY</v>
      </c>
      <c r="AR3928" s="206" t="str">
        <f t="shared" si="1179"/>
        <v>YAMAHA_Mounter</v>
      </c>
      <c r="AS3928" s="22">
        <f t="shared" si="1180"/>
        <v>3</v>
      </c>
      <c r="AT3928" s="24" t="str">
        <f t="shared" si="1181"/>
        <v>0-3 months</v>
      </c>
      <c r="AU3928" s="22" t="s">
        <v>3745</v>
      </c>
    </row>
    <row r="3929" spans="1:47">
      <c r="A3929" s="33" t="str">
        <f t="shared" si="1172"/>
        <v>FY 24/25</v>
      </c>
      <c r="B3929" s="23">
        <v>2025</v>
      </c>
      <c r="C3929" s="23">
        <v>2</v>
      </c>
      <c r="D3929" s="202" t="str">
        <f t="shared" si="1183"/>
        <v>Q4</v>
      </c>
      <c r="E3929" s="33" t="str">
        <f t="shared" si="1197"/>
        <v>FY 25/26</v>
      </c>
      <c r="F3929" s="23">
        <v>2025</v>
      </c>
      <c r="G3929" s="23">
        <v>5</v>
      </c>
      <c r="H3929" s="29"/>
      <c r="I3929" s="204" t="str">
        <f t="shared" si="1173"/>
        <v>Q1</v>
      </c>
      <c r="J3929" s="188" t="s">
        <v>3694</v>
      </c>
      <c r="K3929" s="29" t="s">
        <v>3695</v>
      </c>
      <c r="L3929" s="24" t="s">
        <v>3698</v>
      </c>
      <c r="M3929" s="13" t="s">
        <v>60</v>
      </c>
      <c r="N3929" s="22">
        <v>1</v>
      </c>
      <c r="O3929" s="22"/>
      <c r="P3929" s="202" t="str">
        <f t="shared" si="1182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5"/>
        <v>1</v>
      </c>
      <c r="Z3929" s="196">
        <f t="shared" si="1184"/>
        <v>29837877</v>
      </c>
      <c r="AA3929" s="22">
        <v>5.2999999999999999E-2</v>
      </c>
      <c r="AB3929" s="197">
        <f t="shared" si="1196"/>
        <v>1581407.4809999999</v>
      </c>
      <c r="AC3929" s="198">
        <f t="shared" si="1174"/>
        <v>189768.89771999998</v>
      </c>
      <c r="AD3929" s="169">
        <v>0.12</v>
      </c>
      <c r="AE3929" s="199">
        <f t="shared" si="1175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4"/>
        <v>14766529.81520354</v>
      </c>
      <c r="AJ3929" s="200">
        <f t="shared" si="1195"/>
        <v>1771983.5778244243</v>
      </c>
      <c r="AK3929" s="201">
        <f t="shared" si="1176"/>
        <v>0.11999999999999997</v>
      </c>
      <c r="AL3929" s="24"/>
      <c r="AM3929" s="24"/>
      <c r="AN3929" s="24"/>
      <c r="AO3929" s="24"/>
      <c r="AP3929" s="165" t="str">
        <f t="shared" si="1177"/>
        <v>20255</v>
      </c>
      <c r="AQ3929" s="203" t="str">
        <f t="shared" si="1178"/>
        <v>20255JPY</v>
      </c>
      <c r="AR3929" s="206" t="str">
        <f t="shared" si="1179"/>
        <v>YAMAHA_Mounter</v>
      </c>
      <c r="AS3929" s="22">
        <f t="shared" si="1180"/>
        <v>3</v>
      </c>
      <c r="AT3929" s="24" t="str">
        <f t="shared" si="1181"/>
        <v>0-3 months</v>
      </c>
      <c r="AU3929" s="22" t="s">
        <v>3745</v>
      </c>
    </row>
    <row r="3930" spans="1:47">
      <c r="A3930" s="33" t="str">
        <f t="shared" si="1172"/>
        <v>FY 24/25</v>
      </c>
      <c r="B3930" s="23">
        <v>2025</v>
      </c>
      <c r="C3930" s="23">
        <v>2</v>
      </c>
      <c r="D3930" s="202" t="str">
        <f t="shared" si="1183"/>
        <v>Q4</v>
      </c>
      <c r="E3930" s="33" t="str">
        <f t="shared" si="1197"/>
        <v>FY 25/26</v>
      </c>
      <c r="F3930" s="23">
        <v>2025</v>
      </c>
      <c r="G3930" s="23">
        <v>5</v>
      </c>
      <c r="H3930" s="29"/>
      <c r="I3930" s="204" t="str">
        <f t="shared" si="1173"/>
        <v>Q1</v>
      </c>
      <c r="J3930" s="188" t="s">
        <v>3694</v>
      </c>
      <c r="K3930" s="29" t="s">
        <v>3695</v>
      </c>
      <c r="L3930" s="24" t="s">
        <v>3698</v>
      </c>
      <c r="M3930" s="13" t="s">
        <v>60</v>
      </c>
      <c r="N3930" s="22">
        <v>1</v>
      </c>
      <c r="O3930" s="22"/>
      <c r="P3930" s="202" t="str">
        <f t="shared" si="1182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5"/>
        <v>1</v>
      </c>
      <c r="Z3930" s="196">
        <f t="shared" si="1184"/>
        <v>29837877</v>
      </c>
      <c r="AA3930" s="22">
        <v>5.2999999999999999E-2</v>
      </c>
      <c r="AB3930" s="197">
        <f t="shared" si="1196"/>
        <v>1581407.4809999999</v>
      </c>
      <c r="AC3930" s="198">
        <f t="shared" si="1174"/>
        <v>189768.89771999998</v>
      </c>
      <c r="AD3930" s="169">
        <v>0.12</v>
      </c>
      <c r="AE3930" s="199">
        <f t="shared" si="1175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4"/>
        <v>14766529.81520354</v>
      </c>
      <c r="AJ3930" s="200">
        <f t="shared" si="1195"/>
        <v>1771983.5778244243</v>
      </c>
      <c r="AK3930" s="201">
        <f t="shared" si="1176"/>
        <v>0.11999999999999997</v>
      </c>
      <c r="AL3930" s="24"/>
      <c r="AM3930" s="24"/>
      <c r="AN3930" s="24"/>
      <c r="AO3930" s="24"/>
      <c r="AP3930" s="165" t="str">
        <f t="shared" si="1177"/>
        <v>20255</v>
      </c>
      <c r="AQ3930" s="203" t="str">
        <f t="shared" si="1178"/>
        <v>20255JPY</v>
      </c>
      <c r="AR3930" s="206" t="str">
        <f t="shared" si="1179"/>
        <v>YAMAHA_Mounter</v>
      </c>
      <c r="AS3930" s="22">
        <f t="shared" si="1180"/>
        <v>3</v>
      </c>
      <c r="AT3930" s="24" t="str">
        <f t="shared" si="1181"/>
        <v>0-3 months</v>
      </c>
      <c r="AU3930" s="22" t="s">
        <v>3745</v>
      </c>
    </row>
    <row r="3931" spans="1:47">
      <c r="A3931" s="33" t="str">
        <f t="shared" si="1172"/>
        <v>FY 24/25</v>
      </c>
      <c r="B3931" s="23">
        <v>2025</v>
      </c>
      <c r="C3931" s="23">
        <v>2</v>
      </c>
      <c r="D3931" s="202" t="str">
        <f t="shared" si="1183"/>
        <v>Q4</v>
      </c>
      <c r="E3931" s="33" t="str">
        <f t="shared" si="1197"/>
        <v>FY 25/26</v>
      </c>
      <c r="F3931" s="23">
        <v>2025</v>
      </c>
      <c r="G3931" s="23">
        <v>5</v>
      </c>
      <c r="H3931" s="29"/>
      <c r="I3931" s="204" t="str">
        <f t="shared" si="1173"/>
        <v>Q1</v>
      </c>
      <c r="J3931" s="188" t="s">
        <v>3694</v>
      </c>
      <c r="K3931" s="29" t="s">
        <v>3695</v>
      </c>
      <c r="L3931" s="24" t="s">
        <v>3698</v>
      </c>
      <c r="M3931" s="13" t="s">
        <v>60</v>
      </c>
      <c r="N3931" s="22">
        <v>1</v>
      </c>
      <c r="O3931" s="22"/>
      <c r="P3931" s="202" t="str">
        <f t="shared" si="1182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5"/>
        <v>1</v>
      </c>
      <c r="Z3931" s="196">
        <f t="shared" si="1184"/>
        <v>29837877</v>
      </c>
      <c r="AA3931" s="22">
        <v>5.2999999999999999E-2</v>
      </c>
      <c r="AB3931" s="197">
        <f t="shared" si="1196"/>
        <v>1581407.4809999999</v>
      </c>
      <c r="AC3931" s="198">
        <f t="shared" si="1174"/>
        <v>189768.89771999998</v>
      </c>
      <c r="AD3931" s="169">
        <v>0.12</v>
      </c>
      <c r="AE3931" s="199">
        <f t="shared" si="1175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4"/>
        <v>14766529.81520354</v>
      </c>
      <c r="AJ3931" s="200">
        <f t="shared" si="1195"/>
        <v>1771983.5778244243</v>
      </c>
      <c r="AK3931" s="201">
        <f t="shared" si="1176"/>
        <v>0.11999999999999997</v>
      </c>
      <c r="AL3931" s="24"/>
      <c r="AM3931" s="24"/>
      <c r="AN3931" s="24"/>
      <c r="AO3931" s="24"/>
      <c r="AP3931" s="165" t="str">
        <f t="shared" si="1177"/>
        <v>20255</v>
      </c>
      <c r="AQ3931" s="203" t="str">
        <f t="shared" si="1178"/>
        <v>20255JPY</v>
      </c>
      <c r="AR3931" s="206" t="str">
        <f t="shared" si="1179"/>
        <v>YAMAHA_Mounter</v>
      </c>
      <c r="AS3931" s="22">
        <f t="shared" si="1180"/>
        <v>3</v>
      </c>
      <c r="AT3931" s="24" t="str">
        <f t="shared" si="1181"/>
        <v>0-3 months</v>
      </c>
      <c r="AU3931" s="22" t="s">
        <v>3745</v>
      </c>
    </row>
    <row r="3932" spans="1:47">
      <c r="A3932" s="33" t="str">
        <f t="shared" si="1172"/>
        <v>FY 24/25</v>
      </c>
      <c r="B3932" s="23">
        <v>2025</v>
      </c>
      <c r="C3932" s="23">
        <v>2</v>
      </c>
      <c r="D3932" s="202" t="str">
        <f t="shared" si="1183"/>
        <v>Q4</v>
      </c>
      <c r="E3932" s="33" t="str">
        <f t="shared" si="1197"/>
        <v>FY 25/26</v>
      </c>
      <c r="F3932" s="23">
        <v>2025</v>
      </c>
      <c r="G3932" s="23">
        <v>5</v>
      </c>
      <c r="H3932" s="29"/>
      <c r="I3932" s="204" t="str">
        <f t="shared" si="1173"/>
        <v>Q1</v>
      </c>
      <c r="J3932" s="188" t="s">
        <v>3694</v>
      </c>
      <c r="K3932" s="29" t="s">
        <v>3695</v>
      </c>
      <c r="L3932" s="24" t="s">
        <v>3698</v>
      </c>
      <c r="M3932" s="13" t="s">
        <v>60</v>
      </c>
      <c r="N3932" s="22">
        <v>1</v>
      </c>
      <c r="O3932" s="22"/>
      <c r="P3932" s="202" t="str">
        <f t="shared" si="1182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5"/>
        <v>1</v>
      </c>
      <c r="Z3932" s="196">
        <f t="shared" si="1184"/>
        <v>29837877</v>
      </c>
      <c r="AA3932" s="22">
        <v>5.2999999999999999E-2</v>
      </c>
      <c r="AB3932" s="197">
        <f t="shared" si="1196"/>
        <v>1581407.4809999999</v>
      </c>
      <c r="AC3932" s="198">
        <f t="shared" si="1174"/>
        <v>189768.89771999998</v>
      </c>
      <c r="AD3932" s="169">
        <v>0.12</v>
      </c>
      <c r="AE3932" s="199">
        <f t="shared" si="1175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4"/>
        <v>14766529.81520354</v>
      </c>
      <c r="AJ3932" s="200">
        <f t="shared" si="1195"/>
        <v>1771983.5778244243</v>
      </c>
      <c r="AK3932" s="201">
        <f t="shared" si="1176"/>
        <v>0.11999999999999997</v>
      </c>
      <c r="AL3932" s="24"/>
      <c r="AM3932" s="24"/>
      <c r="AN3932" s="24"/>
      <c r="AO3932" s="24"/>
      <c r="AP3932" s="165" t="str">
        <f t="shared" si="1177"/>
        <v>20255</v>
      </c>
      <c r="AQ3932" s="203" t="str">
        <f t="shared" si="1178"/>
        <v>20255JPY</v>
      </c>
      <c r="AR3932" s="206" t="str">
        <f t="shared" si="1179"/>
        <v>YAMAHA_Mounter</v>
      </c>
      <c r="AS3932" s="22">
        <f t="shared" si="1180"/>
        <v>3</v>
      </c>
      <c r="AT3932" s="24" t="str">
        <f t="shared" si="1181"/>
        <v>0-3 months</v>
      </c>
      <c r="AU3932" s="22" t="s">
        <v>3745</v>
      </c>
    </row>
    <row r="3933" spans="1:47">
      <c r="A3933" s="33" t="str">
        <f t="shared" si="1172"/>
        <v>FY 24/25</v>
      </c>
      <c r="B3933" s="23">
        <v>2025</v>
      </c>
      <c r="C3933" s="23">
        <v>2</v>
      </c>
      <c r="D3933" s="202" t="str">
        <f t="shared" si="1183"/>
        <v>Q4</v>
      </c>
      <c r="E3933" s="33" t="str">
        <f t="shared" si="1197"/>
        <v>FY 24/25</v>
      </c>
      <c r="F3933" s="23">
        <v>2025</v>
      </c>
      <c r="G3933" s="23">
        <v>3</v>
      </c>
      <c r="H3933" s="29"/>
      <c r="I3933" s="204" t="str">
        <f t="shared" si="1173"/>
        <v>Q4</v>
      </c>
      <c r="J3933" s="188" t="s">
        <v>3696</v>
      </c>
      <c r="K3933" s="239" t="s">
        <v>3697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2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5"/>
        <v>1.13</v>
      </c>
      <c r="Z3933" s="196">
        <f t="shared" si="1184"/>
        <v>423800</v>
      </c>
      <c r="AA3933" s="22">
        <v>1.0669999999999999</v>
      </c>
      <c r="AB3933" s="197">
        <f t="shared" si="1196"/>
        <v>400172.2123893805</v>
      </c>
      <c r="AC3933" s="198">
        <f t="shared" si="1174"/>
        <v>48020.665486725658</v>
      </c>
      <c r="AD3933" s="169">
        <v>0.12</v>
      </c>
      <c r="AE3933" s="199">
        <f t="shared" si="1175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4"/>
        <v>17727707.415929206</v>
      </c>
      <c r="AJ3933" s="200">
        <f t="shared" si="1195"/>
        <v>2127324.8899115045</v>
      </c>
      <c r="AK3933" s="201">
        <f t="shared" si="1176"/>
        <v>0.11999999999999998</v>
      </c>
      <c r="AL3933" s="24"/>
      <c r="AM3933" s="24"/>
      <c r="AN3933" s="24"/>
      <c r="AO3933" s="24"/>
      <c r="AP3933" s="165" t="str">
        <f t="shared" si="1177"/>
        <v>20253</v>
      </c>
      <c r="AQ3933" s="203" t="str">
        <f t="shared" si="1178"/>
        <v>20253RMB</v>
      </c>
      <c r="AR3933" s="206" t="str">
        <f t="shared" si="1179"/>
        <v>YAMAHA_Mounter</v>
      </c>
      <c r="AS3933" s="22">
        <f t="shared" si="1180"/>
        <v>1</v>
      </c>
      <c r="AT3933" s="24" t="str">
        <f t="shared" si="1181"/>
        <v>0-3 months</v>
      </c>
      <c r="AU3933" s="22" t="s">
        <v>3240</v>
      </c>
    </row>
    <row r="3934" spans="1:47">
      <c r="A3934" s="33" t="str">
        <f t="shared" si="1172"/>
        <v>FY 24/25</v>
      </c>
      <c r="B3934" s="23">
        <v>2025</v>
      </c>
      <c r="C3934" s="23">
        <v>2</v>
      </c>
      <c r="D3934" s="202" t="str">
        <f t="shared" si="1183"/>
        <v>Q4</v>
      </c>
      <c r="E3934" s="33" t="str">
        <f t="shared" si="1197"/>
        <v>FY 25/26</v>
      </c>
      <c r="F3934" s="23">
        <v>2025</v>
      </c>
      <c r="G3934" s="23">
        <v>5</v>
      </c>
      <c r="H3934" s="29"/>
      <c r="I3934" s="204" t="str">
        <f t="shared" si="1173"/>
        <v>Q1</v>
      </c>
      <c r="J3934" s="188" t="s">
        <v>3699</v>
      </c>
      <c r="K3934" s="29" t="s">
        <v>3700</v>
      </c>
      <c r="L3934" s="24" t="s">
        <v>3698</v>
      </c>
      <c r="M3934" s="13" t="s">
        <v>60</v>
      </c>
      <c r="N3934" s="22">
        <v>1</v>
      </c>
      <c r="O3934" s="22"/>
      <c r="P3934" s="202" t="str">
        <f t="shared" si="1182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5"/>
        <v>1</v>
      </c>
      <c r="Z3934" s="196">
        <f t="shared" si="1184"/>
        <v>15000000</v>
      </c>
      <c r="AA3934" s="22">
        <v>5.2999999999999999E-2</v>
      </c>
      <c r="AB3934" s="197">
        <f t="shared" si="1196"/>
        <v>795000</v>
      </c>
      <c r="AC3934" s="198">
        <f t="shared" si="1174"/>
        <v>95400</v>
      </c>
      <c r="AD3934" s="169">
        <v>0.12</v>
      </c>
      <c r="AE3934" s="199">
        <f t="shared" si="1175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4"/>
        <v>14766529.81520354</v>
      </c>
      <c r="AJ3934" s="200">
        <f t="shared" si="1195"/>
        <v>1771983.5778244243</v>
      </c>
      <c r="AK3934" s="201">
        <f t="shared" si="1176"/>
        <v>0.11999999999999997</v>
      </c>
      <c r="AL3934" s="24"/>
      <c r="AM3934" s="24"/>
      <c r="AN3934" s="24"/>
      <c r="AO3934" s="24"/>
      <c r="AP3934" s="165" t="str">
        <f t="shared" si="1177"/>
        <v>20255</v>
      </c>
      <c r="AQ3934" s="203" t="str">
        <f t="shared" si="1178"/>
        <v>20255JPY</v>
      </c>
      <c r="AR3934" s="206" t="str">
        <f t="shared" si="1179"/>
        <v>YAMAHA_Mounter</v>
      </c>
      <c r="AS3934" s="22">
        <f t="shared" si="1180"/>
        <v>3</v>
      </c>
      <c r="AT3934" s="24" t="str">
        <f t="shared" si="1181"/>
        <v>0-3 months</v>
      </c>
      <c r="AU3934" s="22" t="s">
        <v>3745</v>
      </c>
    </row>
    <row r="3935" spans="1:47">
      <c r="A3935" s="33" t="str">
        <f t="shared" si="1172"/>
        <v>FY 24/25</v>
      </c>
      <c r="B3935" s="23">
        <v>2025</v>
      </c>
      <c r="C3935" s="23">
        <v>2</v>
      </c>
      <c r="D3935" s="202" t="str">
        <f t="shared" si="1183"/>
        <v>Q4</v>
      </c>
      <c r="E3935" s="33" t="str">
        <f t="shared" si="1197"/>
        <v>FY 25/26</v>
      </c>
      <c r="F3935" s="23">
        <v>2025</v>
      </c>
      <c r="G3935" s="23">
        <v>5</v>
      </c>
      <c r="H3935" s="29"/>
      <c r="I3935" s="204" t="str">
        <f t="shared" si="1173"/>
        <v>Q1</v>
      </c>
      <c r="J3935" s="188" t="s">
        <v>3699</v>
      </c>
      <c r="K3935" s="29" t="s">
        <v>3700</v>
      </c>
      <c r="L3935" s="24" t="s">
        <v>3698</v>
      </c>
      <c r="M3935" s="13" t="s">
        <v>60</v>
      </c>
      <c r="N3935" s="22">
        <v>1</v>
      </c>
      <c r="O3935" s="22"/>
      <c r="P3935" s="202" t="str">
        <f t="shared" si="1182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5"/>
        <v>1</v>
      </c>
      <c r="Z3935" s="196">
        <f t="shared" si="1184"/>
        <v>15000000</v>
      </c>
      <c r="AA3935" s="22">
        <v>5.2999999999999999E-2</v>
      </c>
      <c r="AB3935" s="197">
        <f t="shared" si="1196"/>
        <v>795000</v>
      </c>
      <c r="AC3935" s="198">
        <f t="shared" si="1174"/>
        <v>95400</v>
      </c>
      <c r="AD3935" s="169">
        <v>0.12</v>
      </c>
      <c r="AE3935" s="199">
        <f t="shared" si="1175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4"/>
        <v>14766529.81520354</v>
      </c>
      <c r="AJ3935" s="200">
        <f t="shared" si="1195"/>
        <v>1771983.5778244243</v>
      </c>
      <c r="AK3935" s="201">
        <f t="shared" si="1176"/>
        <v>0.11999999999999997</v>
      </c>
      <c r="AL3935" s="24"/>
      <c r="AM3935" s="24"/>
      <c r="AN3935" s="24"/>
      <c r="AO3935" s="24"/>
      <c r="AP3935" s="165" t="str">
        <f t="shared" si="1177"/>
        <v>20255</v>
      </c>
      <c r="AQ3935" s="203" t="str">
        <f t="shared" si="1178"/>
        <v>20255JPY</v>
      </c>
      <c r="AR3935" s="206" t="str">
        <f t="shared" si="1179"/>
        <v>YAMAHA_Mounter</v>
      </c>
      <c r="AS3935" s="22">
        <f t="shared" si="1180"/>
        <v>3</v>
      </c>
      <c r="AT3935" s="24" t="str">
        <f t="shared" si="1181"/>
        <v>0-3 months</v>
      </c>
      <c r="AU3935" s="22" t="s">
        <v>3745</v>
      </c>
    </row>
    <row r="3936" spans="1:47">
      <c r="A3936" s="33" t="str">
        <f t="shared" ref="A3936:A3999" si="1198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3"/>
        <v>Q4</v>
      </c>
      <c r="E3936" s="33" t="str">
        <f t="shared" si="1197"/>
        <v>FY 25/26</v>
      </c>
      <c r="F3936" s="23">
        <v>2025</v>
      </c>
      <c r="G3936" s="23">
        <v>5</v>
      </c>
      <c r="H3936" s="29"/>
      <c r="I3936" s="204" t="str">
        <f t="shared" ref="I3936:I3999" si="1199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3699</v>
      </c>
      <c r="K3936" s="29" t="s">
        <v>3700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2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5"/>
        <v>1</v>
      </c>
      <c r="Z3936" s="196">
        <f t="shared" si="1184"/>
        <v>8336500</v>
      </c>
      <c r="AA3936" s="22">
        <v>5.2999999999999999E-2</v>
      </c>
      <c r="AB3936" s="197">
        <f t="shared" si="1196"/>
        <v>441834.5</v>
      </c>
      <c r="AC3936" s="198">
        <f t="shared" ref="AC3936:AC3994" si="1200">IF(R3936&lt;&gt;"",AB3936*AD3936,"")</f>
        <v>53020.14</v>
      </c>
      <c r="AD3936" s="169">
        <v>0.12</v>
      </c>
      <c r="AE3936" s="199">
        <f t="shared" ref="AE3936:AE3994" si="1201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4"/>
        <v>14766529.81520354</v>
      </c>
      <c r="AJ3936" s="200">
        <f t="shared" si="1195"/>
        <v>1771983.5778244243</v>
      </c>
      <c r="AK3936" s="201">
        <f t="shared" ref="AK3936:AK3994" si="1202">IF(AJ3936&gt;0,AJ3936/AI3936,"")</f>
        <v>0.11999999999999997</v>
      </c>
      <c r="AL3936" s="24"/>
      <c r="AM3936" s="24"/>
      <c r="AN3936" s="24"/>
      <c r="AO3936" s="24"/>
      <c r="AP3936" s="165" t="str">
        <f t="shared" ref="AP3936:AP3996" si="1203">IF(F3936="","",F3936&amp;G3936)</f>
        <v>20255</v>
      </c>
      <c r="AQ3936" s="203" t="str">
        <f t="shared" ref="AQ3936:AQ3996" si="1204">IF(W3936="","",F3936&amp;G3936&amp;W3936)</f>
        <v>20255JPY</v>
      </c>
      <c r="AR3936" s="206" t="str">
        <f t="shared" ref="AR3936:AR3996" si="1205">IFERROR(IF(AND(M3936="YAMAHA", R3936="C28"), "YAMAHA_Non_Mounter", IF(AND(M3936="YAMAHA", R3936="C49"), "YAMAHA_Mounter", M3936)),"")</f>
        <v>YAMAHA_Mounter</v>
      </c>
      <c r="AS3936" s="22">
        <f t="shared" ref="AS3936:AS3996" si="1206">IFERROR(IF(OR(G3936="TBA", G3936=""), "", DATEDIF(DATE(B3936, C3936, 1), DATE(F3936, G3936, 1), "M")),"")</f>
        <v>3</v>
      </c>
      <c r="AT3936" s="24" t="str">
        <f t="shared" ref="AT3936:AT3996" si="1207">IF(ISNUMBER(AS3936), IF(AS3936&gt;=0, IF(AS3936&lt;=3, "0-3 months", IF(AS3936&lt;=6, "4-6 months", "&gt; 6 months"))), "")</f>
        <v>0-3 months</v>
      </c>
      <c r="AU3936" s="22" t="s">
        <v>3745</v>
      </c>
    </row>
    <row r="3937" spans="1:47">
      <c r="A3937" s="33" t="str">
        <f t="shared" si="1198"/>
        <v>FY 24/25</v>
      </c>
      <c r="B3937" s="23">
        <v>2025</v>
      </c>
      <c r="C3937" s="23">
        <v>2</v>
      </c>
      <c r="D3937" s="202" t="str">
        <f t="shared" si="1183"/>
        <v>Q4</v>
      </c>
      <c r="E3937" s="33" t="str">
        <f t="shared" si="1197"/>
        <v>FY 25/26</v>
      </c>
      <c r="F3937" s="23">
        <v>2025</v>
      </c>
      <c r="G3937" s="23">
        <v>5</v>
      </c>
      <c r="H3937" s="29"/>
      <c r="I3937" s="204" t="str">
        <f t="shared" si="1199"/>
        <v>Q1</v>
      </c>
      <c r="J3937" s="188" t="s">
        <v>3699</v>
      </c>
      <c r="K3937" s="29" t="s">
        <v>3700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3994" si="1208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5"/>
        <v>1</v>
      </c>
      <c r="Z3937" s="196">
        <f t="shared" si="1184"/>
        <v>8336500</v>
      </c>
      <c r="AA3937" s="22">
        <v>5.2999999999999999E-2</v>
      </c>
      <c r="AB3937" s="197">
        <f t="shared" si="1196"/>
        <v>441834.5</v>
      </c>
      <c r="AC3937" s="198">
        <f t="shared" si="1200"/>
        <v>53020.14</v>
      </c>
      <c r="AD3937" s="169">
        <v>0.12</v>
      </c>
      <c r="AE3937" s="199">
        <f t="shared" si="1201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4"/>
        <v>14766529.81520354</v>
      </c>
      <c r="AJ3937" s="200">
        <f t="shared" si="1195"/>
        <v>1771983.5778244243</v>
      </c>
      <c r="AK3937" s="201">
        <f t="shared" si="1202"/>
        <v>0.11999999999999997</v>
      </c>
      <c r="AL3937" s="24"/>
      <c r="AM3937" s="24"/>
      <c r="AN3937" s="24"/>
      <c r="AO3937" s="24"/>
      <c r="AP3937" s="165" t="str">
        <f t="shared" si="1203"/>
        <v>20255</v>
      </c>
      <c r="AQ3937" s="203" t="str">
        <f t="shared" si="1204"/>
        <v>20255JPY</v>
      </c>
      <c r="AR3937" s="206" t="str">
        <f t="shared" si="1205"/>
        <v>YAMAHA_Mounter</v>
      </c>
      <c r="AS3937" s="22">
        <f t="shared" si="1206"/>
        <v>3</v>
      </c>
      <c r="AT3937" s="24" t="str">
        <f t="shared" si="1207"/>
        <v>0-3 months</v>
      </c>
      <c r="AU3937" s="22" t="s">
        <v>3745</v>
      </c>
    </row>
    <row r="3938" spans="1:47">
      <c r="A3938" s="33" t="str">
        <f t="shared" si="1198"/>
        <v>FY 24/25</v>
      </c>
      <c r="B3938" s="23">
        <v>2025</v>
      </c>
      <c r="C3938" s="23">
        <v>2</v>
      </c>
      <c r="D3938" s="202" t="str">
        <f t="shared" si="1183"/>
        <v>Q4</v>
      </c>
      <c r="E3938" s="33" t="str">
        <f t="shared" si="1197"/>
        <v>FY 24/25</v>
      </c>
      <c r="F3938" s="23">
        <v>2025</v>
      </c>
      <c r="G3938" s="23">
        <v>2</v>
      </c>
      <c r="H3938" s="29"/>
      <c r="I3938" s="204" t="str">
        <f t="shared" si="1199"/>
        <v>Q4</v>
      </c>
      <c r="J3938" s="188" t="s">
        <v>3701</v>
      </c>
      <c r="K3938" s="29" t="s">
        <v>3702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8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5"/>
        <v>1</v>
      </c>
      <c r="Z3938" s="196">
        <f t="shared" si="1184"/>
        <v>11400000</v>
      </c>
      <c r="AA3938" s="22">
        <v>5.11E-2</v>
      </c>
      <c r="AB3938" s="197">
        <f t="shared" si="1196"/>
        <v>582540</v>
      </c>
      <c r="AC3938" s="198">
        <f t="shared" si="1200"/>
        <v>59710.35</v>
      </c>
      <c r="AD3938" s="170">
        <v>0.10249999999999999</v>
      </c>
      <c r="AE3938" s="199">
        <f t="shared" si="1201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4"/>
        <v>30691842.970796466</v>
      </c>
      <c r="AJ3938" s="200">
        <f t="shared" si="1195"/>
        <v>4088324.205777524</v>
      </c>
      <c r="AK3938" s="201">
        <f t="shared" si="1202"/>
        <v>0.1332055624573473</v>
      </c>
      <c r="AL3938" s="24"/>
      <c r="AM3938" s="24"/>
      <c r="AN3938" s="24"/>
      <c r="AO3938" s="24"/>
      <c r="AP3938" s="165" t="str">
        <f t="shared" si="1203"/>
        <v>20252</v>
      </c>
      <c r="AQ3938" s="203" t="str">
        <f t="shared" si="1204"/>
        <v>20252JPY</v>
      </c>
      <c r="AR3938" s="206" t="str">
        <f t="shared" si="1205"/>
        <v>YAMAHA_Mounter</v>
      </c>
      <c r="AS3938" s="22">
        <f t="shared" si="1206"/>
        <v>0</v>
      </c>
      <c r="AT3938" s="24" t="str">
        <f t="shared" si="1207"/>
        <v>0-3 months</v>
      </c>
      <c r="AU3938" s="22" t="s">
        <v>3745</v>
      </c>
    </row>
    <row r="3939" spans="1:47">
      <c r="A3939" s="33" t="str">
        <f t="shared" si="1198"/>
        <v>FY 24/25</v>
      </c>
      <c r="B3939" s="23">
        <v>2025</v>
      </c>
      <c r="C3939" s="23">
        <v>2</v>
      </c>
      <c r="D3939" s="202" t="str">
        <f t="shared" si="1183"/>
        <v>Q4</v>
      </c>
      <c r="E3939" s="33" t="str">
        <f t="shared" si="1197"/>
        <v>FY 24/25</v>
      </c>
      <c r="F3939" s="23">
        <v>2025</v>
      </c>
      <c r="G3939" s="23">
        <v>2</v>
      </c>
      <c r="H3939" s="29"/>
      <c r="I3939" s="204" t="str">
        <f t="shared" si="1199"/>
        <v>Q4</v>
      </c>
      <c r="J3939" s="188" t="s">
        <v>3703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8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5"/>
        <v>1.13</v>
      </c>
      <c r="Z3939" s="196">
        <f t="shared" si="1184"/>
        <v>700000</v>
      </c>
      <c r="AA3939" s="22">
        <v>1.073</v>
      </c>
      <c r="AB3939" s="197">
        <f t="shared" si="1196"/>
        <v>664690.26548672561</v>
      </c>
      <c r="AC3939" s="198">
        <f t="shared" si="1200"/>
        <v>44401.30973451327</v>
      </c>
      <c r="AD3939" s="170">
        <v>6.6799999999999998E-2</v>
      </c>
      <c r="AE3939" s="199">
        <f t="shared" si="1201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4"/>
        <v>30691842.970796466</v>
      </c>
      <c r="AJ3939" s="200">
        <f t="shared" si="1195"/>
        <v>4088324.205777524</v>
      </c>
      <c r="AK3939" s="201">
        <f t="shared" si="1202"/>
        <v>0.1332055624573473</v>
      </c>
      <c r="AL3939" s="24"/>
      <c r="AM3939" s="24"/>
      <c r="AN3939" s="24"/>
      <c r="AO3939" s="24"/>
      <c r="AP3939" s="165" t="str">
        <f t="shared" si="1203"/>
        <v>20252</v>
      </c>
      <c r="AQ3939" s="203" t="str">
        <f t="shared" si="1204"/>
        <v>20252RMB</v>
      </c>
      <c r="AR3939" s="206" t="str">
        <f t="shared" si="1205"/>
        <v>YAMAHA_Mounter</v>
      </c>
      <c r="AS3939" s="22">
        <f t="shared" si="1206"/>
        <v>0</v>
      </c>
      <c r="AT3939" s="24" t="str">
        <f t="shared" si="1207"/>
        <v>0-3 months</v>
      </c>
      <c r="AU3939" s="22" t="s">
        <v>3240</v>
      </c>
    </row>
    <row r="3940" spans="1:47">
      <c r="A3940" s="33" t="str">
        <f t="shared" si="1198"/>
        <v>FY 24/25</v>
      </c>
      <c r="B3940" s="23">
        <v>2025</v>
      </c>
      <c r="C3940" s="23">
        <v>2</v>
      </c>
      <c r="D3940" s="202" t="str">
        <f t="shared" si="1183"/>
        <v>Q4</v>
      </c>
      <c r="E3940" s="33" t="str">
        <f t="shared" si="1197"/>
        <v>FY 24/25</v>
      </c>
      <c r="F3940" s="23">
        <v>2025</v>
      </c>
      <c r="G3940" s="23">
        <v>2</v>
      </c>
      <c r="H3940" s="29"/>
      <c r="I3940" s="204" t="str">
        <f t="shared" si="1199"/>
        <v>Q4</v>
      </c>
      <c r="J3940" s="188" t="s">
        <v>3703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8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5"/>
        <v>1.13</v>
      </c>
      <c r="Z3940" s="196">
        <f t="shared" si="1184"/>
        <v>700000</v>
      </c>
      <c r="AA3940" s="22">
        <v>1.073</v>
      </c>
      <c r="AB3940" s="197">
        <f t="shared" si="1196"/>
        <v>664690.26548672561</v>
      </c>
      <c r="AC3940" s="198">
        <f t="shared" si="1200"/>
        <v>44401.30973451327</v>
      </c>
      <c r="AD3940" s="170">
        <v>6.6799999999999998E-2</v>
      </c>
      <c r="AE3940" s="199">
        <f t="shared" si="1201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4"/>
        <v>30691842.970796466</v>
      </c>
      <c r="AJ3940" s="200">
        <f t="shared" si="1195"/>
        <v>4088324.205777524</v>
      </c>
      <c r="AK3940" s="201">
        <f t="shared" si="1202"/>
        <v>0.1332055624573473</v>
      </c>
      <c r="AL3940" s="24"/>
      <c r="AM3940" s="24"/>
      <c r="AN3940" s="24"/>
      <c r="AO3940" s="24"/>
      <c r="AP3940" s="165" t="str">
        <f t="shared" si="1203"/>
        <v>20252</v>
      </c>
      <c r="AQ3940" s="203" t="str">
        <f t="shared" si="1204"/>
        <v>20252RMB</v>
      </c>
      <c r="AR3940" s="206" t="str">
        <f t="shared" si="1205"/>
        <v>YAMAHA_Mounter</v>
      </c>
      <c r="AS3940" s="22">
        <f t="shared" si="1206"/>
        <v>0</v>
      </c>
      <c r="AT3940" s="24" t="str">
        <f t="shared" si="1207"/>
        <v>0-3 months</v>
      </c>
      <c r="AU3940" s="22" t="s">
        <v>3240</v>
      </c>
    </row>
    <row r="3941" spans="1:47">
      <c r="A3941" s="33" t="str">
        <f t="shared" si="1198"/>
        <v>FY 24/25</v>
      </c>
      <c r="B3941" s="23">
        <v>2025</v>
      </c>
      <c r="C3941" s="23">
        <v>2</v>
      </c>
      <c r="D3941" s="202" t="str">
        <f t="shared" si="1183"/>
        <v>Q4</v>
      </c>
      <c r="E3941" s="33" t="str">
        <f t="shared" si="1197"/>
        <v>FY 24/25</v>
      </c>
      <c r="F3941" s="23">
        <v>2025</v>
      </c>
      <c r="G3941" s="23">
        <v>2</v>
      </c>
      <c r="H3941" s="29"/>
      <c r="I3941" s="204" t="str">
        <f t="shared" si="1199"/>
        <v>Q4</v>
      </c>
      <c r="J3941" s="188" t="s">
        <v>3703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8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5"/>
        <v>1.13</v>
      </c>
      <c r="Z3941" s="196">
        <f t="shared" si="1184"/>
        <v>500000</v>
      </c>
      <c r="AA3941" s="22">
        <v>1.073</v>
      </c>
      <c r="AB3941" s="197">
        <f t="shared" si="1196"/>
        <v>474778.76106194692</v>
      </c>
      <c r="AC3941" s="198">
        <f t="shared" si="1200"/>
        <v>31715.221238938055</v>
      </c>
      <c r="AD3941" s="170">
        <v>6.6799999999999998E-2</v>
      </c>
      <c r="AE3941" s="199">
        <f t="shared" si="1201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4"/>
        <v>30691842.970796466</v>
      </c>
      <c r="AJ3941" s="200">
        <f t="shared" si="1195"/>
        <v>4088324.205777524</v>
      </c>
      <c r="AK3941" s="201">
        <f t="shared" si="1202"/>
        <v>0.1332055624573473</v>
      </c>
      <c r="AL3941" s="24"/>
      <c r="AM3941" s="24"/>
      <c r="AN3941" s="24"/>
      <c r="AO3941" s="24"/>
      <c r="AP3941" s="165" t="str">
        <f t="shared" si="1203"/>
        <v>20252</v>
      </c>
      <c r="AQ3941" s="203" t="str">
        <f t="shared" si="1204"/>
        <v>20252RMB</v>
      </c>
      <c r="AR3941" s="206" t="str">
        <f t="shared" si="1205"/>
        <v>YAMAHA_Mounter</v>
      </c>
      <c r="AS3941" s="22">
        <f t="shared" si="1206"/>
        <v>0</v>
      </c>
      <c r="AT3941" s="24" t="str">
        <f t="shared" si="1207"/>
        <v>0-3 months</v>
      </c>
      <c r="AU3941" s="22" t="s">
        <v>3240</v>
      </c>
    </row>
    <row r="3942" spans="1:47">
      <c r="A3942" s="33" t="str">
        <f t="shared" si="1198"/>
        <v>FY 24/25</v>
      </c>
      <c r="B3942" s="23">
        <v>2025</v>
      </c>
      <c r="C3942" s="23">
        <v>2</v>
      </c>
      <c r="D3942" s="202" t="str">
        <f t="shared" si="1183"/>
        <v>Q4</v>
      </c>
      <c r="E3942" s="33" t="str">
        <f t="shared" si="1197"/>
        <v>FY 25/26</v>
      </c>
      <c r="F3942" s="23">
        <v>2025</v>
      </c>
      <c r="G3942" s="23">
        <v>4</v>
      </c>
      <c r="H3942" s="29"/>
      <c r="I3942" s="204" t="str">
        <f t="shared" si="1199"/>
        <v>Q1</v>
      </c>
      <c r="J3942" s="188" t="s">
        <v>3704</v>
      </c>
      <c r="K3942" s="29" t="s">
        <v>3706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8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5"/>
        <v>1.13</v>
      </c>
      <c r="Z3942" s="196">
        <f t="shared" si="1184"/>
        <v>390000</v>
      </c>
      <c r="AA3942" s="22">
        <v>1.0669999999999999</v>
      </c>
      <c r="AB3942" s="197">
        <f t="shared" si="1196"/>
        <v>368256.63716814161</v>
      </c>
      <c r="AC3942" s="198">
        <f t="shared" si="1200"/>
        <v>44190.796460176993</v>
      </c>
      <c r="AD3942" s="169">
        <v>0.12</v>
      </c>
      <c r="AE3942" s="199">
        <f t="shared" si="1201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4"/>
        <v>29497483.159292053</v>
      </c>
      <c r="AJ3942" s="200">
        <f t="shared" si="1195"/>
        <v>3539697.9791150414</v>
      </c>
      <c r="AK3942" s="201">
        <f t="shared" si="1202"/>
        <v>0.11999999999999983</v>
      </c>
      <c r="AL3942" s="24"/>
      <c r="AM3942" s="24"/>
      <c r="AN3942" s="24"/>
      <c r="AO3942" s="24"/>
      <c r="AP3942" s="165" t="str">
        <f t="shared" si="1203"/>
        <v>20254</v>
      </c>
      <c r="AQ3942" s="203" t="str">
        <f t="shared" si="1204"/>
        <v>20254RMB</v>
      </c>
      <c r="AR3942" s="206" t="str">
        <f t="shared" si="1205"/>
        <v>YAMAHA_Mounter</v>
      </c>
      <c r="AS3942" s="22">
        <f t="shared" si="1206"/>
        <v>2</v>
      </c>
      <c r="AT3942" s="24" t="str">
        <f t="shared" si="1207"/>
        <v>0-3 months</v>
      </c>
      <c r="AU3942" s="22" t="s">
        <v>3240</v>
      </c>
    </row>
    <row r="3943" spans="1:47">
      <c r="A3943" s="33" t="str">
        <f t="shared" si="1198"/>
        <v>FY 24/25</v>
      </c>
      <c r="B3943" s="23">
        <v>2025</v>
      </c>
      <c r="C3943" s="23">
        <v>2</v>
      </c>
      <c r="D3943" s="202" t="str">
        <f t="shared" si="1183"/>
        <v>Q4</v>
      </c>
      <c r="E3943" s="33" t="str">
        <f t="shared" si="1197"/>
        <v>FY 24/25</v>
      </c>
      <c r="F3943" s="23">
        <v>2025</v>
      </c>
      <c r="G3943" s="23">
        <v>3</v>
      </c>
      <c r="H3943" s="29"/>
      <c r="I3943" s="204" t="str">
        <f t="shared" si="1199"/>
        <v>Q4</v>
      </c>
      <c r="J3943" s="188" t="s">
        <v>3705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8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810000</v>
      </c>
      <c r="Y3943" s="195" t="str">
        <f t="shared" si="1185"/>
        <v>1.13</v>
      </c>
      <c r="Z3943" s="196">
        <f t="shared" si="1184"/>
        <v>810000</v>
      </c>
      <c r="AA3943" s="22">
        <v>1.0669999999999999</v>
      </c>
      <c r="AB3943" s="197">
        <f t="shared" si="1196"/>
        <v>764840.70796460181</v>
      </c>
      <c r="AC3943" s="198">
        <f t="shared" si="1200"/>
        <v>91780.884955752219</v>
      </c>
      <c r="AD3943" s="169">
        <v>0.12</v>
      </c>
      <c r="AE3943" s="199">
        <f t="shared" si="1201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4"/>
        <v>17727707.415929206</v>
      </c>
      <c r="AJ3943" s="200">
        <f t="shared" si="1195"/>
        <v>2127324.8899115045</v>
      </c>
      <c r="AK3943" s="201">
        <f t="shared" si="1202"/>
        <v>0.11999999999999998</v>
      </c>
      <c r="AL3943" s="24"/>
      <c r="AM3943" s="24"/>
      <c r="AN3943" s="24"/>
      <c r="AO3943" s="24"/>
      <c r="AP3943" s="165" t="str">
        <f t="shared" si="1203"/>
        <v>20253</v>
      </c>
      <c r="AQ3943" s="203" t="str">
        <f t="shared" si="1204"/>
        <v>20253RMB</v>
      </c>
      <c r="AR3943" s="206" t="str">
        <f t="shared" si="1205"/>
        <v>YAMAHA_Mounter</v>
      </c>
      <c r="AS3943" s="22">
        <f t="shared" si="1206"/>
        <v>1</v>
      </c>
      <c r="AT3943" s="24" t="str">
        <f t="shared" si="1207"/>
        <v>0-3 months</v>
      </c>
      <c r="AU3943" s="22" t="s">
        <v>3240</v>
      </c>
    </row>
    <row r="3944" spans="1:47">
      <c r="A3944" s="33" t="str">
        <f t="shared" si="1198"/>
        <v>FY 24/25</v>
      </c>
      <c r="B3944" s="23">
        <v>2025</v>
      </c>
      <c r="C3944" s="23">
        <v>2</v>
      </c>
      <c r="D3944" s="202" t="str">
        <f t="shared" si="1183"/>
        <v>Q4</v>
      </c>
      <c r="E3944" s="33" t="str">
        <f t="shared" si="1197"/>
        <v>FY 24/25</v>
      </c>
      <c r="F3944" s="23">
        <v>2025</v>
      </c>
      <c r="G3944" s="23">
        <v>3</v>
      </c>
      <c r="H3944" s="29"/>
      <c r="I3944" s="204" t="str">
        <f t="shared" si="1199"/>
        <v>Q4</v>
      </c>
      <c r="J3944" s="188" t="s">
        <v>3705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8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5"/>
        <v>1.13</v>
      </c>
      <c r="Z3944" s="196">
        <f t="shared" si="1184"/>
        <v>720000</v>
      </c>
      <c r="AA3944" s="22">
        <v>1.0669999999999999</v>
      </c>
      <c r="AB3944" s="197">
        <f t="shared" si="1196"/>
        <v>679858.40707964601</v>
      </c>
      <c r="AC3944" s="198">
        <f t="shared" si="1200"/>
        <v>81583.008849557518</v>
      </c>
      <c r="AD3944" s="169">
        <v>0.12</v>
      </c>
      <c r="AE3944" s="199">
        <f t="shared" si="1201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4"/>
        <v>17727707.415929206</v>
      </c>
      <c r="AJ3944" s="200">
        <f t="shared" si="1195"/>
        <v>2127324.8899115045</v>
      </c>
      <c r="AK3944" s="201">
        <f t="shared" si="1202"/>
        <v>0.11999999999999998</v>
      </c>
      <c r="AL3944" s="24"/>
      <c r="AM3944" s="24"/>
      <c r="AN3944" s="24"/>
      <c r="AO3944" s="24"/>
      <c r="AP3944" s="165" t="str">
        <f t="shared" si="1203"/>
        <v>20253</v>
      </c>
      <c r="AQ3944" s="203" t="str">
        <f t="shared" si="1204"/>
        <v>20253RMB</v>
      </c>
      <c r="AR3944" s="206" t="str">
        <f t="shared" si="1205"/>
        <v>YAMAHA_Mounter</v>
      </c>
      <c r="AS3944" s="22">
        <f t="shared" si="1206"/>
        <v>1</v>
      </c>
      <c r="AT3944" s="24" t="str">
        <f t="shared" si="1207"/>
        <v>0-3 months</v>
      </c>
      <c r="AU3944" s="22" t="s">
        <v>3240</v>
      </c>
    </row>
    <row r="3945" spans="1:47">
      <c r="A3945" s="33" t="str">
        <f t="shared" si="1198"/>
        <v>FY 24/25</v>
      </c>
      <c r="B3945" s="23">
        <v>2025</v>
      </c>
      <c r="C3945" s="23">
        <v>2</v>
      </c>
      <c r="D3945" s="202" t="str">
        <f t="shared" si="1183"/>
        <v>Q4</v>
      </c>
      <c r="E3945" s="33" t="str">
        <f t="shared" si="1197"/>
        <v>FY 24/25</v>
      </c>
      <c r="F3945" s="23">
        <v>2025</v>
      </c>
      <c r="G3945" s="23">
        <v>2</v>
      </c>
      <c r="H3945" s="29"/>
      <c r="I3945" s="204" t="str">
        <f t="shared" si="1199"/>
        <v>Q4</v>
      </c>
      <c r="J3945" s="188" t="s">
        <v>3707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8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5"/>
        <v>1</v>
      </c>
      <c r="Z3945" s="196">
        <f t="shared" si="1184"/>
        <v>9800000</v>
      </c>
      <c r="AA3945" s="22">
        <v>5.11E-2</v>
      </c>
      <c r="AB3945" s="197">
        <f t="shared" si="1196"/>
        <v>500780</v>
      </c>
      <c r="AC3945" s="198">
        <f t="shared" si="1200"/>
        <v>55536.502</v>
      </c>
      <c r="AD3945" s="170">
        <v>0.1109</v>
      </c>
      <c r="AE3945" s="199">
        <f t="shared" si="1201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4"/>
        <v>30691842.970796466</v>
      </c>
      <c r="AJ3945" s="200">
        <f t="shared" si="1195"/>
        <v>4088324.205777524</v>
      </c>
      <c r="AK3945" s="201">
        <f t="shared" si="1202"/>
        <v>0.1332055624573473</v>
      </c>
      <c r="AL3945" s="24"/>
      <c r="AM3945" s="24"/>
      <c r="AN3945" s="24"/>
      <c r="AO3945" s="24"/>
      <c r="AP3945" s="165" t="str">
        <f t="shared" si="1203"/>
        <v>20252</v>
      </c>
      <c r="AQ3945" s="203" t="str">
        <f t="shared" si="1204"/>
        <v>20252JPY</v>
      </c>
      <c r="AR3945" s="206" t="str">
        <f t="shared" si="1205"/>
        <v>YAMAHA_Mounter</v>
      </c>
      <c r="AS3945" s="22">
        <f t="shared" si="1206"/>
        <v>0</v>
      </c>
      <c r="AT3945" s="24" t="str">
        <f t="shared" si="1207"/>
        <v>0-3 months</v>
      </c>
      <c r="AU3945" s="22" t="s">
        <v>3745</v>
      </c>
    </row>
    <row r="3946" spans="1:47">
      <c r="A3946" s="33" t="str">
        <f t="shared" si="1198"/>
        <v>FY 24/25</v>
      </c>
      <c r="B3946" s="23">
        <v>2025</v>
      </c>
      <c r="C3946" s="23">
        <v>2</v>
      </c>
      <c r="D3946" s="202" t="str">
        <f t="shared" si="1183"/>
        <v>Q4</v>
      </c>
      <c r="E3946" s="33" t="str">
        <f t="shared" si="1197"/>
        <v>FY 24/25</v>
      </c>
      <c r="F3946" s="23">
        <v>2025</v>
      </c>
      <c r="G3946" s="23">
        <v>2</v>
      </c>
      <c r="H3946" s="29"/>
      <c r="I3946" s="204" t="str">
        <f t="shared" si="1199"/>
        <v>Q4</v>
      </c>
      <c r="J3946" s="188" t="s">
        <v>3708</v>
      </c>
      <c r="K3946" s="29" t="s">
        <v>3709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8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5"/>
        <v>1.13</v>
      </c>
      <c r="Z3946" s="196">
        <f t="shared" si="1184"/>
        <v>700000</v>
      </c>
      <c r="AA3946" s="22">
        <v>1.073</v>
      </c>
      <c r="AB3946" s="197">
        <f t="shared" si="1196"/>
        <v>664690.26548672561</v>
      </c>
      <c r="AC3946" s="198">
        <f t="shared" si="1200"/>
        <v>57362.769911504423</v>
      </c>
      <c r="AD3946" s="170">
        <v>8.6300000000000002E-2</v>
      </c>
      <c r="AE3946" s="199">
        <f t="shared" si="1201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4"/>
        <v>30691842.970796466</v>
      </c>
      <c r="AJ3946" s="200">
        <f t="shared" si="1195"/>
        <v>4088324.205777524</v>
      </c>
      <c r="AK3946" s="201">
        <f t="shared" si="1202"/>
        <v>0.1332055624573473</v>
      </c>
      <c r="AL3946" s="24"/>
      <c r="AM3946" s="24"/>
      <c r="AN3946" s="24"/>
      <c r="AO3946" s="24"/>
      <c r="AP3946" s="165" t="str">
        <f t="shared" si="1203"/>
        <v>20252</v>
      </c>
      <c r="AQ3946" s="203" t="str">
        <f t="shared" si="1204"/>
        <v>20252RMB</v>
      </c>
      <c r="AR3946" s="206" t="str">
        <f t="shared" si="1205"/>
        <v>YAMAHA_Mounter</v>
      </c>
      <c r="AS3946" s="22">
        <f t="shared" si="1206"/>
        <v>0</v>
      </c>
      <c r="AT3946" s="24" t="str">
        <f t="shared" si="1207"/>
        <v>0-3 months</v>
      </c>
      <c r="AU3946" s="22" t="s">
        <v>3240</v>
      </c>
    </row>
    <row r="3947" spans="1:47">
      <c r="A3947" s="33" t="str">
        <f t="shared" si="1198"/>
        <v>FY 24/25</v>
      </c>
      <c r="B3947" s="23">
        <v>2025</v>
      </c>
      <c r="C3947" s="23">
        <v>2</v>
      </c>
      <c r="D3947" s="202" t="str">
        <f t="shared" si="1183"/>
        <v>Q4</v>
      </c>
      <c r="E3947" s="33" t="str">
        <f t="shared" si="1197"/>
        <v>FY 24/25</v>
      </c>
      <c r="F3947" s="23">
        <v>2025</v>
      </c>
      <c r="G3947" s="23">
        <v>2</v>
      </c>
      <c r="H3947" s="29"/>
      <c r="I3947" s="204" t="str">
        <f t="shared" si="1199"/>
        <v>Q4</v>
      </c>
      <c r="J3947" s="188" t="s">
        <v>3708</v>
      </c>
      <c r="K3947" s="29" t="s">
        <v>3709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8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5"/>
        <v>1.13</v>
      </c>
      <c r="Z3947" s="196">
        <f t="shared" si="1184"/>
        <v>450000</v>
      </c>
      <c r="AA3947" s="22">
        <v>1.073</v>
      </c>
      <c r="AB3947" s="197">
        <f t="shared" si="1196"/>
        <v>427300.88495575223</v>
      </c>
      <c r="AC3947" s="198">
        <f t="shared" si="1200"/>
        <v>36876.066371681416</v>
      </c>
      <c r="AD3947" s="170">
        <v>8.6300000000000002E-2</v>
      </c>
      <c r="AE3947" s="199">
        <f t="shared" si="1201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ref="AI3947:AI3978" si="1209">IF(P3947="C66 SERVICE","",SUMIFS(AB:AB,F:F,F3947,G:G,G3947,E:E,E3947))</f>
        <v>30691842.970796466</v>
      </c>
      <c r="AJ3947" s="200">
        <f t="shared" ref="AJ3947:AJ3978" si="1210">IF(P3947="C66 SERVICE","",SUMIFS(AC:AC,F:F,F3947,G:G,G3947,E:E,E3947))</f>
        <v>4088324.205777524</v>
      </c>
      <c r="AK3947" s="201">
        <f t="shared" si="1202"/>
        <v>0.1332055624573473</v>
      </c>
      <c r="AL3947" s="24"/>
      <c r="AM3947" s="24"/>
      <c r="AN3947" s="24"/>
      <c r="AO3947" s="24"/>
      <c r="AP3947" s="165" t="str">
        <f t="shared" si="1203"/>
        <v>20252</v>
      </c>
      <c r="AQ3947" s="203" t="str">
        <f t="shared" si="1204"/>
        <v>20252RMB</v>
      </c>
      <c r="AR3947" s="206" t="str">
        <f t="shared" si="1205"/>
        <v>YAMAHA_Mounter</v>
      </c>
      <c r="AS3947" s="22">
        <f t="shared" si="1206"/>
        <v>0</v>
      </c>
      <c r="AT3947" s="24" t="str">
        <f t="shared" si="1207"/>
        <v>0-3 months</v>
      </c>
      <c r="AU3947" s="22" t="s">
        <v>3240</v>
      </c>
    </row>
    <row r="3948" spans="1:47">
      <c r="A3948" s="33" t="str">
        <f t="shared" si="1198"/>
        <v>FY 24/25</v>
      </c>
      <c r="B3948" s="23">
        <v>2025</v>
      </c>
      <c r="C3948" s="23">
        <v>2</v>
      </c>
      <c r="D3948" s="202" t="str">
        <f t="shared" si="1183"/>
        <v>Q4</v>
      </c>
      <c r="E3948" s="33" t="str">
        <f t="shared" si="1197"/>
        <v>FY 25/26</v>
      </c>
      <c r="F3948" s="23">
        <v>2025</v>
      </c>
      <c r="G3948" s="23">
        <v>5</v>
      </c>
      <c r="H3948" s="29"/>
      <c r="I3948" s="204" t="str">
        <f t="shared" si="1199"/>
        <v>Q1</v>
      </c>
      <c r="J3948" s="188" t="s">
        <v>3710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8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5"/>
        <v>1.13</v>
      </c>
      <c r="Z3948" s="196">
        <f t="shared" si="1184"/>
        <v>900000</v>
      </c>
      <c r="AA3948" s="22">
        <v>1.0669999999999999</v>
      </c>
      <c r="AB3948" s="197">
        <f t="shared" si="1196"/>
        <v>849823.00884955749</v>
      </c>
      <c r="AC3948" s="198">
        <f t="shared" si="1200"/>
        <v>101978.76106194689</v>
      </c>
      <c r="AD3948" s="169">
        <v>0.12</v>
      </c>
      <c r="AE3948" s="199">
        <f t="shared" si="1201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209"/>
        <v>14766529.81520354</v>
      </c>
      <c r="AJ3948" s="200">
        <f t="shared" si="1210"/>
        <v>1771983.5778244243</v>
      </c>
      <c r="AK3948" s="201">
        <f t="shared" si="1202"/>
        <v>0.11999999999999997</v>
      </c>
      <c r="AL3948" s="24"/>
      <c r="AM3948" s="24"/>
      <c r="AN3948" s="24"/>
      <c r="AO3948" s="24"/>
      <c r="AP3948" s="165" t="str">
        <f t="shared" si="1203"/>
        <v>20255</v>
      </c>
      <c r="AQ3948" s="203" t="str">
        <f t="shared" si="1204"/>
        <v>20255RMB</v>
      </c>
      <c r="AR3948" s="206" t="str">
        <f t="shared" si="1205"/>
        <v>YAMAHA_Mounter</v>
      </c>
      <c r="AS3948" s="22">
        <f t="shared" si="1206"/>
        <v>3</v>
      </c>
      <c r="AT3948" s="24" t="str">
        <f t="shared" si="1207"/>
        <v>0-3 months</v>
      </c>
      <c r="AU3948" s="22" t="s">
        <v>3751</v>
      </c>
    </row>
    <row r="3949" spans="1:47">
      <c r="A3949" s="33" t="str">
        <f t="shared" si="1198"/>
        <v>FY 24/25</v>
      </c>
      <c r="B3949" s="23">
        <v>2025</v>
      </c>
      <c r="C3949" s="23">
        <v>2</v>
      </c>
      <c r="D3949" s="202" t="str">
        <f t="shared" si="1183"/>
        <v>Q4</v>
      </c>
      <c r="E3949" s="33" t="str">
        <f t="shared" si="1197"/>
        <v>FY 25/26</v>
      </c>
      <c r="F3949" s="23">
        <v>2025</v>
      </c>
      <c r="G3949" s="23">
        <v>5</v>
      </c>
      <c r="H3949" s="29"/>
      <c r="I3949" s="204" t="str">
        <f t="shared" si="1199"/>
        <v>Q1</v>
      </c>
      <c r="J3949" s="188" t="s">
        <v>3710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8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5"/>
        <v>1.13</v>
      </c>
      <c r="Z3949" s="196">
        <f t="shared" si="1184"/>
        <v>900000</v>
      </c>
      <c r="AA3949" s="22">
        <v>1.0669999999999999</v>
      </c>
      <c r="AB3949" s="197">
        <f t="shared" si="1196"/>
        <v>849823.00884955749</v>
      </c>
      <c r="AC3949" s="198">
        <f t="shared" si="1200"/>
        <v>101978.76106194689</v>
      </c>
      <c r="AD3949" s="169">
        <v>0.12</v>
      </c>
      <c r="AE3949" s="199">
        <f t="shared" si="1201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209"/>
        <v>14766529.81520354</v>
      </c>
      <c r="AJ3949" s="200">
        <f t="shared" si="1210"/>
        <v>1771983.5778244243</v>
      </c>
      <c r="AK3949" s="201">
        <f t="shared" si="1202"/>
        <v>0.11999999999999997</v>
      </c>
      <c r="AL3949" s="24"/>
      <c r="AM3949" s="24"/>
      <c r="AN3949" s="24"/>
      <c r="AO3949" s="24"/>
      <c r="AP3949" s="165" t="str">
        <f t="shared" si="1203"/>
        <v>20255</v>
      </c>
      <c r="AQ3949" s="203" t="str">
        <f t="shared" si="1204"/>
        <v>20255RMB</v>
      </c>
      <c r="AR3949" s="206" t="str">
        <f t="shared" si="1205"/>
        <v>YAMAHA_Mounter</v>
      </c>
      <c r="AS3949" s="22">
        <f t="shared" si="1206"/>
        <v>3</v>
      </c>
      <c r="AT3949" s="24" t="str">
        <f t="shared" si="1207"/>
        <v>0-3 months</v>
      </c>
      <c r="AU3949" s="22" t="s">
        <v>3751</v>
      </c>
    </row>
    <row r="3950" spans="1:47">
      <c r="A3950" s="33" t="str">
        <f t="shared" si="1198"/>
        <v>FY 24/25</v>
      </c>
      <c r="B3950" s="23">
        <v>2025</v>
      </c>
      <c r="C3950" s="23">
        <v>2</v>
      </c>
      <c r="D3950" s="202" t="str">
        <f t="shared" si="1183"/>
        <v>Q4</v>
      </c>
      <c r="E3950" s="33" t="str">
        <f t="shared" si="1197"/>
        <v>FY 24/25</v>
      </c>
      <c r="F3950" s="23">
        <v>2025</v>
      </c>
      <c r="G3950" s="23">
        <v>3</v>
      </c>
      <c r="H3950" s="29"/>
      <c r="I3950" s="204" t="str">
        <f t="shared" si="1199"/>
        <v>Q4</v>
      </c>
      <c r="J3950" s="188" t="s">
        <v>3711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8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5"/>
        <v>1.13</v>
      </c>
      <c r="Z3950" s="196">
        <f t="shared" si="1184"/>
        <v>391100</v>
      </c>
      <c r="AA3950" s="22">
        <v>1.0669999999999999</v>
      </c>
      <c r="AB3950" s="197">
        <f t="shared" si="1196"/>
        <v>369295.30973451328</v>
      </c>
      <c r="AC3950" s="198">
        <f t="shared" si="1200"/>
        <v>44315.437168141594</v>
      </c>
      <c r="AD3950" s="169">
        <v>0.12</v>
      </c>
      <c r="AE3950" s="199">
        <f t="shared" si="1201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209"/>
        <v>17727707.415929206</v>
      </c>
      <c r="AJ3950" s="200">
        <f t="shared" si="1210"/>
        <v>2127324.8899115045</v>
      </c>
      <c r="AK3950" s="201">
        <f t="shared" si="1202"/>
        <v>0.11999999999999998</v>
      </c>
      <c r="AL3950" s="24"/>
      <c r="AM3950" s="24"/>
      <c r="AN3950" s="24"/>
      <c r="AO3950" s="24"/>
      <c r="AP3950" s="165" t="str">
        <f t="shared" si="1203"/>
        <v>20253</v>
      </c>
      <c r="AQ3950" s="203" t="str">
        <f t="shared" si="1204"/>
        <v>20253RMB</v>
      </c>
      <c r="AR3950" s="206" t="str">
        <f t="shared" si="1205"/>
        <v>YAMAHA_Mounter</v>
      </c>
      <c r="AS3950" s="22">
        <f t="shared" si="1206"/>
        <v>1</v>
      </c>
      <c r="AT3950" s="24" t="str">
        <f t="shared" si="1207"/>
        <v>0-3 months</v>
      </c>
      <c r="AU3950" s="22" t="s">
        <v>3751</v>
      </c>
    </row>
    <row r="3951" spans="1:47">
      <c r="A3951" s="33" t="str">
        <f t="shared" si="1198"/>
        <v>FY 24/25</v>
      </c>
      <c r="B3951" s="23">
        <v>2025</v>
      </c>
      <c r="C3951" s="23">
        <v>2</v>
      </c>
      <c r="D3951" s="202" t="str">
        <f t="shared" si="1183"/>
        <v>Q4</v>
      </c>
      <c r="E3951" s="33" t="str">
        <f t="shared" si="1197"/>
        <v>FY 24/25</v>
      </c>
      <c r="F3951" s="23">
        <v>2025</v>
      </c>
      <c r="G3951" s="23">
        <v>3</v>
      </c>
      <c r="H3951" s="29"/>
      <c r="I3951" s="204" t="str">
        <f t="shared" si="1199"/>
        <v>Q4</v>
      </c>
      <c r="J3951" s="188" t="s">
        <v>3711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8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5"/>
        <v>1.13</v>
      </c>
      <c r="Z3951" s="196">
        <f t="shared" si="1184"/>
        <v>391100</v>
      </c>
      <c r="AA3951" s="22">
        <v>1.0669999999999999</v>
      </c>
      <c r="AB3951" s="197">
        <f t="shared" si="1196"/>
        <v>369295.30973451328</v>
      </c>
      <c r="AC3951" s="198">
        <f t="shared" si="1200"/>
        <v>44315.437168141594</v>
      </c>
      <c r="AD3951" s="169">
        <v>0.12</v>
      </c>
      <c r="AE3951" s="199">
        <f t="shared" si="1201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209"/>
        <v>17727707.415929206</v>
      </c>
      <c r="AJ3951" s="200">
        <f t="shared" si="1210"/>
        <v>2127324.8899115045</v>
      </c>
      <c r="AK3951" s="201">
        <f t="shared" si="1202"/>
        <v>0.11999999999999998</v>
      </c>
      <c r="AL3951" s="24"/>
      <c r="AM3951" s="24"/>
      <c r="AN3951" s="24"/>
      <c r="AO3951" s="24"/>
      <c r="AP3951" s="165" t="str">
        <f t="shared" si="1203"/>
        <v>20253</v>
      </c>
      <c r="AQ3951" s="203" t="str">
        <f t="shared" si="1204"/>
        <v>20253RMB</v>
      </c>
      <c r="AR3951" s="206" t="str">
        <f t="shared" si="1205"/>
        <v>YAMAHA_Mounter</v>
      </c>
      <c r="AS3951" s="22">
        <f t="shared" si="1206"/>
        <v>1</v>
      </c>
      <c r="AT3951" s="24" t="str">
        <f t="shared" si="1207"/>
        <v>0-3 months</v>
      </c>
      <c r="AU3951" s="22" t="s">
        <v>3751</v>
      </c>
    </row>
    <row r="3952" spans="1:47">
      <c r="A3952" s="33" t="str">
        <f t="shared" si="1198"/>
        <v>FY 24/25</v>
      </c>
      <c r="B3952" s="23">
        <v>2025</v>
      </c>
      <c r="C3952" s="23">
        <v>2</v>
      </c>
      <c r="D3952" s="202" t="str">
        <f t="shared" si="1183"/>
        <v>Q4</v>
      </c>
      <c r="E3952" s="33" t="str">
        <f t="shared" si="1197"/>
        <v>FY 24/25</v>
      </c>
      <c r="F3952" s="23">
        <v>2025</v>
      </c>
      <c r="G3952" s="23">
        <v>3</v>
      </c>
      <c r="H3952" s="29"/>
      <c r="I3952" s="204" t="str">
        <f t="shared" si="1199"/>
        <v>Q4</v>
      </c>
      <c r="J3952" s="188" t="s">
        <v>3757</v>
      </c>
      <c r="K3952" s="29" t="s">
        <v>3758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8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5"/>
        <v>1.13</v>
      </c>
      <c r="Z3952" s="196">
        <f t="shared" si="1184"/>
        <v>370000</v>
      </c>
      <c r="AA3952" s="22">
        <v>1.0669999999999999</v>
      </c>
      <c r="AB3952" s="197">
        <f t="shared" si="1196"/>
        <v>349371.68141592923</v>
      </c>
      <c r="AC3952" s="198">
        <f t="shared" si="1200"/>
        <v>41924.601769911504</v>
      </c>
      <c r="AD3952" s="169">
        <v>0.12</v>
      </c>
      <c r="AE3952" s="199">
        <f t="shared" si="1201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209"/>
        <v>17727707.415929206</v>
      </c>
      <c r="AJ3952" s="200">
        <f t="shared" si="1210"/>
        <v>2127324.8899115045</v>
      </c>
      <c r="AK3952" s="201">
        <f t="shared" si="1202"/>
        <v>0.11999999999999998</v>
      </c>
      <c r="AL3952" s="24"/>
      <c r="AM3952" s="24"/>
      <c r="AN3952" s="24"/>
      <c r="AO3952" s="24"/>
      <c r="AP3952" s="165" t="str">
        <f t="shared" si="1203"/>
        <v>20253</v>
      </c>
      <c r="AQ3952" s="203" t="str">
        <f t="shared" si="1204"/>
        <v>20253RMB</v>
      </c>
      <c r="AR3952" s="206" t="str">
        <f t="shared" si="1205"/>
        <v>YAMAHA_Mounter</v>
      </c>
      <c r="AS3952" s="22">
        <f t="shared" si="1206"/>
        <v>1</v>
      </c>
      <c r="AT3952" s="24" t="str">
        <f t="shared" si="1207"/>
        <v>0-3 months</v>
      </c>
      <c r="AU3952" s="22" t="s">
        <v>3751</v>
      </c>
    </row>
    <row r="3953" spans="1:47">
      <c r="A3953" s="33" t="str">
        <f t="shared" si="1198"/>
        <v>FY 24/25</v>
      </c>
      <c r="B3953" s="23">
        <v>2025</v>
      </c>
      <c r="C3953" s="23">
        <v>2</v>
      </c>
      <c r="D3953" s="202" t="str">
        <f t="shared" si="1183"/>
        <v>Q4</v>
      </c>
      <c r="E3953" s="33" t="str">
        <f t="shared" si="1197"/>
        <v>FY 24/25</v>
      </c>
      <c r="F3953" s="23">
        <v>2025</v>
      </c>
      <c r="G3953" s="23">
        <v>3</v>
      </c>
      <c r="H3953" s="29"/>
      <c r="I3953" s="204" t="str">
        <f t="shared" si="1199"/>
        <v>Q4</v>
      </c>
      <c r="J3953" s="188" t="s">
        <v>3757</v>
      </c>
      <c r="K3953" s="29" t="s">
        <v>3758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8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5"/>
        <v>1.13</v>
      </c>
      <c r="Z3953" s="196">
        <f t="shared" si="1184"/>
        <v>370000</v>
      </c>
      <c r="AA3953" s="22">
        <v>1.0669999999999999</v>
      </c>
      <c r="AB3953" s="197">
        <f t="shared" si="1196"/>
        <v>349371.68141592923</v>
      </c>
      <c r="AC3953" s="198">
        <f t="shared" si="1200"/>
        <v>41924.601769911504</v>
      </c>
      <c r="AD3953" s="169">
        <v>0.12</v>
      </c>
      <c r="AE3953" s="199">
        <f t="shared" si="1201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209"/>
        <v>17727707.415929206</v>
      </c>
      <c r="AJ3953" s="200">
        <f t="shared" si="1210"/>
        <v>2127324.8899115045</v>
      </c>
      <c r="AK3953" s="201">
        <f t="shared" si="1202"/>
        <v>0.11999999999999998</v>
      </c>
      <c r="AL3953" s="24"/>
      <c r="AM3953" s="24"/>
      <c r="AN3953" s="24"/>
      <c r="AO3953" s="24"/>
      <c r="AP3953" s="165" t="str">
        <f t="shared" si="1203"/>
        <v>20253</v>
      </c>
      <c r="AQ3953" s="203" t="str">
        <f t="shared" si="1204"/>
        <v>20253RMB</v>
      </c>
      <c r="AR3953" s="206" t="str">
        <f t="shared" si="1205"/>
        <v>YAMAHA_Mounter</v>
      </c>
      <c r="AS3953" s="22">
        <f t="shared" si="1206"/>
        <v>1</v>
      </c>
      <c r="AT3953" s="24" t="str">
        <f t="shared" si="1207"/>
        <v>0-3 months</v>
      </c>
      <c r="AU3953" s="22" t="s">
        <v>3751</v>
      </c>
    </row>
    <row r="3954" spans="1:47">
      <c r="A3954" s="33" t="str">
        <f t="shared" si="1198"/>
        <v>FY 24/25</v>
      </c>
      <c r="B3954" s="23">
        <v>2025</v>
      </c>
      <c r="C3954" s="23">
        <v>2</v>
      </c>
      <c r="D3954" s="202" t="str">
        <f t="shared" ref="D3954:D4001" si="1211">IF(B3954="","",IF(AND(C3954&gt;=10,C3954&lt;=12),"Q3",IF(AND(C3954&gt;=1,C3954&lt;=3),"Q4",IF(AND(C3954&gt;=7,C3954&lt;=9),"Q2",IF(AND(C3954&gt;=4,C3954&lt;=6),"Q1")))))</f>
        <v>Q4</v>
      </c>
      <c r="E3954" s="33" t="str">
        <f t="shared" si="1197"/>
        <v>FY 25/26</v>
      </c>
      <c r="F3954" s="23">
        <v>2025</v>
      </c>
      <c r="G3954" s="23">
        <v>4</v>
      </c>
      <c r="H3954" s="29"/>
      <c r="I3954" s="204" t="str">
        <f t="shared" si="1199"/>
        <v>Q1</v>
      </c>
      <c r="J3954" s="188" t="s">
        <v>3713</v>
      </c>
      <c r="K3954" s="29" t="s">
        <v>3714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8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5"/>
        <v>1</v>
      </c>
      <c r="Z3954" s="196">
        <f t="shared" ref="Z3954:Z3994" si="1212">IF(X3954="","",X3954*MAX(O3954,N3954))</f>
        <v>8180000</v>
      </c>
      <c r="AA3954" s="22">
        <v>5.2999999999999999E-2</v>
      </c>
      <c r="AB3954" s="197">
        <f t="shared" si="1196"/>
        <v>433540</v>
      </c>
      <c r="AC3954" s="198">
        <f t="shared" si="1200"/>
        <v>52024.799999999996</v>
      </c>
      <c r="AD3954" s="169">
        <v>0.12</v>
      </c>
      <c r="AE3954" s="199">
        <f t="shared" si="1201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209"/>
        <v>29497483.159292053</v>
      </c>
      <c r="AJ3954" s="200">
        <f t="shared" si="1210"/>
        <v>3539697.9791150414</v>
      </c>
      <c r="AK3954" s="201">
        <f t="shared" si="1202"/>
        <v>0.11999999999999983</v>
      </c>
      <c r="AL3954" s="24"/>
      <c r="AM3954" s="24"/>
      <c r="AN3954" s="24"/>
      <c r="AO3954" s="24"/>
      <c r="AP3954" s="165" t="str">
        <f t="shared" si="1203"/>
        <v>20254</v>
      </c>
      <c r="AQ3954" s="203" t="str">
        <f t="shared" si="1204"/>
        <v>20254JPY</v>
      </c>
      <c r="AR3954" s="206" t="str">
        <f t="shared" si="1205"/>
        <v>YAMAHA_Mounter</v>
      </c>
      <c r="AS3954" s="22">
        <f t="shared" si="1206"/>
        <v>2</v>
      </c>
      <c r="AT3954" s="24" t="str">
        <f t="shared" si="1207"/>
        <v>0-3 months</v>
      </c>
      <c r="AU3954" s="22" t="s">
        <v>3745</v>
      </c>
    </row>
    <row r="3955" spans="1:47">
      <c r="A3955" s="33" t="str">
        <f t="shared" si="1198"/>
        <v>FY 24/25</v>
      </c>
      <c r="B3955" s="23">
        <v>2025</v>
      </c>
      <c r="C3955" s="23">
        <v>2</v>
      </c>
      <c r="D3955" s="202" t="str">
        <f t="shared" si="1211"/>
        <v>Q4</v>
      </c>
      <c r="E3955" s="33" t="str">
        <f t="shared" si="1197"/>
        <v>FY 24/25</v>
      </c>
      <c r="F3955" s="23">
        <v>2025</v>
      </c>
      <c r="G3955" s="23">
        <v>3</v>
      </c>
      <c r="H3955" s="29"/>
      <c r="I3955" s="204" t="str">
        <f t="shared" si="1199"/>
        <v>Q4</v>
      </c>
      <c r="J3955" s="188" t="s">
        <v>3712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8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5"/>
        <v>1.13</v>
      </c>
      <c r="Z3955" s="196">
        <f t="shared" si="1212"/>
        <v>453250</v>
      </c>
      <c r="AA3955" s="22">
        <v>1.0669999999999999</v>
      </c>
      <c r="AB3955" s="197">
        <f t="shared" si="1196"/>
        <v>427980.30973451328</v>
      </c>
      <c r="AC3955" s="198">
        <f t="shared" si="1200"/>
        <v>51357.637168141591</v>
      </c>
      <c r="AD3955" s="169">
        <v>0.12</v>
      </c>
      <c r="AE3955" s="199">
        <f t="shared" si="1201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209"/>
        <v>17727707.415929206</v>
      </c>
      <c r="AJ3955" s="200">
        <f t="shared" si="1210"/>
        <v>2127324.8899115045</v>
      </c>
      <c r="AK3955" s="201">
        <f t="shared" si="1202"/>
        <v>0.11999999999999998</v>
      </c>
      <c r="AL3955" s="24"/>
      <c r="AM3955" s="24"/>
      <c r="AN3955" s="24"/>
      <c r="AO3955" s="24"/>
      <c r="AP3955" s="165" t="str">
        <f t="shared" si="1203"/>
        <v>20253</v>
      </c>
      <c r="AQ3955" s="203" t="str">
        <f t="shared" si="1204"/>
        <v>20253RMB</v>
      </c>
      <c r="AR3955" s="206" t="str">
        <f t="shared" si="1205"/>
        <v>YAMAHA_Mounter</v>
      </c>
      <c r="AS3955" s="22">
        <f t="shared" si="1206"/>
        <v>1</v>
      </c>
      <c r="AT3955" s="24" t="str">
        <f t="shared" si="1207"/>
        <v>0-3 months</v>
      </c>
      <c r="AU3955" s="22" t="s">
        <v>3751</v>
      </c>
    </row>
    <row r="3956" spans="1:47">
      <c r="A3956" s="33" t="str">
        <f t="shared" si="1198"/>
        <v>FY 24/25</v>
      </c>
      <c r="B3956" s="23">
        <v>2025</v>
      </c>
      <c r="C3956" s="23">
        <v>2</v>
      </c>
      <c r="D3956" s="202" t="str">
        <f t="shared" si="1211"/>
        <v>Q4</v>
      </c>
      <c r="E3956" s="33" t="str">
        <f t="shared" si="1197"/>
        <v>FY 24/25</v>
      </c>
      <c r="F3956" s="23">
        <v>2025</v>
      </c>
      <c r="G3956" s="23">
        <v>3</v>
      </c>
      <c r="H3956" s="29"/>
      <c r="I3956" s="204" t="str">
        <f t="shared" si="1199"/>
        <v>Q4</v>
      </c>
      <c r="J3956" s="188" t="s">
        <v>3712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8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3">IF(W3956="","",IF(W3956="RMB","1.13", "1"))</f>
        <v>1.13</v>
      </c>
      <c r="Z3956" s="196">
        <f t="shared" si="1212"/>
        <v>453250</v>
      </c>
      <c r="AA3956" s="22">
        <v>1.0669999999999999</v>
      </c>
      <c r="AB3956" s="197">
        <f t="shared" si="1196"/>
        <v>427980.30973451328</v>
      </c>
      <c r="AC3956" s="198">
        <f t="shared" si="1200"/>
        <v>51357.637168141591</v>
      </c>
      <c r="AD3956" s="169">
        <v>0.12</v>
      </c>
      <c r="AE3956" s="199">
        <f t="shared" si="1201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209"/>
        <v>17727707.415929206</v>
      </c>
      <c r="AJ3956" s="200">
        <f t="shared" si="1210"/>
        <v>2127324.8899115045</v>
      </c>
      <c r="AK3956" s="201">
        <f t="shared" si="1202"/>
        <v>0.11999999999999998</v>
      </c>
      <c r="AL3956" s="24"/>
      <c r="AM3956" s="24"/>
      <c r="AN3956" s="24"/>
      <c r="AO3956" s="24"/>
      <c r="AP3956" s="165" t="str">
        <f t="shared" si="1203"/>
        <v>20253</v>
      </c>
      <c r="AQ3956" s="203" t="str">
        <f t="shared" si="1204"/>
        <v>20253RMB</v>
      </c>
      <c r="AR3956" s="206" t="str">
        <f t="shared" si="1205"/>
        <v>YAMAHA_Mounter</v>
      </c>
      <c r="AS3956" s="22">
        <f t="shared" si="1206"/>
        <v>1</v>
      </c>
      <c r="AT3956" s="24" t="str">
        <f t="shared" si="1207"/>
        <v>0-3 months</v>
      </c>
      <c r="AU3956" s="22" t="s">
        <v>3751</v>
      </c>
    </row>
    <row r="3957" spans="1:47">
      <c r="A3957" s="33" t="str">
        <f t="shared" si="1198"/>
        <v>FY 24/25</v>
      </c>
      <c r="B3957" s="23">
        <v>2025</v>
      </c>
      <c r="C3957" s="23">
        <v>2</v>
      </c>
      <c r="D3957" s="202" t="str">
        <f t="shared" si="1211"/>
        <v>Q4</v>
      </c>
      <c r="E3957" s="33" t="str">
        <f t="shared" si="1197"/>
        <v>FY 24/25</v>
      </c>
      <c r="F3957" s="23">
        <v>2025</v>
      </c>
      <c r="G3957" s="23">
        <v>3</v>
      </c>
      <c r="H3957" s="29"/>
      <c r="I3957" s="204" t="str">
        <f t="shared" si="1199"/>
        <v>Q4</v>
      </c>
      <c r="J3957" s="188" t="s">
        <v>3715</v>
      </c>
      <c r="K3957" s="164" t="s">
        <v>3718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8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3"/>
        <v>1.13</v>
      </c>
      <c r="Z3957" s="196">
        <f t="shared" si="1212"/>
        <v>650000</v>
      </c>
      <c r="AA3957" s="22">
        <v>1.0669999999999999</v>
      </c>
      <c r="AB3957" s="197">
        <f t="shared" si="1196"/>
        <v>613761.06194690266</v>
      </c>
      <c r="AC3957" s="198">
        <f t="shared" si="1200"/>
        <v>73651.327433628321</v>
      </c>
      <c r="AD3957" s="169">
        <v>0.12</v>
      </c>
      <c r="AE3957" s="199">
        <f t="shared" si="1201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209"/>
        <v>17727707.415929206</v>
      </c>
      <c r="AJ3957" s="200">
        <f t="shared" si="1210"/>
        <v>2127324.8899115045</v>
      </c>
      <c r="AK3957" s="201">
        <f t="shared" si="1202"/>
        <v>0.11999999999999998</v>
      </c>
      <c r="AL3957" s="24"/>
      <c r="AM3957" s="24"/>
      <c r="AN3957" s="24"/>
      <c r="AO3957" s="24"/>
      <c r="AP3957" s="165" t="str">
        <f t="shared" si="1203"/>
        <v>20253</v>
      </c>
      <c r="AQ3957" s="203" t="str">
        <f t="shared" si="1204"/>
        <v>20253RMB</v>
      </c>
      <c r="AR3957" s="206" t="str">
        <f t="shared" si="1205"/>
        <v>YAMAHA_Mounter</v>
      </c>
      <c r="AS3957" s="22">
        <f t="shared" si="1206"/>
        <v>1</v>
      </c>
      <c r="AT3957" s="24" t="str">
        <f t="shared" si="1207"/>
        <v>0-3 months</v>
      </c>
      <c r="AU3957" s="22" t="s">
        <v>3240</v>
      </c>
    </row>
    <row r="3958" spans="1:47">
      <c r="A3958" s="33" t="str">
        <f t="shared" si="1198"/>
        <v>FY 24/25</v>
      </c>
      <c r="B3958" s="23">
        <v>2025</v>
      </c>
      <c r="C3958" s="23">
        <v>2</v>
      </c>
      <c r="D3958" s="202" t="str">
        <f t="shared" si="1211"/>
        <v>Q4</v>
      </c>
      <c r="E3958" s="33" t="str">
        <f t="shared" si="1197"/>
        <v>FY 24/25</v>
      </c>
      <c r="F3958" s="23">
        <v>2025</v>
      </c>
      <c r="G3958" s="23">
        <v>3</v>
      </c>
      <c r="H3958" s="29"/>
      <c r="I3958" s="204" t="str">
        <f t="shared" si="1199"/>
        <v>Q4</v>
      </c>
      <c r="J3958" s="188" t="s">
        <v>3715</v>
      </c>
      <c r="K3958" s="164" t="s">
        <v>3718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8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3"/>
        <v>1.13</v>
      </c>
      <c r="Z3958" s="196">
        <f t="shared" si="1212"/>
        <v>389000</v>
      </c>
      <c r="AA3958" s="22">
        <v>1.0669999999999999</v>
      </c>
      <c r="AB3958" s="197">
        <f t="shared" si="1196"/>
        <v>367312.38938053098</v>
      </c>
      <c r="AC3958" s="198">
        <f t="shared" si="1200"/>
        <v>44077.486725663715</v>
      </c>
      <c r="AD3958" s="169">
        <v>0.12</v>
      </c>
      <c r="AE3958" s="199">
        <f t="shared" si="1201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209"/>
        <v>17727707.415929206</v>
      </c>
      <c r="AJ3958" s="200">
        <f t="shared" si="1210"/>
        <v>2127324.8899115045</v>
      </c>
      <c r="AK3958" s="201">
        <f t="shared" si="1202"/>
        <v>0.11999999999999998</v>
      </c>
      <c r="AL3958" s="24"/>
      <c r="AM3958" s="24"/>
      <c r="AN3958" s="24"/>
      <c r="AO3958" s="24"/>
      <c r="AP3958" s="165" t="str">
        <f t="shared" si="1203"/>
        <v>20253</v>
      </c>
      <c r="AQ3958" s="203" t="str">
        <f t="shared" si="1204"/>
        <v>20253RMB</v>
      </c>
      <c r="AR3958" s="206" t="str">
        <f t="shared" si="1205"/>
        <v>YAMAHA_Mounter</v>
      </c>
      <c r="AS3958" s="22">
        <f t="shared" si="1206"/>
        <v>1</v>
      </c>
      <c r="AT3958" s="24" t="str">
        <f t="shared" si="1207"/>
        <v>0-3 months</v>
      </c>
      <c r="AU3958" s="22" t="s">
        <v>3240</v>
      </c>
    </row>
    <row r="3959" spans="1:47" ht="26.4">
      <c r="A3959" s="33" t="str">
        <f t="shared" si="1198"/>
        <v>FY 24/25</v>
      </c>
      <c r="B3959" s="23">
        <v>2025</v>
      </c>
      <c r="C3959" s="23">
        <v>2</v>
      </c>
      <c r="D3959" s="202" t="str">
        <f t="shared" si="1211"/>
        <v>Q4</v>
      </c>
      <c r="E3959" s="33" t="str">
        <f t="shared" si="1197"/>
        <v>FY 24/25</v>
      </c>
      <c r="F3959" s="23">
        <v>2025</v>
      </c>
      <c r="G3959" s="23">
        <v>3</v>
      </c>
      <c r="H3959" s="29"/>
      <c r="I3959" s="204" t="str">
        <f t="shared" si="1199"/>
        <v>Q4</v>
      </c>
      <c r="J3959" s="188" t="s">
        <v>3715</v>
      </c>
      <c r="K3959" s="164" t="s">
        <v>3718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8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3"/>
        <v>1.13</v>
      </c>
      <c r="Z3959" s="196">
        <f t="shared" si="1212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0"/>
        <v>18242.867256637168</v>
      </c>
      <c r="AD3959" s="169">
        <v>0.12</v>
      </c>
      <c r="AE3959" s="199">
        <f t="shared" si="1201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209"/>
        <v>17727707.415929206</v>
      </c>
      <c r="AJ3959" s="200">
        <f t="shared" si="1210"/>
        <v>2127324.8899115045</v>
      </c>
      <c r="AK3959" s="201">
        <f t="shared" si="1202"/>
        <v>0.11999999999999998</v>
      </c>
      <c r="AL3959" s="24"/>
      <c r="AM3959" s="24"/>
      <c r="AN3959" s="24"/>
      <c r="AO3959" s="24"/>
      <c r="AP3959" s="165" t="str">
        <f t="shared" si="1203"/>
        <v>20253</v>
      </c>
      <c r="AQ3959" s="203" t="str">
        <f t="shared" si="1204"/>
        <v>20253RMB</v>
      </c>
      <c r="AR3959" s="206" t="str">
        <f t="shared" si="1205"/>
        <v>YAMAHA_Mounter</v>
      </c>
      <c r="AS3959" s="22">
        <f t="shared" si="1206"/>
        <v>1</v>
      </c>
      <c r="AT3959" s="24" t="str">
        <f t="shared" si="1207"/>
        <v>0-3 months</v>
      </c>
      <c r="AU3959" s="22" t="s">
        <v>3240</v>
      </c>
    </row>
    <row r="3960" spans="1:47">
      <c r="A3960" s="33" t="str">
        <f t="shared" si="1198"/>
        <v>FY 24/25</v>
      </c>
      <c r="B3960" s="23">
        <v>2025</v>
      </c>
      <c r="C3960" s="23">
        <v>2</v>
      </c>
      <c r="D3960" s="202" t="str">
        <f t="shared" si="1211"/>
        <v>Q4</v>
      </c>
      <c r="E3960" s="33" t="str">
        <f t="shared" si="1197"/>
        <v>FY 25/26</v>
      </c>
      <c r="F3960" s="23">
        <v>2025</v>
      </c>
      <c r="G3960" s="23">
        <v>5</v>
      </c>
      <c r="H3960" s="29"/>
      <c r="I3960" s="204" t="str">
        <f t="shared" si="1199"/>
        <v>Q1</v>
      </c>
      <c r="J3960" s="188" t="s">
        <v>3716</v>
      </c>
      <c r="K3960" s="164" t="s">
        <v>3719</v>
      </c>
      <c r="L3960" s="24" t="s">
        <v>3717</v>
      </c>
      <c r="M3960" s="13" t="s">
        <v>60</v>
      </c>
      <c r="N3960" s="22">
        <v>1</v>
      </c>
      <c r="O3960" s="22"/>
      <c r="P3960" s="202" t="str">
        <f t="shared" si="1208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3"/>
        <v>1.13</v>
      </c>
      <c r="Z3960" s="196">
        <f t="shared" si="1212"/>
        <v>750000</v>
      </c>
      <c r="AA3960" s="22">
        <v>1.0669999999999999</v>
      </c>
      <c r="AB3960" s="197">
        <f t="shared" si="1196"/>
        <v>708185.84070796473</v>
      </c>
      <c r="AC3960" s="198">
        <f t="shared" si="1200"/>
        <v>84982.300884955766</v>
      </c>
      <c r="AD3960" s="169">
        <v>0.12</v>
      </c>
      <c r="AE3960" s="199">
        <f t="shared" si="1201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209"/>
        <v>14766529.81520354</v>
      </c>
      <c r="AJ3960" s="200">
        <f t="shared" si="1210"/>
        <v>1771983.5778244243</v>
      </c>
      <c r="AK3960" s="201">
        <f t="shared" si="1202"/>
        <v>0.11999999999999997</v>
      </c>
      <c r="AL3960" s="24"/>
      <c r="AM3960" s="24"/>
      <c r="AN3960" s="24"/>
      <c r="AO3960" s="24"/>
      <c r="AP3960" s="165" t="str">
        <f t="shared" si="1203"/>
        <v>20255</v>
      </c>
      <c r="AQ3960" s="203" t="str">
        <f t="shared" si="1204"/>
        <v>20255RMB</v>
      </c>
      <c r="AR3960" s="206" t="str">
        <f t="shared" si="1205"/>
        <v>YAMAHA_Mounter</v>
      </c>
      <c r="AS3960" s="22">
        <f t="shared" si="1206"/>
        <v>3</v>
      </c>
      <c r="AT3960" s="24" t="str">
        <f t="shared" si="1207"/>
        <v>0-3 months</v>
      </c>
      <c r="AU3960" s="22" t="s">
        <v>3240</v>
      </c>
    </row>
    <row r="3961" spans="1:47">
      <c r="A3961" s="33" t="str">
        <f t="shared" si="1198"/>
        <v>FY 24/25</v>
      </c>
      <c r="B3961" s="23">
        <v>2025</v>
      </c>
      <c r="C3961" s="23">
        <v>2</v>
      </c>
      <c r="D3961" s="202" t="str">
        <f t="shared" si="1211"/>
        <v>Q4</v>
      </c>
      <c r="E3961" s="33" t="str">
        <f t="shared" si="1197"/>
        <v>FY 25/26</v>
      </c>
      <c r="F3961" s="23">
        <v>2025</v>
      </c>
      <c r="G3961" s="23">
        <v>5</v>
      </c>
      <c r="H3961" s="29"/>
      <c r="I3961" s="204" t="str">
        <f t="shared" si="1199"/>
        <v>Q1</v>
      </c>
      <c r="J3961" s="188" t="s">
        <v>3716</v>
      </c>
      <c r="K3961" s="164" t="s">
        <v>3719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8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3"/>
        <v>1.13</v>
      </c>
      <c r="Z3961" s="196">
        <f t="shared" si="1212"/>
        <v>420000</v>
      </c>
      <c r="AA3961" s="22">
        <v>1.0669999999999999</v>
      </c>
      <c r="AB3961" s="197">
        <f t="shared" si="1196"/>
        <v>396584.0707964602</v>
      </c>
      <c r="AC3961" s="198">
        <f t="shared" si="1200"/>
        <v>47590.088495575226</v>
      </c>
      <c r="AD3961" s="169">
        <v>0.12</v>
      </c>
      <c r="AE3961" s="199">
        <f t="shared" si="1201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209"/>
        <v>14766529.81520354</v>
      </c>
      <c r="AJ3961" s="200">
        <f t="shared" si="1210"/>
        <v>1771983.5778244243</v>
      </c>
      <c r="AK3961" s="201">
        <f t="shared" si="1202"/>
        <v>0.11999999999999997</v>
      </c>
      <c r="AL3961" s="24"/>
      <c r="AM3961" s="24"/>
      <c r="AN3961" s="24"/>
      <c r="AO3961" s="24"/>
      <c r="AP3961" s="165" t="str">
        <f t="shared" si="1203"/>
        <v>20255</v>
      </c>
      <c r="AQ3961" s="203" t="str">
        <f t="shared" si="1204"/>
        <v>20255RMB</v>
      </c>
      <c r="AR3961" s="206" t="str">
        <f t="shared" si="1205"/>
        <v>YAMAHA_Mounter</v>
      </c>
      <c r="AS3961" s="22">
        <f t="shared" si="1206"/>
        <v>3</v>
      </c>
      <c r="AT3961" s="24" t="str">
        <f t="shared" si="1207"/>
        <v>0-3 months</v>
      </c>
      <c r="AU3961" s="22" t="s">
        <v>3240</v>
      </c>
    </row>
    <row r="3962" spans="1:47">
      <c r="A3962" s="33" t="str">
        <f t="shared" si="1198"/>
        <v>FY 24/25</v>
      </c>
      <c r="B3962" s="23">
        <v>2025</v>
      </c>
      <c r="C3962" s="23">
        <v>2</v>
      </c>
      <c r="D3962" s="202" t="str">
        <f t="shared" si="1211"/>
        <v>Q4</v>
      </c>
      <c r="E3962" s="33" t="str">
        <f t="shared" si="1197"/>
        <v>FY 24/25</v>
      </c>
      <c r="F3962" s="23">
        <v>2025</v>
      </c>
      <c r="G3962" s="23">
        <v>3</v>
      </c>
      <c r="H3962" s="29"/>
      <c r="I3962" s="204" t="str">
        <f t="shared" si="1199"/>
        <v>Q4</v>
      </c>
      <c r="J3962" s="188" t="s">
        <v>3720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8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3"/>
        <v>1.13</v>
      </c>
      <c r="Z3962" s="196">
        <f t="shared" si="1212"/>
        <v>402500</v>
      </c>
      <c r="AA3962" s="22">
        <v>1.0669999999999999</v>
      </c>
      <c r="AB3962" s="197">
        <f t="shared" si="1196"/>
        <v>380059.73451327439</v>
      </c>
      <c r="AC3962" s="198">
        <f t="shared" si="1200"/>
        <v>45607.168141592927</v>
      </c>
      <c r="AD3962" s="169">
        <v>0.12</v>
      </c>
      <c r="AE3962" s="199">
        <f t="shared" si="1201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209"/>
        <v>17727707.415929206</v>
      </c>
      <c r="AJ3962" s="200">
        <f t="shared" si="1210"/>
        <v>2127324.8899115045</v>
      </c>
      <c r="AK3962" s="201">
        <f t="shared" si="1202"/>
        <v>0.11999999999999998</v>
      </c>
      <c r="AL3962" s="24"/>
      <c r="AM3962" s="24"/>
      <c r="AN3962" s="24"/>
      <c r="AO3962" s="24"/>
      <c r="AP3962" s="165" t="str">
        <f t="shared" si="1203"/>
        <v>20253</v>
      </c>
      <c r="AQ3962" s="203" t="str">
        <f t="shared" si="1204"/>
        <v>20253RMB</v>
      </c>
      <c r="AR3962" s="206" t="str">
        <f t="shared" si="1205"/>
        <v>YAMAHA_Mounter</v>
      </c>
      <c r="AS3962" s="22">
        <f t="shared" si="1206"/>
        <v>1</v>
      </c>
      <c r="AT3962" s="24" t="str">
        <f t="shared" si="1207"/>
        <v>0-3 months</v>
      </c>
      <c r="AU3962" s="22" t="s">
        <v>3751</v>
      </c>
    </row>
    <row r="3963" spans="1:47">
      <c r="A3963" s="33" t="str">
        <f t="shared" si="1198"/>
        <v>FY 24/25</v>
      </c>
      <c r="B3963" s="23">
        <v>2025</v>
      </c>
      <c r="C3963" s="23">
        <v>2</v>
      </c>
      <c r="D3963" s="202" t="str">
        <f t="shared" si="1211"/>
        <v>Q4</v>
      </c>
      <c r="E3963" s="33" t="str">
        <f t="shared" si="1197"/>
        <v>FY 24/25</v>
      </c>
      <c r="F3963" s="23">
        <v>2025</v>
      </c>
      <c r="G3963" s="23">
        <v>3</v>
      </c>
      <c r="H3963" s="29"/>
      <c r="I3963" s="204" t="str">
        <f t="shared" si="1199"/>
        <v>Q4</v>
      </c>
      <c r="J3963" s="188" t="s">
        <v>3720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8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3"/>
        <v>1.13</v>
      </c>
      <c r="Z3963" s="196">
        <f t="shared" si="1212"/>
        <v>402500</v>
      </c>
      <c r="AA3963" s="22">
        <v>1.0669999999999999</v>
      </c>
      <c r="AB3963" s="197">
        <f t="shared" si="1196"/>
        <v>380059.73451327439</v>
      </c>
      <c r="AC3963" s="198">
        <f t="shared" si="1200"/>
        <v>45607.168141592927</v>
      </c>
      <c r="AD3963" s="169">
        <v>0.12</v>
      </c>
      <c r="AE3963" s="199">
        <f t="shared" si="1201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209"/>
        <v>17727707.415929206</v>
      </c>
      <c r="AJ3963" s="200">
        <f t="shared" si="1210"/>
        <v>2127324.8899115045</v>
      </c>
      <c r="AK3963" s="201">
        <f t="shared" si="1202"/>
        <v>0.11999999999999998</v>
      </c>
      <c r="AL3963" s="24"/>
      <c r="AM3963" s="24"/>
      <c r="AN3963" s="24"/>
      <c r="AO3963" s="24"/>
      <c r="AP3963" s="165" t="str">
        <f t="shared" si="1203"/>
        <v>20253</v>
      </c>
      <c r="AQ3963" s="203" t="str">
        <f t="shared" si="1204"/>
        <v>20253RMB</v>
      </c>
      <c r="AR3963" s="206" t="str">
        <f t="shared" si="1205"/>
        <v>YAMAHA_Mounter</v>
      </c>
      <c r="AS3963" s="22">
        <f t="shared" si="1206"/>
        <v>1</v>
      </c>
      <c r="AT3963" s="24" t="str">
        <f t="shared" si="1207"/>
        <v>0-3 months</v>
      </c>
      <c r="AU3963" s="22" t="s">
        <v>3751</v>
      </c>
    </row>
    <row r="3964" spans="1:47">
      <c r="A3964" s="33" t="str">
        <f t="shared" si="1198"/>
        <v>FY 24/25</v>
      </c>
      <c r="B3964" s="23">
        <v>2025</v>
      </c>
      <c r="C3964" s="23">
        <v>2</v>
      </c>
      <c r="D3964" s="202" t="str">
        <f t="shared" si="1211"/>
        <v>Q4</v>
      </c>
      <c r="E3964" s="33" t="str">
        <f t="shared" si="1197"/>
        <v>FY 24/25</v>
      </c>
      <c r="F3964" s="23">
        <v>2025</v>
      </c>
      <c r="G3964" s="23">
        <v>3</v>
      </c>
      <c r="H3964" s="29"/>
      <c r="I3964" s="204" t="str">
        <f t="shared" si="1199"/>
        <v>Q4</v>
      </c>
      <c r="J3964" s="186" t="s">
        <v>3721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8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3"/>
        <v>1.13</v>
      </c>
      <c r="Z3964" s="196">
        <f t="shared" si="1212"/>
        <v>375000</v>
      </c>
      <c r="AA3964" s="22">
        <v>1.0669999999999999</v>
      </c>
      <c r="AB3964" s="197">
        <f t="shared" si="1196"/>
        <v>354092.92035398236</v>
      </c>
      <c r="AC3964" s="198">
        <f t="shared" si="1200"/>
        <v>42491.150442477883</v>
      </c>
      <c r="AD3964" s="169">
        <v>0.12</v>
      </c>
      <c r="AE3964" s="199">
        <f t="shared" si="1201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209"/>
        <v>17727707.415929206</v>
      </c>
      <c r="AJ3964" s="200">
        <f t="shared" si="1210"/>
        <v>2127324.8899115045</v>
      </c>
      <c r="AK3964" s="201">
        <f t="shared" si="1202"/>
        <v>0.11999999999999998</v>
      </c>
      <c r="AL3964" s="24"/>
      <c r="AM3964" s="24"/>
      <c r="AN3964" s="24"/>
      <c r="AO3964" s="24"/>
      <c r="AP3964" s="165" t="str">
        <f t="shared" si="1203"/>
        <v>20253</v>
      </c>
      <c r="AQ3964" s="203" t="str">
        <f t="shared" si="1204"/>
        <v>20253RMB</v>
      </c>
      <c r="AR3964" s="206" t="str">
        <f t="shared" si="1205"/>
        <v>YAMAHA_Mounter</v>
      </c>
      <c r="AS3964" s="22">
        <f t="shared" si="1206"/>
        <v>1</v>
      </c>
      <c r="AT3964" s="24" t="str">
        <f t="shared" si="1207"/>
        <v>0-3 months</v>
      </c>
      <c r="AU3964" s="22" t="s">
        <v>3240</v>
      </c>
    </row>
    <row r="3965" spans="1:47">
      <c r="A3965" s="33" t="str">
        <f t="shared" si="1198"/>
        <v>FY 24/25</v>
      </c>
      <c r="B3965" s="23">
        <v>2025</v>
      </c>
      <c r="C3965" s="23">
        <v>2</v>
      </c>
      <c r="D3965" s="202" t="str">
        <f t="shared" si="1211"/>
        <v>Q4</v>
      </c>
      <c r="E3965" s="33" t="str">
        <f t="shared" si="1197"/>
        <v>FY 24/25</v>
      </c>
      <c r="F3965" s="23">
        <v>2025</v>
      </c>
      <c r="G3965" s="23">
        <v>3</v>
      </c>
      <c r="H3965" s="29"/>
      <c r="I3965" s="204" t="str">
        <f t="shared" si="1199"/>
        <v>Q4</v>
      </c>
      <c r="J3965" s="188" t="s">
        <v>3722</v>
      </c>
      <c r="K3965" s="29" t="s">
        <v>3700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8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3"/>
        <v>1.13</v>
      </c>
      <c r="Z3965" s="196">
        <f t="shared" si="1212"/>
        <v>480000</v>
      </c>
      <c r="AA3965" s="22">
        <v>1.0669999999999999</v>
      </c>
      <c r="AB3965" s="197">
        <f t="shared" si="1196"/>
        <v>453238.93805309734</v>
      </c>
      <c r="AC3965" s="198">
        <f t="shared" si="1200"/>
        <v>54388.672566371679</v>
      </c>
      <c r="AD3965" s="169">
        <v>0.12</v>
      </c>
      <c r="AE3965" s="199">
        <f t="shared" si="1201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209"/>
        <v>17727707.415929206</v>
      </c>
      <c r="AJ3965" s="200">
        <f t="shared" si="1210"/>
        <v>2127324.8899115045</v>
      </c>
      <c r="AK3965" s="201">
        <f t="shared" si="1202"/>
        <v>0.11999999999999998</v>
      </c>
      <c r="AL3965" s="24"/>
      <c r="AM3965" s="24"/>
      <c r="AN3965" s="24"/>
      <c r="AO3965" s="24"/>
      <c r="AP3965" s="165" t="str">
        <f t="shared" si="1203"/>
        <v>20253</v>
      </c>
      <c r="AQ3965" s="203" t="str">
        <f t="shared" si="1204"/>
        <v>20253RMB</v>
      </c>
      <c r="AR3965" s="206" t="str">
        <f t="shared" si="1205"/>
        <v>YAMAHA_Mounter</v>
      </c>
      <c r="AS3965" s="22">
        <f t="shared" si="1206"/>
        <v>1</v>
      </c>
      <c r="AT3965" s="24" t="str">
        <f t="shared" si="1207"/>
        <v>0-3 months</v>
      </c>
      <c r="AU3965" s="22" t="s">
        <v>3751</v>
      </c>
    </row>
    <row r="3966" spans="1:47">
      <c r="A3966" s="33" t="str">
        <f t="shared" si="1198"/>
        <v>FY 24/25</v>
      </c>
      <c r="B3966" s="23">
        <v>2025</v>
      </c>
      <c r="C3966" s="23">
        <v>2</v>
      </c>
      <c r="D3966" s="202" t="str">
        <f t="shared" si="1211"/>
        <v>Q4</v>
      </c>
      <c r="E3966" s="33" t="str">
        <f t="shared" si="1197"/>
        <v>FY 24/25</v>
      </c>
      <c r="F3966" s="23">
        <v>2025</v>
      </c>
      <c r="G3966" s="23">
        <v>3</v>
      </c>
      <c r="H3966" s="29"/>
      <c r="I3966" s="204" t="str">
        <f t="shared" si="1199"/>
        <v>Q4</v>
      </c>
      <c r="J3966" s="188" t="s">
        <v>3722</v>
      </c>
      <c r="K3966" s="29" t="s">
        <v>3700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8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3"/>
        <v>1.13</v>
      </c>
      <c r="Z3966" s="196">
        <f t="shared" si="1212"/>
        <v>480000</v>
      </c>
      <c r="AA3966" s="22">
        <v>1.0669999999999999</v>
      </c>
      <c r="AB3966" s="197">
        <f t="shared" si="1196"/>
        <v>453238.93805309734</v>
      </c>
      <c r="AC3966" s="198">
        <f t="shared" si="1200"/>
        <v>54388.672566371679</v>
      </c>
      <c r="AD3966" s="169">
        <v>0.12</v>
      </c>
      <c r="AE3966" s="199">
        <f t="shared" si="1201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209"/>
        <v>17727707.415929206</v>
      </c>
      <c r="AJ3966" s="200">
        <f t="shared" si="1210"/>
        <v>2127324.8899115045</v>
      </c>
      <c r="AK3966" s="201">
        <f t="shared" si="1202"/>
        <v>0.11999999999999998</v>
      </c>
      <c r="AL3966" s="24"/>
      <c r="AM3966" s="24"/>
      <c r="AN3966" s="24"/>
      <c r="AO3966" s="24"/>
      <c r="AP3966" s="165" t="str">
        <f t="shared" si="1203"/>
        <v>20253</v>
      </c>
      <c r="AQ3966" s="203" t="str">
        <f t="shared" si="1204"/>
        <v>20253RMB</v>
      </c>
      <c r="AR3966" s="206" t="str">
        <f t="shared" si="1205"/>
        <v>YAMAHA_Mounter</v>
      </c>
      <c r="AS3966" s="22">
        <f t="shared" si="1206"/>
        <v>1</v>
      </c>
      <c r="AT3966" s="24" t="str">
        <f t="shared" si="1207"/>
        <v>0-3 months</v>
      </c>
      <c r="AU3966" s="22" t="s">
        <v>3751</v>
      </c>
    </row>
    <row r="3967" spans="1:47">
      <c r="A3967" s="33" t="str">
        <f t="shared" si="1198"/>
        <v>FY 24/25</v>
      </c>
      <c r="B3967" s="23">
        <v>2025</v>
      </c>
      <c r="C3967" s="23">
        <v>3</v>
      </c>
      <c r="D3967" s="202" t="str">
        <f t="shared" si="1211"/>
        <v>Q4</v>
      </c>
      <c r="E3967" s="33" t="str">
        <f t="shared" si="1197"/>
        <v>FY 24/25</v>
      </c>
      <c r="F3967" s="23">
        <v>2025</v>
      </c>
      <c r="G3967" s="23">
        <v>3</v>
      </c>
      <c r="H3967" s="29"/>
      <c r="I3967" s="204" t="str">
        <f t="shared" si="1199"/>
        <v>Q4</v>
      </c>
      <c r="J3967" s="188" t="s">
        <v>3723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8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3"/>
        <v>1.13</v>
      </c>
      <c r="Z3967" s="196">
        <f t="shared" si="1212"/>
        <v>395000</v>
      </c>
      <c r="AA3967" s="22">
        <v>1.0669999999999999</v>
      </c>
      <c r="AB3967" s="197">
        <f t="shared" si="1196"/>
        <v>372977.87610619469</v>
      </c>
      <c r="AC3967" s="198">
        <f t="shared" si="1200"/>
        <v>44757.345132743358</v>
      </c>
      <c r="AD3967" s="169">
        <v>0.12</v>
      </c>
      <c r="AE3967" s="199">
        <f t="shared" si="1201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209"/>
        <v>17727707.415929206</v>
      </c>
      <c r="AJ3967" s="200">
        <f t="shared" si="1210"/>
        <v>2127324.8899115045</v>
      </c>
      <c r="AK3967" s="201">
        <f t="shared" si="1202"/>
        <v>0.11999999999999998</v>
      </c>
      <c r="AL3967" s="24"/>
      <c r="AM3967" s="24"/>
      <c r="AN3967" s="24"/>
      <c r="AO3967" s="24"/>
      <c r="AP3967" s="165" t="str">
        <f t="shared" si="1203"/>
        <v>20253</v>
      </c>
      <c r="AQ3967" s="203" t="str">
        <f t="shared" si="1204"/>
        <v>20253RMB</v>
      </c>
      <c r="AR3967" s="206" t="str">
        <f t="shared" si="1205"/>
        <v>YAMAHA_Mounter</v>
      </c>
      <c r="AS3967" s="22">
        <f t="shared" si="1206"/>
        <v>0</v>
      </c>
      <c r="AT3967" s="24" t="str">
        <f t="shared" si="1207"/>
        <v>0-3 months</v>
      </c>
      <c r="AU3967" s="22" t="s">
        <v>3751</v>
      </c>
    </row>
    <row r="3968" spans="1:47">
      <c r="A3968" s="33" t="str">
        <f t="shared" si="1198"/>
        <v>FY 24/25</v>
      </c>
      <c r="B3968" s="23">
        <v>2025</v>
      </c>
      <c r="C3968" s="23">
        <v>3</v>
      </c>
      <c r="D3968" s="202" t="str">
        <f t="shared" si="1211"/>
        <v>Q4</v>
      </c>
      <c r="E3968" s="33" t="str">
        <f t="shared" si="1197"/>
        <v>FY 24/25</v>
      </c>
      <c r="F3968" s="23">
        <v>2025</v>
      </c>
      <c r="G3968" s="23">
        <v>3</v>
      </c>
      <c r="H3968" s="29"/>
      <c r="I3968" s="204" t="str">
        <f t="shared" si="1199"/>
        <v>Q4</v>
      </c>
      <c r="J3968" s="188" t="s">
        <v>3723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8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3"/>
        <v>1.13</v>
      </c>
      <c r="Z3968" s="196">
        <f t="shared" si="1212"/>
        <v>155000</v>
      </c>
      <c r="AA3968" s="22">
        <v>1.0669999999999999</v>
      </c>
      <c r="AB3968" s="197">
        <f t="shared" si="1196"/>
        <v>146358.40707964604</v>
      </c>
      <c r="AC3968" s="198">
        <f t="shared" si="1200"/>
        <v>17563.008849557526</v>
      </c>
      <c r="AD3968" s="169">
        <v>0.12</v>
      </c>
      <c r="AE3968" s="199">
        <f t="shared" si="1201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209"/>
        <v>17727707.415929206</v>
      </c>
      <c r="AJ3968" s="200">
        <f t="shared" si="1210"/>
        <v>2127324.8899115045</v>
      </c>
      <c r="AK3968" s="201">
        <f t="shared" si="1202"/>
        <v>0.11999999999999998</v>
      </c>
      <c r="AL3968" s="24"/>
      <c r="AM3968" s="24"/>
      <c r="AN3968" s="24"/>
      <c r="AO3968" s="24"/>
      <c r="AP3968" s="165" t="str">
        <f t="shared" si="1203"/>
        <v>20253</v>
      </c>
      <c r="AQ3968" s="203" t="str">
        <f t="shared" si="1204"/>
        <v>20253RMB</v>
      </c>
      <c r="AR3968" s="206" t="str">
        <f t="shared" si="1205"/>
        <v>YAMAHA_Non_Mounter</v>
      </c>
      <c r="AS3968" s="22">
        <f t="shared" si="1206"/>
        <v>0</v>
      </c>
      <c r="AT3968" s="24" t="str">
        <f t="shared" si="1207"/>
        <v>0-3 months</v>
      </c>
      <c r="AU3968" s="22" t="s">
        <v>3751</v>
      </c>
    </row>
    <row r="3969" spans="1:47">
      <c r="A3969" s="33" t="str">
        <f t="shared" si="1198"/>
        <v>FY 24/25</v>
      </c>
      <c r="B3969" s="23">
        <v>2025</v>
      </c>
      <c r="C3969" s="23">
        <v>2</v>
      </c>
      <c r="D3969" s="202" t="str">
        <f t="shared" si="1211"/>
        <v>Q4</v>
      </c>
      <c r="E3969" s="33" t="str">
        <f t="shared" si="1197"/>
        <v>FY 24/25</v>
      </c>
      <c r="F3969" s="23">
        <v>2025</v>
      </c>
      <c r="G3969" s="23">
        <v>3</v>
      </c>
      <c r="H3969" s="29"/>
      <c r="I3969" s="204" t="str">
        <f t="shared" si="1199"/>
        <v>Q4</v>
      </c>
      <c r="J3969" s="188" t="s">
        <v>3725</v>
      </c>
      <c r="K3969" s="239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8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3"/>
        <v>1.13</v>
      </c>
      <c r="Z3969" s="196">
        <f t="shared" si="1212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0"/>
        <v>45663.823008849555</v>
      </c>
      <c r="AD3969" s="169">
        <v>0.12</v>
      </c>
      <c r="AE3969" s="199">
        <f t="shared" si="1201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209"/>
        <v>17727707.415929206</v>
      </c>
      <c r="AJ3969" s="200">
        <f t="shared" si="1210"/>
        <v>2127324.8899115045</v>
      </c>
      <c r="AK3969" s="201">
        <f t="shared" si="1202"/>
        <v>0.11999999999999998</v>
      </c>
      <c r="AL3969" s="24"/>
      <c r="AM3969" s="24"/>
      <c r="AN3969" s="24"/>
      <c r="AO3969" s="24"/>
      <c r="AP3969" s="165" t="str">
        <f t="shared" si="1203"/>
        <v>20253</v>
      </c>
      <c r="AQ3969" s="203" t="str">
        <f t="shared" si="1204"/>
        <v>20253RMB</v>
      </c>
      <c r="AR3969" s="206" t="str">
        <f t="shared" si="1205"/>
        <v>YAMAHA_Mounter</v>
      </c>
      <c r="AS3969" s="22">
        <f t="shared" si="1206"/>
        <v>1</v>
      </c>
      <c r="AT3969" s="24" t="str">
        <f t="shared" si="1207"/>
        <v>0-3 months</v>
      </c>
      <c r="AU3969" s="22" t="s">
        <v>3240</v>
      </c>
    </row>
    <row r="3970" spans="1:47">
      <c r="A3970" s="33" t="str">
        <f t="shared" si="1198"/>
        <v>FY 24/25</v>
      </c>
      <c r="B3970" s="23">
        <v>2025</v>
      </c>
      <c r="C3970" s="23">
        <v>3</v>
      </c>
      <c r="D3970" s="202" t="str">
        <f t="shared" si="1211"/>
        <v>Q4</v>
      </c>
      <c r="E3970" s="33" t="str">
        <f t="shared" si="1197"/>
        <v>FY 24/25</v>
      </c>
      <c r="F3970" s="23">
        <v>2025</v>
      </c>
      <c r="G3970" s="23">
        <v>3</v>
      </c>
      <c r="H3970" s="29"/>
      <c r="I3970" s="204" t="str">
        <f t="shared" si="1199"/>
        <v>Q4</v>
      </c>
      <c r="J3970" s="188" t="s">
        <v>3724</v>
      </c>
      <c r="K3970" s="239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8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3"/>
        <v>1.13</v>
      </c>
      <c r="Z3970" s="196">
        <f t="shared" si="1212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0"/>
        <v>38525.309734513277</v>
      </c>
      <c r="AD3970" s="169">
        <v>0.12</v>
      </c>
      <c r="AE3970" s="199">
        <f t="shared" si="1201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si="1209"/>
        <v>17727707.415929206</v>
      </c>
      <c r="AJ3970" s="200">
        <f t="shared" si="1210"/>
        <v>2127324.8899115045</v>
      </c>
      <c r="AK3970" s="201">
        <f t="shared" si="1202"/>
        <v>0.11999999999999998</v>
      </c>
      <c r="AL3970" s="24"/>
      <c r="AM3970" s="24"/>
      <c r="AN3970" s="24"/>
      <c r="AO3970" s="24"/>
      <c r="AP3970" s="165" t="str">
        <f t="shared" si="1203"/>
        <v>20253</v>
      </c>
      <c r="AQ3970" s="203" t="str">
        <f t="shared" si="1204"/>
        <v>20253RMB</v>
      </c>
      <c r="AR3970" s="206" t="str">
        <f t="shared" si="1205"/>
        <v>YAMAHA_Non_Mounter</v>
      </c>
      <c r="AS3970" s="22">
        <f t="shared" si="1206"/>
        <v>0</v>
      </c>
      <c r="AT3970" s="24" t="str">
        <f t="shared" si="1207"/>
        <v>0-3 months</v>
      </c>
      <c r="AU3970" s="22" t="s">
        <v>3240</v>
      </c>
    </row>
    <row r="3971" spans="1:47">
      <c r="A3971" s="33" t="str">
        <f t="shared" si="1198"/>
        <v>FY 24/25</v>
      </c>
      <c r="B3971" s="23">
        <v>2025</v>
      </c>
      <c r="C3971" s="23">
        <v>3</v>
      </c>
      <c r="D3971" s="202" t="str">
        <f t="shared" si="1211"/>
        <v>Q4</v>
      </c>
      <c r="E3971" s="33" t="str">
        <f t="shared" si="1197"/>
        <v>FY 24/25</v>
      </c>
      <c r="F3971" s="23">
        <v>2025</v>
      </c>
      <c r="G3971" s="23">
        <v>3</v>
      </c>
      <c r="H3971" s="29"/>
      <c r="I3971" s="204" t="str">
        <f t="shared" si="1199"/>
        <v>Q4</v>
      </c>
      <c r="J3971" s="188" t="s">
        <v>3726</v>
      </c>
      <c r="K3971" s="239" t="s">
        <v>3727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8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3"/>
        <v>1.13</v>
      </c>
      <c r="Z3971" s="196">
        <f t="shared" si="1212"/>
        <v>500000</v>
      </c>
      <c r="AA3971" s="22">
        <v>1.0669999999999999</v>
      </c>
      <c r="AB3971" s="197">
        <f>IF(AND(R3971&lt;&gt;"C66",R3971&lt;&gt;""),Z3971/Y3971*AA3971,"")</f>
        <v>472123.89380530978</v>
      </c>
      <c r="AC3971" s="198">
        <f t="shared" si="1200"/>
        <v>56654.867256637175</v>
      </c>
      <c r="AD3971" s="169">
        <v>0.12</v>
      </c>
      <c r="AE3971" s="199">
        <f t="shared" si="1201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9"/>
        <v>17727707.415929206</v>
      </c>
      <c r="AJ3971" s="200">
        <f t="shared" si="1210"/>
        <v>2127324.8899115045</v>
      </c>
      <c r="AK3971" s="201">
        <f t="shared" si="1202"/>
        <v>0.11999999999999998</v>
      </c>
      <c r="AL3971" s="24"/>
      <c r="AM3971" s="24"/>
      <c r="AN3971" s="24"/>
      <c r="AO3971" s="24"/>
      <c r="AP3971" s="165" t="str">
        <f t="shared" si="1203"/>
        <v>20253</v>
      </c>
      <c r="AQ3971" s="203" t="str">
        <f t="shared" si="1204"/>
        <v>20253RMB</v>
      </c>
      <c r="AR3971" s="206" t="str">
        <f t="shared" si="1205"/>
        <v>YAMAHA_Mounter</v>
      </c>
      <c r="AS3971" s="22">
        <f t="shared" si="1206"/>
        <v>0</v>
      </c>
      <c r="AT3971" s="24" t="str">
        <f t="shared" si="1207"/>
        <v>0-3 months</v>
      </c>
      <c r="AU3971" s="22" t="s">
        <v>3240</v>
      </c>
    </row>
    <row r="3972" spans="1:47" ht="39.6">
      <c r="A3972" s="33" t="str">
        <f t="shared" si="1198"/>
        <v/>
      </c>
      <c r="B3972" s="23"/>
      <c r="C3972" s="23"/>
      <c r="D3972" s="202" t="str">
        <f t="shared" si="1211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4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5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6">IF(W3972="","",IF(W3972="RMB","1.13", "1"))</f>
        <v/>
      </c>
      <c r="Z3972" s="196" t="str">
        <f t="shared" ref="Z3972:Z3975" si="1217">IF(X3972="","",X3972*MAX(O3972,N3972))</f>
        <v/>
      </c>
      <c r="AA3972" s="22"/>
      <c r="AB3972" s="197">
        <v>13000</v>
      </c>
      <c r="AC3972" s="198">
        <f t="shared" ref="AC3972:AC3975" si="1218">IF(R3972&lt;&gt;"",AB3972*AD3972,"")</f>
        <v>3900</v>
      </c>
      <c r="AD3972" s="162">
        <v>0.3</v>
      </c>
      <c r="AE3972" s="199">
        <f t="shared" ref="AE3972:AE3975" si="1219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9"/>
        <v>30691842.970796466</v>
      </c>
      <c r="AJ3972" s="200">
        <f t="shared" si="1210"/>
        <v>4088324.205777524</v>
      </c>
      <c r="AK3972" s="201">
        <f t="shared" ref="AK3972:AK3975" si="1220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21">IF(F3972="","",F3972&amp;G3972)</f>
        <v>20252</v>
      </c>
      <c r="AQ3972" s="203" t="str">
        <f t="shared" ref="AQ3972:AQ3975" si="1222">IF(W3972="","",F3972&amp;G3972&amp;W3972)</f>
        <v/>
      </c>
      <c r="AR3972" s="206" t="str">
        <f t="shared" ref="AR3972:AR3975" si="1223">IFERROR(IF(AND(M3972="YAMAHA", R3972="C28"), "YAMAHA_Non_Mounter", IF(AND(M3972="YAMAHA", R3972="C49"), "YAMAHA_Mounter", M3972)),"")</f>
        <v>C66 SERVICE</v>
      </c>
      <c r="AS3972" s="22" t="str">
        <f t="shared" ref="AS3972:AS3975" si="1224">IFERROR(IF(OR(G3972="TBA", G3972=""), "", DATEDIF(DATE(B3972, C3972, 1), DATE(F3972, G3972, 1), "M")),"")</f>
        <v/>
      </c>
      <c r="AT3972" s="24" t="str">
        <f t="shared" ref="AT3972:AT3975" si="1225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198"/>
        <v/>
      </c>
      <c r="B3973" s="23"/>
      <c r="C3973" s="23"/>
      <c r="D3973" s="202" t="str">
        <f t="shared" si="1211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4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5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6"/>
        <v/>
      </c>
      <c r="Z3973" s="196" t="str">
        <f t="shared" si="1217"/>
        <v/>
      </c>
      <c r="AA3973" s="22"/>
      <c r="AB3973" s="197">
        <v>19000</v>
      </c>
      <c r="AC3973" s="198">
        <f t="shared" si="1218"/>
        <v>5700</v>
      </c>
      <c r="AD3973" s="162">
        <v>0.3</v>
      </c>
      <c r="AE3973" s="199">
        <f t="shared" si="1219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9"/>
        <v>30691842.970796466</v>
      </c>
      <c r="AJ3973" s="200">
        <f t="shared" si="1210"/>
        <v>4088324.205777524</v>
      </c>
      <c r="AK3973" s="201">
        <f t="shared" si="1220"/>
        <v>0.1332055624573473</v>
      </c>
      <c r="AL3973" s="24"/>
      <c r="AM3973" s="24"/>
      <c r="AN3973" s="24"/>
      <c r="AO3973" s="24"/>
      <c r="AP3973" s="165" t="str">
        <f t="shared" si="1221"/>
        <v>20252</v>
      </c>
      <c r="AQ3973" s="203" t="str">
        <f t="shared" si="1222"/>
        <v/>
      </c>
      <c r="AR3973" s="206" t="str">
        <f t="shared" si="1223"/>
        <v>C66 SERVICE</v>
      </c>
      <c r="AS3973" s="22" t="str">
        <f t="shared" si="1224"/>
        <v/>
      </c>
      <c r="AT3973" s="24" t="str">
        <f t="shared" si="1225"/>
        <v/>
      </c>
      <c r="AU3973" s="22">
        <v>0</v>
      </c>
    </row>
    <row r="3974" spans="1:47" ht="39.6">
      <c r="A3974" s="33" t="str">
        <f t="shared" si="1198"/>
        <v/>
      </c>
      <c r="B3974" s="23"/>
      <c r="C3974" s="23"/>
      <c r="D3974" s="202" t="str">
        <f t="shared" si="1211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4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5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6"/>
        <v/>
      </c>
      <c r="Z3974" s="196" t="str">
        <f t="shared" si="1217"/>
        <v/>
      </c>
      <c r="AA3974" s="22"/>
      <c r="AB3974" s="197">
        <v>17000</v>
      </c>
      <c r="AC3974" s="198">
        <f t="shared" si="1218"/>
        <v>5100</v>
      </c>
      <c r="AD3974" s="162">
        <v>0.3</v>
      </c>
      <c r="AE3974" s="199">
        <f t="shared" si="1219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9"/>
        <v>30691842.970796466</v>
      </c>
      <c r="AJ3974" s="200">
        <f t="shared" si="1210"/>
        <v>4088324.205777524</v>
      </c>
      <c r="AK3974" s="201">
        <f t="shared" si="1220"/>
        <v>0.1332055624573473</v>
      </c>
      <c r="AL3974" s="24"/>
      <c r="AM3974" s="24"/>
      <c r="AN3974" s="24"/>
      <c r="AO3974" s="24"/>
      <c r="AP3974" s="165" t="str">
        <f t="shared" si="1221"/>
        <v>20252</v>
      </c>
      <c r="AQ3974" s="203" t="str">
        <f t="shared" si="1222"/>
        <v/>
      </c>
      <c r="AR3974" s="206" t="str">
        <f t="shared" si="1223"/>
        <v>C66 SERVICE</v>
      </c>
      <c r="AS3974" s="22" t="str">
        <f t="shared" si="1224"/>
        <v/>
      </c>
      <c r="AT3974" s="24" t="str">
        <f t="shared" si="1225"/>
        <v/>
      </c>
      <c r="AU3974" s="22">
        <v>0</v>
      </c>
    </row>
    <row r="3975" spans="1:47" ht="39.6">
      <c r="A3975" s="33" t="str">
        <f t="shared" si="1198"/>
        <v/>
      </c>
      <c r="B3975" s="23"/>
      <c r="C3975" s="23"/>
      <c r="D3975" s="202" t="str">
        <f t="shared" si="1211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4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5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6"/>
        <v/>
      </c>
      <c r="Z3975" s="196" t="str">
        <f t="shared" si="1217"/>
        <v/>
      </c>
      <c r="AA3975" s="22"/>
      <c r="AB3975" s="197">
        <v>336000</v>
      </c>
      <c r="AC3975" s="198">
        <f t="shared" si="1218"/>
        <v>100800</v>
      </c>
      <c r="AD3975" s="162">
        <v>0.3</v>
      </c>
      <c r="AE3975" s="199">
        <f t="shared" si="1219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9"/>
        <v>30691842.970796466</v>
      </c>
      <c r="AJ3975" s="200">
        <f t="shared" si="1210"/>
        <v>4088324.205777524</v>
      </c>
      <c r="AK3975" s="201">
        <f t="shared" si="1220"/>
        <v>0.1332055624573473</v>
      </c>
      <c r="AL3975" s="24"/>
      <c r="AM3975" s="24"/>
      <c r="AN3975" s="24"/>
      <c r="AO3975" s="24"/>
      <c r="AP3975" s="165" t="str">
        <f t="shared" si="1221"/>
        <v>20252</v>
      </c>
      <c r="AQ3975" s="203" t="str">
        <f t="shared" si="1222"/>
        <v/>
      </c>
      <c r="AR3975" s="206" t="str">
        <f t="shared" si="1223"/>
        <v>C66 SERVICE</v>
      </c>
      <c r="AS3975" s="22" t="str">
        <f t="shared" si="1224"/>
        <v/>
      </c>
      <c r="AT3975" s="24" t="str">
        <f t="shared" si="1225"/>
        <v/>
      </c>
      <c r="AU3975" s="22">
        <v>0</v>
      </c>
    </row>
    <row r="3976" spans="1:47">
      <c r="A3976" s="33" t="str">
        <f t="shared" si="1198"/>
        <v>FY 24/25</v>
      </c>
      <c r="B3976" s="23">
        <v>2025</v>
      </c>
      <c r="C3976" s="23">
        <v>3</v>
      </c>
      <c r="D3976" s="202" t="str">
        <f t="shared" si="1211"/>
        <v>Q4</v>
      </c>
      <c r="E3976" s="33" t="str">
        <f t="shared" si="1197"/>
        <v>TBA</v>
      </c>
      <c r="F3976" s="23" t="s">
        <v>2584</v>
      </c>
      <c r="G3976" s="23" t="s">
        <v>2584</v>
      </c>
      <c r="H3976" s="29"/>
      <c r="I3976" s="204" t="str">
        <f t="shared" si="1214"/>
        <v>TBA</v>
      </c>
      <c r="J3976" s="188" t="s">
        <v>3728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5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6">IF(W3976="","",IF(W3976="RMB","1.13", "1"))</f>
        <v>1.13</v>
      </c>
      <c r="Z3976" s="196">
        <f t="shared" ref="Z3976" si="1227">IF(X3976="","",X3976*MAX(O3976,N3976))</f>
        <v>389000</v>
      </c>
      <c r="AA3976" s="22">
        <v>1.0669999999999999</v>
      </c>
      <c r="AB3976" s="197">
        <v>336001</v>
      </c>
      <c r="AC3976" s="198">
        <f t="shared" ref="AC3976" si="1228">IF(R3976&lt;&gt;"",AB3976*AD3976,"")</f>
        <v>40320.119999999995</v>
      </c>
      <c r="AD3976" s="169">
        <v>0.12</v>
      </c>
      <c r="AE3976" s="199">
        <f t="shared" ref="AE3976:AE3990" si="1229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si="1209"/>
        <v>30033846.584070798</v>
      </c>
      <c r="AJ3976" s="200">
        <f t="shared" si="1210"/>
        <v>3534936.4750884958</v>
      </c>
      <c r="AK3976" s="201">
        <f t="shared" ref="AK3976:AK3990" si="1230">IF(AJ3976&gt;0,AJ3976/AI3976,"")</f>
        <v>0.11769842618039268</v>
      </c>
      <c r="AL3976" s="24"/>
      <c r="AM3976" s="24"/>
      <c r="AN3976" s="24"/>
      <c r="AO3976" s="24"/>
      <c r="AP3976" s="165" t="str">
        <f t="shared" ref="AP3976:AP3986" si="1231">IF(F3976="","",F3976&amp;G3976)</f>
        <v>TBATBA</v>
      </c>
      <c r="AQ3976" s="203" t="str">
        <f t="shared" ref="AQ3976:AQ3986" si="1232">IF(W3976="","",F3976&amp;G3976&amp;W3976)</f>
        <v>TBATBARMB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 t="str">
        <f t="shared" ref="AS3976:AS3982" si="1234">IFERROR(IF(OR(G3976="TBA", G3976=""), "", DATEDIF(DATE(B3976, C3976, 1), DATE(F3976, G3976, 1), "M")),"")</f>
        <v/>
      </c>
      <c r="AT3976" s="24" t="str">
        <f t="shared" ref="AT3976:AT3982" si="1235">IF(ISNUMBER(AS3976), IF(AS3976&gt;=0, IF(AS3976&lt;=3, "0-3 months", IF(AS3976&lt;=6, "4-6 months", "&gt; 6 months"))), "")</f>
        <v/>
      </c>
      <c r="AU3976" s="22" t="s">
        <v>3751</v>
      </c>
    </row>
    <row r="3977" spans="1:47">
      <c r="A3977" s="33" t="str">
        <f t="shared" si="1198"/>
        <v>FY 24/25</v>
      </c>
      <c r="B3977" s="23">
        <v>2025</v>
      </c>
      <c r="C3977" s="23">
        <v>3</v>
      </c>
      <c r="D3977" s="202" t="str">
        <f t="shared" si="1211"/>
        <v>Q4</v>
      </c>
      <c r="E3977" s="33" t="str">
        <f t="shared" si="1197"/>
        <v>TBA</v>
      </c>
      <c r="F3977" s="23" t="s">
        <v>2584</v>
      </c>
      <c r="G3977" s="23" t="s">
        <v>2584</v>
      </c>
      <c r="H3977" s="29"/>
      <c r="I3977" s="204" t="str">
        <f t="shared" si="1214"/>
        <v>TBA</v>
      </c>
      <c r="J3977" s="188" t="s">
        <v>3729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8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3"/>
        <v>1</v>
      </c>
      <c r="Z3977" s="196">
        <f t="shared" si="1212"/>
        <v>7080000</v>
      </c>
      <c r="AA3977" s="22">
        <v>5.2999999999999999E-2</v>
      </c>
      <c r="AB3977" s="197">
        <f t="shared" si="1196"/>
        <v>375240</v>
      </c>
      <c r="AC3977" s="198">
        <f t="shared" si="1200"/>
        <v>45028.799999999996</v>
      </c>
      <c r="AD3977" s="169">
        <v>0.12</v>
      </c>
      <c r="AE3977" s="199">
        <f t="shared" si="1229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09"/>
        <v>30033846.584070798</v>
      </c>
      <c r="AJ3977" s="200">
        <f t="shared" si="1210"/>
        <v>3534936.4750884958</v>
      </c>
      <c r="AK3977" s="201">
        <f t="shared" si="1230"/>
        <v>0.11769842618039268</v>
      </c>
      <c r="AL3977" s="24"/>
      <c r="AM3977" s="24"/>
      <c r="AN3977" s="24"/>
      <c r="AO3977" s="24"/>
      <c r="AP3977" s="165" t="str">
        <f t="shared" si="1231"/>
        <v>TBATBA</v>
      </c>
      <c r="AQ3977" s="203" t="str">
        <f t="shared" si="1232"/>
        <v>TBATBAJPY</v>
      </c>
      <c r="AR3977" s="206" t="str">
        <f t="shared" si="1233"/>
        <v>YAMAHA_Mounter</v>
      </c>
      <c r="AS3977" s="22" t="str">
        <f t="shared" si="1234"/>
        <v/>
      </c>
      <c r="AT3977" s="24" t="str">
        <f t="shared" si="1235"/>
        <v/>
      </c>
      <c r="AU3977" s="22" t="s">
        <v>3745</v>
      </c>
    </row>
    <row r="3978" spans="1:47">
      <c r="A3978" s="33" t="str">
        <f t="shared" si="1198"/>
        <v>FY 24/25</v>
      </c>
      <c r="B3978" s="23">
        <v>2025</v>
      </c>
      <c r="C3978" s="23">
        <v>3</v>
      </c>
      <c r="D3978" s="202" t="str">
        <f t="shared" si="1211"/>
        <v>Q4</v>
      </c>
      <c r="E3978" s="33" t="str">
        <f t="shared" si="1197"/>
        <v>TBA</v>
      </c>
      <c r="F3978" s="23" t="s">
        <v>2584</v>
      </c>
      <c r="G3978" s="23" t="s">
        <v>2584</v>
      </c>
      <c r="H3978" s="29"/>
      <c r="I3978" s="204" t="str">
        <f t="shared" si="1214"/>
        <v>TBA</v>
      </c>
      <c r="J3978" s="188" t="s">
        <v>3730</v>
      </c>
      <c r="K3978" s="29" t="s">
        <v>3731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8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3"/>
        <v>1</v>
      </c>
      <c r="Z3978" s="196">
        <f t="shared" si="1212"/>
        <v>8299000</v>
      </c>
      <c r="AA3978" s="22">
        <v>5.2999999999999999E-2</v>
      </c>
      <c r="AB3978" s="197">
        <f t="shared" si="1196"/>
        <v>439847</v>
      </c>
      <c r="AC3978" s="198">
        <f t="shared" si="1200"/>
        <v>52781.64</v>
      </c>
      <c r="AD3978" s="169">
        <v>0.12</v>
      </c>
      <c r="AE3978" s="199">
        <f t="shared" si="1229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09"/>
        <v>30033846.584070798</v>
      </c>
      <c r="AJ3978" s="200">
        <f t="shared" si="1210"/>
        <v>3534936.4750884958</v>
      </c>
      <c r="AK3978" s="201">
        <f t="shared" si="1230"/>
        <v>0.11769842618039268</v>
      </c>
      <c r="AL3978" s="24"/>
      <c r="AM3978" s="24"/>
      <c r="AN3978" s="24"/>
      <c r="AO3978" s="24"/>
      <c r="AP3978" s="165" t="str">
        <f t="shared" si="1231"/>
        <v>TBATBA</v>
      </c>
      <c r="AQ3978" s="203" t="str">
        <f t="shared" si="1232"/>
        <v>TBATBAJPY</v>
      </c>
      <c r="AR3978" s="206" t="str">
        <f t="shared" si="1233"/>
        <v>YAMAHA_Mounter</v>
      </c>
      <c r="AS3978" s="22" t="str">
        <f t="shared" si="1234"/>
        <v/>
      </c>
      <c r="AT3978" s="24" t="str">
        <f t="shared" si="1235"/>
        <v/>
      </c>
      <c r="AU3978" s="22" t="s">
        <v>3745</v>
      </c>
    </row>
    <row r="3979" spans="1:47">
      <c r="A3979" s="33" t="str">
        <f t="shared" si="1198"/>
        <v>FY 24/25</v>
      </c>
      <c r="B3979" s="23">
        <v>2025</v>
      </c>
      <c r="C3979" s="23">
        <v>3</v>
      </c>
      <c r="D3979" s="202" t="str">
        <f t="shared" si="1211"/>
        <v>Q4</v>
      </c>
      <c r="E3979" s="33" t="str">
        <f t="shared" si="1197"/>
        <v>TBA</v>
      </c>
      <c r="F3979" s="23" t="s">
        <v>2584</v>
      </c>
      <c r="G3979" s="23" t="s">
        <v>2584</v>
      </c>
      <c r="H3979" s="29"/>
      <c r="I3979" s="204" t="str">
        <f t="shared" si="1214"/>
        <v>TBA</v>
      </c>
      <c r="J3979" s="188" t="s">
        <v>3732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8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3"/>
        <v>1.13</v>
      </c>
      <c r="Z3979" s="196">
        <f t="shared" si="1212"/>
        <v>393000</v>
      </c>
      <c r="AA3979" s="22">
        <v>1.0669999999999999</v>
      </c>
      <c r="AB3979" s="197">
        <f t="shared" si="1196"/>
        <v>371089.38053097349</v>
      </c>
      <c r="AC3979" s="198">
        <f t="shared" si="1200"/>
        <v>44530.725663716818</v>
      </c>
      <c r="AD3979" s="169">
        <v>0.12</v>
      </c>
      <c r="AE3979" s="199">
        <f t="shared" si="1229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ref="AI3979:AI3994" si="1236">IF(P3979="C66 SERVICE","",SUMIFS(AB:AB,F:F,F3979,G:G,G3979,E:E,E3979))</f>
        <v>30033846.584070798</v>
      </c>
      <c r="AJ3979" s="200">
        <f t="shared" ref="AJ3979:AJ3994" si="1237">IF(P3979="C66 SERVICE","",SUMIFS(AC:AC,F:F,F3979,G:G,G3979,E:E,E3979))</f>
        <v>3534936.4750884958</v>
      </c>
      <c r="AK3979" s="201">
        <f t="shared" si="1230"/>
        <v>0.11769842618039268</v>
      </c>
      <c r="AL3979" s="24"/>
      <c r="AM3979" s="24"/>
      <c r="AN3979" s="24"/>
      <c r="AO3979" s="24"/>
      <c r="AP3979" s="165" t="str">
        <f t="shared" si="1231"/>
        <v>TBATBA</v>
      </c>
      <c r="AQ3979" s="203" t="str">
        <f t="shared" si="1232"/>
        <v>TBATBARMB</v>
      </c>
      <c r="AR3979" s="206" t="str">
        <f t="shared" si="1233"/>
        <v>YAMAHA_Mounter</v>
      </c>
      <c r="AS3979" s="22" t="str">
        <f t="shared" si="1234"/>
        <v/>
      </c>
      <c r="AT3979" s="24" t="str">
        <f t="shared" si="1235"/>
        <v/>
      </c>
      <c r="AU3979" s="22" t="s">
        <v>3751</v>
      </c>
    </row>
    <row r="3980" spans="1:47">
      <c r="A3980" s="33" t="str">
        <f t="shared" si="1198"/>
        <v>FY 24/25</v>
      </c>
      <c r="B3980" s="23">
        <v>2025</v>
      </c>
      <c r="C3980" s="23">
        <v>3</v>
      </c>
      <c r="D3980" s="202" t="str">
        <f t="shared" si="1211"/>
        <v>Q4</v>
      </c>
      <c r="E3980" s="33" t="str">
        <f t="shared" si="1197"/>
        <v>TBA</v>
      </c>
      <c r="F3980" s="23" t="s">
        <v>2584</v>
      </c>
      <c r="G3980" s="23" t="s">
        <v>2584</v>
      </c>
      <c r="H3980" s="29"/>
      <c r="I3980" s="204" t="str">
        <f t="shared" si="1214"/>
        <v>TBA</v>
      </c>
      <c r="J3980" s="188" t="s">
        <v>3732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8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3"/>
        <v>1.13</v>
      </c>
      <c r="Z3980" s="196">
        <f t="shared" si="1212"/>
        <v>393000</v>
      </c>
      <c r="AA3980" s="22">
        <v>1.0669999999999999</v>
      </c>
      <c r="AB3980" s="197">
        <f t="shared" si="1196"/>
        <v>371089.38053097349</v>
      </c>
      <c r="AC3980" s="198">
        <f t="shared" si="1200"/>
        <v>44530.725663716818</v>
      </c>
      <c r="AD3980" s="169">
        <v>0.12</v>
      </c>
      <c r="AE3980" s="199">
        <f t="shared" si="1229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6"/>
        <v>30033846.584070798</v>
      </c>
      <c r="AJ3980" s="200">
        <f t="shared" si="1237"/>
        <v>3534936.4750884958</v>
      </c>
      <c r="AK3980" s="201">
        <f t="shared" si="1230"/>
        <v>0.11769842618039268</v>
      </c>
      <c r="AL3980" s="24"/>
      <c r="AM3980" s="24"/>
      <c r="AN3980" s="24"/>
      <c r="AO3980" s="24"/>
      <c r="AP3980" s="165" t="str">
        <f t="shared" si="1231"/>
        <v>TBATBA</v>
      </c>
      <c r="AQ3980" s="203" t="str">
        <f t="shared" si="1232"/>
        <v>TBATBARMB</v>
      </c>
      <c r="AR3980" s="206" t="str">
        <f t="shared" si="1233"/>
        <v>YAMAHA_Mounter</v>
      </c>
      <c r="AS3980" s="22" t="str">
        <f t="shared" si="1234"/>
        <v/>
      </c>
      <c r="AT3980" s="24" t="str">
        <f t="shared" si="1235"/>
        <v/>
      </c>
      <c r="AU3980" s="22" t="s">
        <v>3751</v>
      </c>
    </row>
    <row r="3981" spans="1:47">
      <c r="A3981" s="33" t="str">
        <f t="shared" si="1198"/>
        <v>FY 24/25</v>
      </c>
      <c r="B3981" s="23">
        <v>2025</v>
      </c>
      <c r="C3981" s="23">
        <v>3</v>
      </c>
      <c r="D3981" s="202" t="str">
        <f t="shared" si="1211"/>
        <v>Q4</v>
      </c>
      <c r="E3981" s="33" t="str">
        <f t="shared" si="1197"/>
        <v>TBA</v>
      </c>
      <c r="F3981" s="23" t="s">
        <v>2584</v>
      </c>
      <c r="G3981" s="23" t="s">
        <v>2584</v>
      </c>
      <c r="H3981" s="29"/>
      <c r="I3981" s="204" t="str">
        <f t="shared" si="1214"/>
        <v>TBA</v>
      </c>
      <c r="J3981" s="188" t="s">
        <v>3732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8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3"/>
        <v>1.13</v>
      </c>
      <c r="Z3981" s="196">
        <f t="shared" si="1212"/>
        <v>393000</v>
      </c>
      <c r="AA3981" s="22">
        <v>1.0669999999999999</v>
      </c>
      <c r="AB3981" s="197">
        <f t="shared" si="1196"/>
        <v>371089.38053097349</v>
      </c>
      <c r="AC3981" s="198">
        <f t="shared" si="1200"/>
        <v>44530.725663716818</v>
      </c>
      <c r="AD3981" s="169">
        <v>0.12</v>
      </c>
      <c r="AE3981" s="199">
        <f t="shared" si="1229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6"/>
        <v>30033846.584070798</v>
      </c>
      <c r="AJ3981" s="200">
        <f t="shared" si="1237"/>
        <v>3534936.4750884958</v>
      </c>
      <c r="AK3981" s="201">
        <f t="shared" si="1230"/>
        <v>0.11769842618039268</v>
      </c>
      <c r="AL3981" s="24"/>
      <c r="AM3981" s="24"/>
      <c r="AN3981" s="24"/>
      <c r="AO3981" s="24"/>
      <c r="AP3981" s="165" t="str">
        <f t="shared" si="1231"/>
        <v>TBATBA</v>
      </c>
      <c r="AQ3981" s="203" t="str">
        <f t="shared" si="1232"/>
        <v>TBATBARMB</v>
      </c>
      <c r="AR3981" s="206" t="str">
        <f t="shared" si="1233"/>
        <v>YAMAHA_Mounter</v>
      </c>
      <c r="AS3981" s="22" t="str">
        <f t="shared" si="1234"/>
        <v/>
      </c>
      <c r="AT3981" s="24" t="str">
        <f t="shared" si="1235"/>
        <v/>
      </c>
      <c r="AU3981" s="22" t="s">
        <v>3751</v>
      </c>
    </row>
    <row r="3982" spans="1:47">
      <c r="A3982" s="33" t="str">
        <f t="shared" si="1198"/>
        <v>FY 24/25</v>
      </c>
      <c r="B3982" s="23">
        <v>2025</v>
      </c>
      <c r="C3982" s="23">
        <v>3</v>
      </c>
      <c r="D3982" s="202" t="str">
        <f t="shared" si="1211"/>
        <v>Q4</v>
      </c>
      <c r="E3982" s="33" t="str">
        <f t="shared" si="1197"/>
        <v>TBA</v>
      </c>
      <c r="F3982" s="23" t="s">
        <v>2584</v>
      </c>
      <c r="G3982" s="23" t="s">
        <v>2584</v>
      </c>
      <c r="H3982" s="29"/>
      <c r="I3982" s="204" t="str">
        <f t="shared" si="1214"/>
        <v>TBA</v>
      </c>
      <c r="J3982" s="188" t="s">
        <v>3733</v>
      </c>
      <c r="K3982" s="29" t="s">
        <v>3734</v>
      </c>
      <c r="L3982" s="24" t="s">
        <v>3698</v>
      </c>
      <c r="M3982" s="13" t="s">
        <v>60</v>
      </c>
      <c r="N3982" s="22">
        <v>1</v>
      </c>
      <c r="O3982" s="22"/>
      <c r="P3982" s="202" t="str">
        <f t="shared" si="1208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3"/>
        <v>1.13</v>
      </c>
      <c r="Z3982" s="196">
        <f t="shared" si="1212"/>
        <v>980000</v>
      </c>
      <c r="AA3982" s="22">
        <v>1.0669999999999999</v>
      </c>
      <c r="AB3982" s="197">
        <f t="shared" si="1196"/>
        <v>925362.83185840712</v>
      </c>
      <c r="AC3982" s="198">
        <f t="shared" si="1200"/>
        <v>111043.53982300885</v>
      </c>
      <c r="AD3982" s="169">
        <v>0.12</v>
      </c>
      <c r="AE3982" s="199">
        <f t="shared" si="1229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6"/>
        <v>30033846.584070798</v>
      </c>
      <c r="AJ3982" s="200">
        <f t="shared" si="1237"/>
        <v>3534936.4750884958</v>
      </c>
      <c r="AK3982" s="201">
        <f t="shared" si="1230"/>
        <v>0.11769842618039268</v>
      </c>
      <c r="AL3982" s="24"/>
      <c r="AM3982" s="24"/>
      <c r="AN3982" s="24"/>
      <c r="AO3982" s="24"/>
      <c r="AP3982" s="165" t="str">
        <f t="shared" si="1231"/>
        <v>TBATBA</v>
      </c>
      <c r="AQ3982" s="203" t="str">
        <f t="shared" si="1232"/>
        <v>TBATBARMB</v>
      </c>
      <c r="AR3982" s="206" t="str">
        <f t="shared" si="1233"/>
        <v>YAMAHA_Mounter</v>
      </c>
      <c r="AS3982" s="22" t="str">
        <f t="shared" si="1234"/>
        <v/>
      </c>
      <c r="AT3982" s="24" t="str">
        <f t="shared" si="1235"/>
        <v/>
      </c>
      <c r="AU3982" s="22" t="s">
        <v>3751</v>
      </c>
    </row>
    <row r="3983" spans="1:47">
      <c r="A3983" s="33" t="str">
        <f t="shared" si="1198"/>
        <v>FY 24/25</v>
      </c>
      <c r="B3983" s="23">
        <v>2025</v>
      </c>
      <c r="C3983" s="23">
        <v>3</v>
      </c>
      <c r="D3983" s="202" t="str">
        <f t="shared" si="1211"/>
        <v>Q4</v>
      </c>
      <c r="E3983" s="33" t="str">
        <f t="shared" si="1197"/>
        <v>TBA</v>
      </c>
      <c r="F3983" s="23" t="s">
        <v>2584</v>
      </c>
      <c r="G3983" s="23" t="s">
        <v>2584</v>
      </c>
      <c r="H3983" s="29"/>
      <c r="I3983" s="204" t="str">
        <f t="shared" si="1214"/>
        <v>TBA</v>
      </c>
      <c r="J3983" s="188" t="s">
        <v>3733</v>
      </c>
      <c r="K3983" s="29" t="s">
        <v>3734</v>
      </c>
      <c r="L3983" s="24" t="s">
        <v>3698</v>
      </c>
      <c r="M3983" s="13" t="s">
        <v>60</v>
      </c>
      <c r="N3983" s="22">
        <v>1</v>
      </c>
      <c r="O3983" s="22"/>
      <c r="P3983" s="202" t="str">
        <f t="shared" si="1208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3"/>
        <v>1.13</v>
      </c>
      <c r="Z3983" s="196">
        <f t="shared" si="1212"/>
        <v>980000</v>
      </c>
      <c r="AA3983" s="22">
        <v>1.0669999999999999</v>
      </c>
      <c r="AB3983" s="197">
        <f t="shared" si="1196"/>
        <v>925362.83185840712</v>
      </c>
      <c r="AC3983" s="198">
        <f t="shared" si="1200"/>
        <v>111043.53982300885</v>
      </c>
      <c r="AD3983" s="169">
        <v>0.12</v>
      </c>
      <c r="AE3983" s="199">
        <f t="shared" si="1229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6"/>
        <v>30033846.584070798</v>
      </c>
      <c r="AJ3983" s="200">
        <f t="shared" si="1237"/>
        <v>3534936.4750884958</v>
      </c>
      <c r="AK3983" s="201">
        <f t="shared" si="1230"/>
        <v>0.11769842618039268</v>
      </c>
      <c r="AL3983" s="24"/>
      <c r="AM3983" s="24"/>
      <c r="AN3983" s="24"/>
      <c r="AO3983" s="24"/>
      <c r="AP3983" s="165" t="str">
        <f t="shared" si="1231"/>
        <v>TBATBA</v>
      </c>
      <c r="AQ3983" s="203" t="str">
        <f t="shared" si="1232"/>
        <v>TBATBARMB</v>
      </c>
      <c r="AR3983" s="206" t="str">
        <f t="shared" si="1233"/>
        <v>YAMAHA_Mounter</v>
      </c>
      <c r="AS3983" s="22" t="str">
        <f t="shared" si="1206"/>
        <v/>
      </c>
      <c r="AT3983" s="24" t="str">
        <f t="shared" si="1207"/>
        <v/>
      </c>
      <c r="AU3983" s="22" t="s">
        <v>3751</v>
      </c>
    </row>
    <row r="3984" spans="1:47">
      <c r="A3984" s="33" t="str">
        <f t="shared" si="1198"/>
        <v>FY 24/25</v>
      </c>
      <c r="B3984" s="23">
        <v>2025</v>
      </c>
      <c r="C3984" s="23">
        <v>3</v>
      </c>
      <c r="D3984" s="202" t="str">
        <f t="shared" si="1211"/>
        <v>Q4</v>
      </c>
      <c r="E3984" s="33" t="str">
        <f t="shared" si="1197"/>
        <v>TBA</v>
      </c>
      <c r="F3984" s="23" t="s">
        <v>2584</v>
      </c>
      <c r="G3984" s="23" t="s">
        <v>2584</v>
      </c>
      <c r="H3984" s="29"/>
      <c r="I3984" s="204" t="str">
        <f t="shared" si="1214"/>
        <v>TBA</v>
      </c>
      <c r="J3984" s="188" t="s">
        <v>3733</v>
      </c>
      <c r="K3984" s="29" t="s">
        <v>3734</v>
      </c>
      <c r="L3984" s="24" t="s">
        <v>3698</v>
      </c>
      <c r="M3984" s="13" t="s">
        <v>60</v>
      </c>
      <c r="N3984" s="22">
        <v>1</v>
      </c>
      <c r="O3984" s="22"/>
      <c r="P3984" s="202" t="str">
        <f t="shared" si="1208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3"/>
        <v>1.13</v>
      </c>
      <c r="Z3984" s="196">
        <f t="shared" si="1212"/>
        <v>980000</v>
      </c>
      <c r="AA3984" s="22">
        <v>1.0669999999999999</v>
      </c>
      <c r="AB3984" s="197">
        <f t="shared" si="1196"/>
        <v>925362.83185840712</v>
      </c>
      <c r="AC3984" s="198">
        <f t="shared" si="1200"/>
        <v>111043.53982300885</v>
      </c>
      <c r="AD3984" s="169">
        <v>0.12</v>
      </c>
      <c r="AE3984" s="199">
        <f t="shared" si="1229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6"/>
        <v>30033846.584070798</v>
      </c>
      <c r="AJ3984" s="200">
        <f t="shared" si="1237"/>
        <v>3534936.4750884958</v>
      </c>
      <c r="AK3984" s="201">
        <f t="shared" si="1230"/>
        <v>0.11769842618039268</v>
      </c>
      <c r="AL3984" s="24"/>
      <c r="AM3984" s="24"/>
      <c r="AN3984" s="24"/>
      <c r="AO3984" s="24"/>
      <c r="AP3984" s="165" t="str">
        <f t="shared" si="1231"/>
        <v>TBATBA</v>
      </c>
      <c r="AQ3984" s="203" t="str">
        <f t="shared" si="1232"/>
        <v>TBATBARMB</v>
      </c>
      <c r="AR3984" s="206" t="str">
        <f t="shared" si="1233"/>
        <v>YAMAHA_Mounter</v>
      </c>
      <c r="AS3984" s="22" t="str">
        <f t="shared" si="1206"/>
        <v/>
      </c>
      <c r="AT3984" s="24" t="str">
        <f t="shared" si="1207"/>
        <v/>
      </c>
      <c r="AU3984" s="22" t="s">
        <v>3751</v>
      </c>
    </row>
    <row r="3985" spans="1:47">
      <c r="A3985" s="33" t="str">
        <f t="shared" si="1198"/>
        <v>FY 24/25</v>
      </c>
      <c r="B3985" s="23">
        <v>2025</v>
      </c>
      <c r="C3985" s="23">
        <v>3</v>
      </c>
      <c r="D3985" s="202" t="str">
        <f t="shared" si="1211"/>
        <v>Q4</v>
      </c>
      <c r="E3985" s="33" t="str">
        <f t="shared" si="1197"/>
        <v>TBA</v>
      </c>
      <c r="F3985" s="23" t="s">
        <v>2584</v>
      </c>
      <c r="G3985" s="23" t="s">
        <v>2584</v>
      </c>
      <c r="H3985" s="29"/>
      <c r="I3985" s="204" t="str">
        <f t="shared" si="1199"/>
        <v>TBA</v>
      </c>
      <c r="J3985" s="188" t="s">
        <v>3733</v>
      </c>
      <c r="K3985" s="29" t="s">
        <v>3734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8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3"/>
        <v>1.13</v>
      </c>
      <c r="Z3985" s="196">
        <f t="shared" si="1212"/>
        <v>900000</v>
      </c>
      <c r="AA3985" s="22">
        <v>1.0669999999999999</v>
      </c>
      <c r="AB3985" s="197">
        <f t="shared" si="1196"/>
        <v>849823.00884955749</v>
      </c>
      <c r="AC3985" s="198">
        <f t="shared" si="1200"/>
        <v>101978.76106194689</v>
      </c>
      <c r="AD3985" s="169">
        <v>0.12</v>
      </c>
      <c r="AE3985" s="199">
        <f t="shared" si="1229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6"/>
        <v>30033846.584070798</v>
      </c>
      <c r="AJ3985" s="200">
        <f t="shared" si="1237"/>
        <v>3534936.4750884958</v>
      </c>
      <c r="AK3985" s="201">
        <f t="shared" si="1230"/>
        <v>0.11769842618039268</v>
      </c>
      <c r="AL3985" s="24"/>
      <c r="AM3985" s="24"/>
      <c r="AN3985" s="24"/>
      <c r="AO3985" s="24"/>
      <c r="AP3985" s="165" t="str">
        <f t="shared" si="1231"/>
        <v>TBATBA</v>
      </c>
      <c r="AQ3985" s="203" t="str">
        <f t="shared" si="1232"/>
        <v>TBATBARMB</v>
      </c>
      <c r="AR3985" s="206" t="str">
        <f t="shared" si="1233"/>
        <v>YAMAHA_Mounter</v>
      </c>
      <c r="AS3985" s="22" t="str">
        <f t="shared" si="1206"/>
        <v/>
      </c>
      <c r="AT3985" s="24" t="str">
        <f t="shared" si="1207"/>
        <v/>
      </c>
      <c r="AU3985" s="22" t="s">
        <v>3751</v>
      </c>
    </row>
    <row r="3986" spans="1:47">
      <c r="A3986" s="33" t="str">
        <f t="shared" si="1198"/>
        <v>FY 24/25</v>
      </c>
      <c r="B3986" s="23">
        <v>2025</v>
      </c>
      <c r="C3986" s="23">
        <v>3</v>
      </c>
      <c r="D3986" s="202" t="str">
        <f t="shared" si="1211"/>
        <v>Q4</v>
      </c>
      <c r="E3986" s="33" t="str">
        <f t="shared" si="1197"/>
        <v>TBA</v>
      </c>
      <c r="F3986" s="23" t="s">
        <v>2584</v>
      </c>
      <c r="G3986" s="23" t="s">
        <v>2584</v>
      </c>
      <c r="H3986" s="29"/>
      <c r="I3986" s="204" t="str">
        <f t="shared" si="1199"/>
        <v>TBA</v>
      </c>
      <c r="J3986" s="188" t="s">
        <v>3733</v>
      </c>
      <c r="K3986" s="29" t="s">
        <v>3734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8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3"/>
        <v>1.13</v>
      </c>
      <c r="Z3986" s="196">
        <f t="shared" si="1212"/>
        <v>680000</v>
      </c>
      <c r="AA3986" s="22">
        <v>1.0669999999999999</v>
      </c>
      <c r="AB3986" s="197">
        <f t="shared" ref="AB3986:AB3994" si="1238">IF(AND(R3986&lt;&gt;"C66",R3986&lt;&gt;""),Z3986/Y3986*AA3986,"")</f>
        <v>642088.49557522126</v>
      </c>
      <c r="AC3986" s="198">
        <f t="shared" si="1200"/>
        <v>77050.619469026555</v>
      </c>
      <c r="AD3986" s="169">
        <v>0.12</v>
      </c>
      <c r="AE3986" s="199">
        <f t="shared" si="1229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6"/>
        <v>30033846.584070798</v>
      </c>
      <c r="AJ3986" s="200">
        <f t="shared" si="1237"/>
        <v>3534936.4750884958</v>
      </c>
      <c r="AK3986" s="201">
        <f t="shared" si="1230"/>
        <v>0.11769842618039268</v>
      </c>
      <c r="AL3986" s="24"/>
      <c r="AM3986" s="24"/>
      <c r="AN3986" s="24"/>
      <c r="AO3986" s="24"/>
      <c r="AP3986" s="165" t="str">
        <f t="shared" si="1231"/>
        <v>TBATBA</v>
      </c>
      <c r="AQ3986" s="203" t="str">
        <f t="shared" si="1232"/>
        <v>TBATBARMB</v>
      </c>
      <c r="AR3986" s="206" t="str">
        <f t="shared" si="1233"/>
        <v>YAMAHA_Mounter</v>
      </c>
      <c r="AS3986" s="22" t="str">
        <f t="shared" si="1206"/>
        <v/>
      </c>
      <c r="AT3986" s="24" t="str">
        <f t="shared" si="1207"/>
        <v/>
      </c>
      <c r="AU3986" s="22" t="s">
        <v>3751</v>
      </c>
    </row>
    <row r="3987" spans="1:47">
      <c r="A3987" s="33" t="str">
        <f t="shared" si="1198"/>
        <v>FY 24/25</v>
      </c>
      <c r="B3987" s="23">
        <v>2025</v>
      </c>
      <c r="C3987" s="23">
        <v>3</v>
      </c>
      <c r="D3987" s="202" t="str">
        <f t="shared" si="1211"/>
        <v>Q4</v>
      </c>
      <c r="E3987" s="33" t="str">
        <f t="shared" si="1197"/>
        <v>TBA</v>
      </c>
      <c r="F3987" s="23" t="s">
        <v>2584</v>
      </c>
      <c r="G3987" s="23" t="s">
        <v>2584</v>
      </c>
      <c r="H3987" s="29"/>
      <c r="I3987" s="204" t="str">
        <f t="shared" si="1199"/>
        <v>TBA</v>
      </c>
      <c r="J3987" s="188" t="s">
        <v>3733</v>
      </c>
      <c r="K3987" s="29" t="s">
        <v>3734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8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3"/>
        <v>1.13</v>
      </c>
      <c r="Z3987" s="196">
        <f t="shared" si="1212"/>
        <v>680000</v>
      </c>
      <c r="AA3987" s="22">
        <v>1.0669999999999999</v>
      </c>
      <c r="AB3987" s="197">
        <f t="shared" si="1238"/>
        <v>642088.49557522126</v>
      </c>
      <c r="AC3987" s="198">
        <f t="shared" si="1200"/>
        <v>77050.619469026555</v>
      </c>
      <c r="AD3987" s="169">
        <v>0.12</v>
      </c>
      <c r="AE3987" s="199">
        <f t="shared" si="1229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6"/>
        <v>30033846.584070798</v>
      </c>
      <c r="AJ3987" s="200">
        <f t="shared" si="1237"/>
        <v>3534936.4750884958</v>
      </c>
      <c r="AK3987" s="201">
        <f t="shared" si="1230"/>
        <v>0.11769842618039268</v>
      </c>
      <c r="AL3987" s="24"/>
      <c r="AM3987" s="24"/>
      <c r="AN3987" s="24"/>
      <c r="AO3987" s="24"/>
      <c r="AP3987" s="165" t="str">
        <f t="shared" si="1203"/>
        <v>TBATBA</v>
      </c>
      <c r="AQ3987" s="203" t="str">
        <f t="shared" si="1204"/>
        <v>TBATBARMB</v>
      </c>
      <c r="AR3987" s="206" t="str">
        <f t="shared" si="1205"/>
        <v>YAMAHA_Mounter</v>
      </c>
      <c r="AS3987" s="22" t="str">
        <f t="shared" si="1206"/>
        <v/>
      </c>
      <c r="AT3987" s="24" t="str">
        <f t="shared" si="1207"/>
        <v/>
      </c>
      <c r="AU3987" s="22" t="s">
        <v>3751</v>
      </c>
    </row>
    <row r="3988" spans="1:47">
      <c r="A3988" s="33" t="str">
        <f t="shared" si="1198"/>
        <v>FY 24/25</v>
      </c>
      <c r="B3988" s="23">
        <v>2025</v>
      </c>
      <c r="C3988" s="23">
        <v>3</v>
      </c>
      <c r="D3988" s="202" t="str">
        <f t="shared" si="1211"/>
        <v>Q4</v>
      </c>
      <c r="E3988" s="33" t="str">
        <f t="shared" si="1197"/>
        <v>TBA</v>
      </c>
      <c r="F3988" s="23" t="s">
        <v>2584</v>
      </c>
      <c r="G3988" s="23" t="s">
        <v>2584</v>
      </c>
      <c r="H3988" s="29"/>
      <c r="I3988" s="204" t="str">
        <f t="shared" si="1199"/>
        <v>TBA</v>
      </c>
      <c r="J3988" s="188" t="s">
        <v>3735</v>
      </c>
      <c r="K3988" s="29" t="s">
        <v>3736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8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3"/>
        <v>1.13</v>
      </c>
      <c r="Z3988" s="196">
        <f t="shared" si="1212"/>
        <v>410000</v>
      </c>
      <c r="AA3988" s="22">
        <v>1.0669999999999999</v>
      </c>
      <c r="AB3988" s="197">
        <f t="shared" si="1238"/>
        <v>387141.59292035404</v>
      </c>
      <c r="AC3988" s="198">
        <f t="shared" si="1200"/>
        <v>46456.991150442482</v>
      </c>
      <c r="AD3988" s="169">
        <v>0.12</v>
      </c>
      <c r="AE3988" s="199">
        <f t="shared" si="1229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6"/>
        <v>30033846.584070798</v>
      </c>
      <c r="AJ3988" s="200">
        <f t="shared" si="1237"/>
        <v>3534936.4750884958</v>
      </c>
      <c r="AK3988" s="201">
        <f t="shared" si="1230"/>
        <v>0.11769842618039268</v>
      </c>
      <c r="AL3988" s="24"/>
      <c r="AM3988" s="24"/>
      <c r="AN3988" s="24"/>
      <c r="AO3988" s="24"/>
      <c r="AP3988" s="165" t="str">
        <f t="shared" si="1203"/>
        <v>TBATBA</v>
      </c>
      <c r="AQ3988" s="203" t="str">
        <f t="shared" si="1204"/>
        <v>TBATBARMB</v>
      </c>
      <c r="AR3988" s="206" t="str">
        <f t="shared" si="1205"/>
        <v>YAMAHA_Mounter</v>
      </c>
      <c r="AS3988" s="22" t="str">
        <f t="shared" si="1206"/>
        <v/>
      </c>
      <c r="AT3988" s="24" t="str">
        <f t="shared" si="1207"/>
        <v/>
      </c>
      <c r="AU3988" s="22" t="s">
        <v>3240</v>
      </c>
    </row>
    <row r="3989" spans="1:47" ht="26.4">
      <c r="A3989" s="33" t="str">
        <f t="shared" si="1198"/>
        <v>FY 24/25</v>
      </c>
      <c r="B3989" s="23">
        <v>2025</v>
      </c>
      <c r="C3989" s="23">
        <v>3</v>
      </c>
      <c r="D3989" s="202" t="str">
        <f t="shared" si="1211"/>
        <v>Q4</v>
      </c>
      <c r="E3989" s="33" t="str">
        <f t="shared" si="1197"/>
        <v>TBA</v>
      </c>
      <c r="F3989" s="23" t="s">
        <v>2584</v>
      </c>
      <c r="G3989" s="23" t="s">
        <v>2584</v>
      </c>
      <c r="H3989" s="29"/>
      <c r="I3989" s="204" t="str">
        <f t="shared" si="1199"/>
        <v>TBA</v>
      </c>
      <c r="J3989" s="188" t="s">
        <v>3737</v>
      </c>
      <c r="K3989" s="29" t="s">
        <v>1446</v>
      </c>
      <c r="L3989" s="24" t="s">
        <v>3738</v>
      </c>
      <c r="M3989" s="13" t="s">
        <v>60</v>
      </c>
      <c r="N3989" s="22"/>
      <c r="O3989" s="22">
        <v>1</v>
      </c>
      <c r="P3989" s="202" t="str">
        <f t="shared" si="1208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3"/>
        <v>1.13</v>
      </c>
      <c r="Z3989" s="196">
        <f t="shared" si="1212"/>
        <v>15000</v>
      </c>
      <c r="AA3989" s="22">
        <v>1.0669999999999999</v>
      </c>
      <c r="AB3989" s="197">
        <f t="shared" si="1238"/>
        <v>14163.716814159292</v>
      </c>
      <c r="AC3989" s="198">
        <f t="shared" si="1200"/>
        <v>1699.646017699115</v>
      </c>
      <c r="AD3989" s="169">
        <v>0.12</v>
      </c>
      <c r="AE3989" s="199">
        <f t="shared" si="1229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6"/>
        <v>30033846.584070798</v>
      </c>
      <c r="AJ3989" s="200">
        <f t="shared" si="1237"/>
        <v>3534936.4750884958</v>
      </c>
      <c r="AK3989" s="201">
        <f t="shared" si="1230"/>
        <v>0.11769842618039268</v>
      </c>
      <c r="AL3989" s="24"/>
      <c r="AM3989" s="24"/>
      <c r="AN3989" s="24"/>
      <c r="AO3989" s="24"/>
      <c r="AP3989" s="165" t="str">
        <f t="shared" si="1203"/>
        <v>TBATBA</v>
      </c>
      <c r="AQ3989" s="203" t="str">
        <f t="shared" si="1204"/>
        <v>TBATBARMB</v>
      </c>
      <c r="AR3989" s="206" t="str">
        <f t="shared" si="1205"/>
        <v>YAMAHA_Mounter</v>
      </c>
      <c r="AS3989" s="22" t="str">
        <f t="shared" si="1206"/>
        <v/>
      </c>
      <c r="AT3989" s="24" t="str">
        <f t="shared" si="1207"/>
        <v/>
      </c>
      <c r="AU3989" s="22" t="s">
        <v>3240</v>
      </c>
    </row>
    <row r="3990" spans="1:47">
      <c r="A3990" s="33" t="str">
        <f t="shared" si="1198"/>
        <v>FY 24/25</v>
      </c>
      <c r="B3990" s="23">
        <v>2025</v>
      </c>
      <c r="C3990" s="23">
        <v>3</v>
      </c>
      <c r="D3990" s="202" t="str">
        <f t="shared" si="1211"/>
        <v>Q4</v>
      </c>
      <c r="E3990" s="33" t="str">
        <f t="shared" si="1197"/>
        <v>TBA</v>
      </c>
      <c r="F3990" s="23" t="s">
        <v>2584</v>
      </c>
      <c r="G3990" s="23" t="s">
        <v>2584</v>
      </c>
      <c r="H3990" s="29"/>
      <c r="I3990" s="204" t="str">
        <f t="shared" si="1199"/>
        <v>TBA</v>
      </c>
      <c r="J3990" s="188" t="s">
        <v>3739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8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3740</v>
      </c>
      <c r="V3990" s="22" t="s">
        <v>126</v>
      </c>
      <c r="W3990" s="22" t="s">
        <v>64</v>
      </c>
      <c r="X3990" s="104">
        <v>386000</v>
      </c>
      <c r="Y3990" s="195" t="str">
        <f t="shared" si="1213"/>
        <v>1.13</v>
      </c>
      <c r="Z3990" s="196">
        <f t="shared" si="1212"/>
        <v>386000</v>
      </c>
      <c r="AA3990" s="22">
        <v>1.0669999999999999</v>
      </c>
      <c r="AB3990" s="197">
        <f t="shared" si="1238"/>
        <v>364479.64601769909</v>
      </c>
      <c r="AC3990" s="198">
        <f t="shared" si="1200"/>
        <v>43737.557522123891</v>
      </c>
      <c r="AD3990" s="169">
        <v>0.12</v>
      </c>
      <c r="AE3990" s="199">
        <f t="shared" si="1229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6"/>
        <v>30033846.584070798</v>
      </c>
      <c r="AJ3990" s="200">
        <f t="shared" si="1237"/>
        <v>3534936.4750884958</v>
      </c>
      <c r="AK3990" s="201">
        <f t="shared" si="1230"/>
        <v>0.11769842618039268</v>
      </c>
      <c r="AL3990" s="24"/>
      <c r="AM3990" s="24"/>
      <c r="AN3990" s="24"/>
      <c r="AO3990" s="24"/>
      <c r="AP3990" s="165" t="str">
        <f t="shared" si="1203"/>
        <v>TBATBA</v>
      </c>
      <c r="AQ3990" s="203" t="str">
        <f t="shared" si="1204"/>
        <v>TBATBARMB</v>
      </c>
      <c r="AR3990" s="206" t="str">
        <f t="shared" si="1205"/>
        <v>YAMAHA_Mounter</v>
      </c>
      <c r="AS3990" s="22" t="str">
        <f t="shared" si="1206"/>
        <v/>
      </c>
      <c r="AT3990" s="24" t="str">
        <f t="shared" si="1207"/>
        <v/>
      </c>
      <c r="AU3990" s="22" t="s">
        <v>3751</v>
      </c>
    </row>
    <row r="3991" spans="1:47">
      <c r="A3991" s="33" t="str">
        <f t="shared" si="1198"/>
        <v>FY 24/25</v>
      </c>
      <c r="B3991" s="23">
        <v>2025</v>
      </c>
      <c r="C3991" s="23">
        <v>3</v>
      </c>
      <c r="D3991" s="202" t="str">
        <f t="shared" si="1211"/>
        <v>Q4</v>
      </c>
      <c r="E3991" s="33" t="str">
        <f t="shared" si="1197"/>
        <v>TBA</v>
      </c>
      <c r="F3991" s="23" t="s">
        <v>2584</v>
      </c>
      <c r="G3991" s="23" t="s">
        <v>2584</v>
      </c>
      <c r="H3991" s="29"/>
      <c r="I3991" s="204" t="str">
        <f t="shared" si="1199"/>
        <v>TBA</v>
      </c>
      <c r="J3991" s="188" t="s">
        <v>3741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8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3"/>
        <v>1.13</v>
      </c>
      <c r="Z3991" s="196">
        <f t="shared" si="1212"/>
        <v>410000</v>
      </c>
      <c r="AA3991" s="22">
        <v>1.0669999999999999</v>
      </c>
      <c r="AB3991" s="197">
        <f t="shared" si="1238"/>
        <v>387141.59292035404</v>
      </c>
      <c r="AC3991" s="198">
        <f t="shared" si="1200"/>
        <v>46456.991150442482</v>
      </c>
      <c r="AD3991" s="169">
        <v>0.12</v>
      </c>
      <c r="AE3991" s="199">
        <f t="shared" si="1201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36"/>
        <v>30033846.584070798</v>
      </c>
      <c r="AJ3991" s="200">
        <f t="shared" si="1237"/>
        <v>3534936.4750884958</v>
      </c>
      <c r="AK3991" s="201">
        <f t="shared" si="1202"/>
        <v>0.11769842618039268</v>
      </c>
      <c r="AL3991" s="24"/>
      <c r="AM3991" s="24"/>
      <c r="AN3991" s="24"/>
      <c r="AO3991" s="24"/>
      <c r="AP3991" s="165" t="str">
        <f t="shared" si="1203"/>
        <v>TBATBA</v>
      </c>
      <c r="AQ3991" s="203" t="str">
        <f t="shared" si="1204"/>
        <v>TBATBARMB</v>
      </c>
      <c r="AR3991" s="206" t="str">
        <f t="shared" si="1205"/>
        <v>YAMAHA_Mounter</v>
      </c>
      <c r="AS3991" s="22" t="str">
        <f t="shared" si="1206"/>
        <v/>
      </c>
      <c r="AT3991" s="24" t="str">
        <f t="shared" si="1207"/>
        <v/>
      </c>
      <c r="AU3991" s="22" t="s">
        <v>3751</v>
      </c>
    </row>
    <row r="3992" spans="1:47">
      <c r="A3992" s="33" t="str">
        <f t="shared" si="1198"/>
        <v>FY 24/25</v>
      </c>
      <c r="B3992" s="23">
        <v>2025</v>
      </c>
      <c r="C3992" s="23">
        <v>3</v>
      </c>
      <c r="D3992" s="202" t="str">
        <f t="shared" si="1211"/>
        <v>Q4</v>
      </c>
      <c r="E3992" s="33" t="str">
        <f t="shared" ref="E3992:E4001" si="1239">IF(G3992="Cancel","Cancel",IF(G3992="TBA","TBA",IFERROR(IF(I3992="Q4","FY "&amp;RIGHT(F3992,2)-1&amp;"/"&amp;RIGHT(F3992,2),"FY "&amp;RIGHT(F3992,2)&amp;"/"&amp;RIGHT(F3992,2)+1),"")))</f>
        <v>TBA</v>
      </c>
      <c r="F3992" s="23" t="s">
        <v>2584</v>
      </c>
      <c r="G3992" s="23" t="s">
        <v>2584</v>
      </c>
      <c r="H3992" s="29"/>
      <c r="I3992" s="204" t="str">
        <f t="shared" si="1199"/>
        <v>TBA</v>
      </c>
      <c r="J3992" s="188" t="s">
        <v>3742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8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3"/>
        <v>1.13</v>
      </c>
      <c r="Z3992" s="196">
        <f t="shared" si="1212"/>
        <v>393000</v>
      </c>
      <c r="AA3992" s="22">
        <v>1.0669999999999999</v>
      </c>
      <c r="AB3992" s="197">
        <f t="shared" si="1238"/>
        <v>371089.38053097349</v>
      </c>
      <c r="AC3992" s="198">
        <f t="shared" si="1200"/>
        <v>44530.725663716818</v>
      </c>
      <c r="AD3992" s="169">
        <v>0.12</v>
      </c>
      <c r="AE3992" s="199">
        <f t="shared" si="1201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36"/>
        <v>30033846.584070798</v>
      </c>
      <c r="AJ3992" s="200">
        <f t="shared" si="1237"/>
        <v>3534936.4750884958</v>
      </c>
      <c r="AK3992" s="201">
        <f t="shared" si="1202"/>
        <v>0.11769842618039268</v>
      </c>
      <c r="AL3992" s="24"/>
      <c r="AM3992" s="24"/>
      <c r="AN3992" s="24"/>
      <c r="AO3992" s="24"/>
      <c r="AP3992" s="165" t="str">
        <f t="shared" si="1203"/>
        <v>TBATBA</v>
      </c>
      <c r="AQ3992" s="203" t="str">
        <f t="shared" si="1204"/>
        <v>TBATBARMB</v>
      </c>
      <c r="AR3992" s="206" t="str">
        <f t="shared" si="1205"/>
        <v>YAMAHA_Mounter</v>
      </c>
      <c r="AS3992" s="22" t="str">
        <f t="shared" si="1206"/>
        <v/>
      </c>
      <c r="AT3992" s="24" t="str">
        <f t="shared" si="1207"/>
        <v/>
      </c>
      <c r="AU3992" s="22" t="str" cm="1">
        <f t="array" ref="AU3992">IFERROR(
    IF(ISNUMBER(SEARCH("DAP", INDEX('[1]Raw data'!$AG:$AG, MATCH(1, ('[1]Raw data'!$C:$C=J3992) * ('[1]Raw data'!$Y:$Y=X3992), 0)))), "DAP",
    IF(ISNUMBER(SEARCH("CIF", INDEX('[1]Raw data'!$AG:$AG, MATCH(1, ('[1]Raw data'!$C:$C=J3992) * ('[1]Raw data'!$Y:$Y=X3992), 0)))), "CIF",
    IF(ISNUMBER(SEARCH("DDP", INDEX('[1]Raw data'!$AG:$AG, MATCH(1, ('[1]Raw data'!$C:$C=J3992) * ('[1]Raw data'!$Y:$Y=X3992), 0)))), "DDP",
    INDEX('[1]Raw data'!$AG:$AG, MATCH(1, ('[1]Raw data'!$C:$C=J3992) * ('[1]Raw data'!$Y:$Y=X3992), 0))))),
"NA")</f>
        <v>NA</v>
      </c>
    </row>
    <row r="3993" spans="1:47">
      <c r="A3993" s="33" t="str">
        <f t="shared" si="1198"/>
        <v>FY 24/25</v>
      </c>
      <c r="B3993" s="23">
        <v>2025</v>
      </c>
      <c r="C3993" s="23">
        <v>3</v>
      </c>
      <c r="D3993" s="202" t="str">
        <f t="shared" si="1211"/>
        <v>Q4</v>
      </c>
      <c r="E3993" s="33" t="str">
        <f t="shared" si="1239"/>
        <v>TBA</v>
      </c>
      <c r="F3993" s="23" t="s">
        <v>2584</v>
      </c>
      <c r="G3993" s="23" t="s">
        <v>2584</v>
      </c>
      <c r="H3993" s="29"/>
      <c r="I3993" s="204" t="str">
        <f t="shared" si="1199"/>
        <v>TBA</v>
      </c>
      <c r="J3993" s="188" t="s">
        <v>3742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8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3"/>
        <v>1.13</v>
      </c>
      <c r="Z3993" s="196">
        <f t="shared" si="1212"/>
        <v>393000</v>
      </c>
      <c r="AA3993" s="22">
        <v>1.0669999999999999</v>
      </c>
      <c r="AB3993" s="197">
        <f t="shared" si="1238"/>
        <v>371089.38053097349</v>
      </c>
      <c r="AC3993" s="198">
        <f t="shared" si="1200"/>
        <v>44530.725663716818</v>
      </c>
      <c r="AD3993" s="169">
        <v>0.12</v>
      </c>
      <c r="AE3993" s="199">
        <f t="shared" si="1201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36"/>
        <v>30033846.584070798</v>
      </c>
      <c r="AJ3993" s="200">
        <f t="shared" si="1237"/>
        <v>3534936.4750884958</v>
      </c>
      <c r="AK3993" s="201">
        <f t="shared" si="1202"/>
        <v>0.11769842618039268</v>
      </c>
      <c r="AL3993" s="24"/>
      <c r="AM3993" s="24"/>
      <c r="AN3993" s="24"/>
      <c r="AO3993" s="24"/>
      <c r="AP3993" s="165" t="str">
        <f t="shared" si="1203"/>
        <v>TBATBA</v>
      </c>
      <c r="AQ3993" s="203" t="str">
        <f t="shared" si="1204"/>
        <v>TBATBARMB</v>
      </c>
      <c r="AR3993" s="206" t="str">
        <f t="shared" si="1205"/>
        <v>YAMAHA_Mounter</v>
      </c>
      <c r="AS3993" s="22" t="str">
        <f t="shared" si="1206"/>
        <v/>
      </c>
      <c r="AT3993" s="24" t="str">
        <f t="shared" si="1207"/>
        <v/>
      </c>
      <c r="AU3993" s="22" t="str" cm="1">
        <f t="array" ref="AU3993">IFERROR(
    IF(ISNUMBER(SEARCH("DAP", INDEX('[1]Raw data'!$AG:$AG, MATCH(1, ('[1]Raw data'!$C:$C=J3993) * ('[1]Raw data'!$Y:$Y=X3993), 0)))), "DAP",
    IF(ISNUMBER(SEARCH("CIF", INDEX('[1]Raw data'!$AG:$AG, MATCH(1, ('[1]Raw data'!$C:$C=J3993) * ('[1]Raw data'!$Y:$Y=X3993), 0)))), "CIF",
    IF(ISNUMBER(SEARCH("DDP", INDEX('[1]Raw data'!$AG:$AG, MATCH(1, ('[1]Raw data'!$C:$C=J3993) * ('[1]Raw data'!$Y:$Y=X3993), 0)))), "DDP",
    INDEX('[1]Raw data'!$AG:$AG, MATCH(1, ('[1]Raw data'!$C:$C=J3993) * ('[1]Raw data'!$Y:$Y=X3993), 0))))),
"NA")</f>
        <v>NA</v>
      </c>
    </row>
    <row r="3994" spans="1:47">
      <c r="A3994" s="33" t="str">
        <f t="shared" si="1198"/>
        <v>FY 24/25</v>
      </c>
      <c r="B3994" s="23">
        <v>2025</v>
      </c>
      <c r="C3994" s="23">
        <v>3</v>
      </c>
      <c r="D3994" s="202" t="str">
        <f t="shared" si="1211"/>
        <v>Q4</v>
      </c>
      <c r="E3994" s="33" t="str">
        <f t="shared" si="1239"/>
        <v>TBA</v>
      </c>
      <c r="F3994" s="23" t="s">
        <v>2584</v>
      </c>
      <c r="G3994" s="23" t="s">
        <v>2584</v>
      </c>
      <c r="H3994" s="29"/>
      <c r="I3994" s="204" t="str">
        <f t="shared" si="1199"/>
        <v>TBA</v>
      </c>
      <c r="J3994" s="188" t="s">
        <v>3755</v>
      </c>
      <c r="K3994" s="29" t="s">
        <v>91</v>
      </c>
      <c r="L3994" s="24" t="s">
        <v>3717</v>
      </c>
      <c r="M3994" s="13" t="s">
        <v>60</v>
      </c>
      <c r="N3994" s="22">
        <v>1</v>
      </c>
      <c r="O3994" s="22"/>
      <c r="P3994" s="202" t="str">
        <f t="shared" si="1208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213"/>
        <v>1.13</v>
      </c>
      <c r="Z3994" s="196">
        <f t="shared" si="1212"/>
        <v>789386</v>
      </c>
      <c r="AA3994" s="22">
        <v>1.0669999999999999</v>
      </c>
      <c r="AB3994" s="197">
        <f t="shared" si="1238"/>
        <v>745375.9840707964</v>
      </c>
      <c r="AC3994" s="198">
        <f t="shared" si="1200"/>
        <v>89445.118088495568</v>
      </c>
      <c r="AD3994" s="169">
        <v>0.12</v>
      </c>
      <c r="AE3994" s="199">
        <f t="shared" si="1201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 t="shared" si="1236"/>
        <v>30033846.584070798</v>
      </c>
      <c r="AJ3994" s="200">
        <f t="shared" si="1237"/>
        <v>3534936.4750884958</v>
      </c>
      <c r="AK3994" s="201">
        <f t="shared" si="1202"/>
        <v>0.11769842618039268</v>
      </c>
      <c r="AL3994" s="24"/>
      <c r="AM3994" s="24"/>
      <c r="AN3994" s="24"/>
      <c r="AO3994" s="24"/>
      <c r="AP3994" s="165" t="str">
        <f t="shared" si="1203"/>
        <v>TBATBA</v>
      </c>
      <c r="AQ3994" s="203" t="str">
        <f t="shared" si="1204"/>
        <v>TBATBARMB</v>
      </c>
      <c r="AR3994" s="206" t="str">
        <f t="shared" si="1205"/>
        <v>YAMAHA_Mounter</v>
      </c>
      <c r="AS3994" s="22" t="str">
        <f t="shared" si="1206"/>
        <v/>
      </c>
      <c r="AT3994" s="24" t="str">
        <f t="shared" si="1207"/>
        <v/>
      </c>
      <c r="AU3994" s="22" t="str" cm="1">
        <f t="array" ref="AU3994">IFERROR(
    IF(ISNUMBER(SEARCH("DAP", INDEX('[1]Raw data'!$AG:$AG, MATCH(1, ('[1]Raw data'!$C:$C=J3994) * ('[1]Raw data'!$Y:$Y=X3994), 0)))), "DAP",
    IF(ISNUMBER(SEARCH("CIF", INDEX('[1]Raw data'!$AG:$AG, MATCH(1, ('[1]Raw data'!$C:$C=J3994) * ('[1]Raw data'!$Y:$Y=X3994), 0)))), "CIF",
    IF(ISNUMBER(SEARCH("DDP", INDEX('[1]Raw data'!$AG:$AG, MATCH(1, ('[1]Raw data'!$C:$C=J3994) * ('[1]Raw data'!$Y:$Y=X3994), 0)))), "DDP",
    INDEX('[1]Raw data'!$AG:$AG, MATCH(1, ('[1]Raw data'!$C:$C=J3994) * ('[1]Raw data'!$Y:$Y=X3994), 0))))),
"NA")</f>
        <v>NA</v>
      </c>
    </row>
    <row r="3995" spans="1:47">
      <c r="A3995" s="33" t="str">
        <f t="shared" si="1198"/>
        <v>FY 24/25</v>
      </c>
      <c r="B3995" s="23">
        <v>2025</v>
      </c>
      <c r="C3995" s="23">
        <v>3</v>
      </c>
      <c r="D3995" s="202" t="str">
        <f t="shared" si="1211"/>
        <v>Q4</v>
      </c>
      <c r="E3995" s="33" t="str">
        <f t="shared" si="1239"/>
        <v>TBA</v>
      </c>
      <c r="F3995" s="23" t="s">
        <v>2584</v>
      </c>
      <c r="G3995" s="23" t="s">
        <v>2584</v>
      </c>
      <c r="H3995" s="29"/>
      <c r="I3995" s="204" t="str">
        <f t="shared" si="1199"/>
        <v>TBA</v>
      </c>
      <c r="J3995" s="188" t="s">
        <v>3755</v>
      </c>
      <c r="K3995" s="29" t="s">
        <v>91</v>
      </c>
      <c r="L3995" s="24" t="s">
        <v>3717</v>
      </c>
      <c r="M3995" s="13" t="s">
        <v>60</v>
      </c>
      <c r="N3995" s="22">
        <v>1</v>
      </c>
      <c r="O3995" s="22"/>
      <c r="P3995" s="93"/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01" si="1240">IF(W3995="","",IF(W3995="RMB","1.13", "1"))</f>
        <v>1.13</v>
      </c>
      <c r="Z3995" s="196">
        <f t="shared" ref="Z3995:Z4001" si="1241">IF(X3995="","",X3995*MAX(O3995,N3995))</f>
        <v>789386</v>
      </c>
      <c r="AA3995" s="22">
        <v>1.0669999999999999</v>
      </c>
      <c r="AB3995" s="197">
        <f t="shared" ref="AB3995:AB4001" si="1242">IF(AND(R3995&lt;&gt;"C66",R3995&lt;&gt;""),Z3995/Y3995*AA3995,"")</f>
        <v>745375.9840707964</v>
      </c>
      <c r="AC3995" s="198">
        <f t="shared" ref="AC3995:AC4001" si="1243">IF(R3995&lt;&gt;"",AB3995*AD3995,"")</f>
        <v>89445.118088495568</v>
      </c>
      <c r="AD3995" s="169">
        <v>0.12</v>
      </c>
      <c r="AE3995" s="199">
        <f t="shared" ref="AE3995:AE4001" si="1244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ref="AI3995:AI4001" si="1245">IF(P3995="C66 SERVICE","",SUMIFS(AB:AB,F:F,F3995,G:G,G3995,E:E,E3995))</f>
        <v>30033846.584070798</v>
      </c>
      <c r="AJ3995" s="200">
        <f t="shared" ref="AJ3995:AJ4001" si="1246">IF(P3995="C66 SERVICE","",SUMIFS(AC:AC,F:F,F3995,G:G,G3995,E:E,E3995))</f>
        <v>3534936.4750884958</v>
      </c>
      <c r="AK3995" s="201">
        <f t="shared" ref="AK3995:AK4001" si="1247">IF(AJ3995&gt;0,AJ3995/AI3995,"")</f>
        <v>0.11769842618039268</v>
      </c>
      <c r="AL3995" s="24"/>
      <c r="AM3995" s="24"/>
      <c r="AN3995" s="24"/>
      <c r="AO3995" s="24"/>
      <c r="AP3995" s="165" t="str">
        <f t="shared" si="1203"/>
        <v>TBATBA</v>
      </c>
      <c r="AQ3995" s="203" t="str">
        <f t="shared" si="1204"/>
        <v>TBATBARMB</v>
      </c>
      <c r="AR3995" s="206" t="str">
        <f t="shared" si="1205"/>
        <v>YAMAHA_Mounter</v>
      </c>
      <c r="AS3995" s="22" t="str">
        <f t="shared" si="1206"/>
        <v/>
      </c>
      <c r="AT3995" s="24" t="str">
        <f t="shared" si="1207"/>
        <v/>
      </c>
      <c r="AU3995" s="22" t="str" cm="1">
        <f t="array" ref="AU3995">IFERROR(
    IF(ISNUMBER(SEARCH("DAP", INDEX('[1]Raw data'!$AG:$AG, MATCH(1, ('[1]Raw data'!$C:$C=J3995) * ('[1]Raw data'!$Y:$Y=X3995), 0)))), "DAP",
    IF(ISNUMBER(SEARCH("CIF", INDEX('[1]Raw data'!$AG:$AG, MATCH(1, ('[1]Raw data'!$C:$C=J3995) * ('[1]Raw data'!$Y:$Y=X3995), 0)))), "CIF",
    IF(ISNUMBER(SEARCH("DDP", INDEX('[1]Raw data'!$AG:$AG, MATCH(1, ('[1]Raw data'!$C:$C=J3995) * ('[1]Raw data'!$Y:$Y=X3995), 0)))), "DDP",
    INDEX('[1]Raw data'!$AG:$AG, MATCH(1, ('[1]Raw data'!$C:$C=J3995) * ('[1]Raw data'!$Y:$Y=X3995), 0))))),
"NA")</f>
        <v>NA</v>
      </c>
    </row>
    <row r="3996" spans="1:47">
      <c r="A3996" s="33" t="str">
        <f t="shared" si="1198"/>
        <v>FY 24/25</v>
      </c>
      <c r="B3996" s="23">
        <v>2025</v>
      </c>
      <c r="C3996" s="23">
        <v>3</v>
      </c>
      <c r="D3996" s="202" t="str">
        <f t="shared" si="1211"/>
        <v>Q4</v>
      </c>
      <c r="E3996" s="33" t="str">
        <f t="shared" si="1239"/>
        <v>TBA</v>
      </c>
      <c r="F3996" s="23" t="s">
        <v>2584</v>
      </c>
      <c r="G3996" s="23" t="s">
        <v>2584</v>
      </c>
      <c r="H3996" s="29"/>
      <c r="I3996" s="204" t="str">
        <f t="shared" si="1199"/>
        <v>TBA</v>
      </c>
      <c r="J3996" s="188" t="s">
        <v>3755</v>
      </c>
      <c r="K3996" s="29" t="s">
        <v>91</v>
      </c>
      <c r="L3996" s="24" t="s">
        <v>3717</v>
      </c>
      <c r="M3996" s="13" t="s">
        <v>60</v>
      </c>
      <c r="N3996" s="22">
        <v>1</v>
      </c>
      <c r="O3996" s="22"/>
      <c r="P3996" s="93"/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240"/>
        <v>1.13</v>
      </c>
      <c r="Z3996" s="196">
        <f t="shared" si="1241"/>
        <v>789386</v>
      </c>
      <c r="AA3996" s="22">
        <v>1.0669999999999999</v>
      </c>
      <c r="AB3996" s="197">
        <f t="shared" si="1242"/>
        <v>745375.9840707964</v>
      </c>
      <c r="AC3996" s="198">
        <f t="shared" si="1243"/>
        <v>89445.118088495568</v>
      </c>
      <c r="AD3996" s="169">
        <v>0.12</v>
      </c>
      <c r="AE3996" s="199">
        <f t="shared" si="1244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245"/>
        <v>30033846.584070798</v>
      </c>
      <c r="AJ3996" s="200">
        <f t="shared" si="1246"/>
        <v>3534936.4750884958</v>
      </c>
      <c r="AK3996" s="201">
        <f t="shared" si="1247"/>
        <v>0.11769842618039268</v>
      </c>
      <c r="AL3996" s="24"/>
      <c r="AM3996" s="24"/>
      <c r="AN3996" s="24"/>
      <c r="AO3996" s="24"/>
      <c r="AP3996" s="165" t="str">
        <f t="shared" si="1203"/>
        <v>TBATBA</v>
      </c>
      <c r="AQ3996" s="203" t="str">
        <f t="shared" si="1204"/>
        <v>TBATBARMB</v>
      </c>
      <c r="AR3996" s="206" t="str">
        <f t="shared" si="1205"/>
        <v>YAMAHA_Mounter</v>
      </c>
      <c r="AS3996" s="22" t="str">
        <f t="shared" si="1206"/>
        <v/>
      </c>
      <c r="AT3996" s="24" t="str">
        <f t="shared" si="1207"/>
        <v/>
      </c>
      <c r="AU3996" s="22" t="str" cm="1">
        <f t="array" ref="AU3996">IFERROR(
    IF(ISNUMBER(SEARCH("DAP", INDEX('[1]Raw data'!$AG:$AG, MATCH(1, ('[1]Raw data'!$C:$C=J3996) * ('[1]Raw data'!$Y:$Y=X3996), 0)))), "DAP",
    IF(ISNUMBER(SEARCH("CIF", INDEX('[1]Raw data'!$AG:$AG, MATCH(1, ('[1]Raw data'!$C:$C=J3996) * ('[1]Raw data'!$Y:$Y=X3996), 0)))), "CIF",
    IF(ISNUMBER(SEARCH("DDP", INDEX('[1]Raw data'!$AG:$AG, MATCH(1, ('[1]Raw data'!$C:$C=J3996) * ('[1]Raw data'!$Y:$Y=X3996), 0)))), "DDP",
    INDEX('[1]Raw data'!$AG:$AG, MATCH(1, ('[1]Raw data'!$C:$C=J3996) * ('[1]Raw data'!$Y:$Y=X3996), 0))))),
"NA")</f>
        <v>NA</v>
      </c>
    </row>
    <row r="3997" spans="1:47">
      <c r="A3997" s="33" t="str">
        <f t="shared" si="1198"/>
        <v>FY 24/25</v>
      </c>
      <c r="B3997" s="23">
        <v>2025</v>
      </c>
      <c r="C3997" s="23">
        <v>3</v>
      </c>
      <c r="D3997" s="202" t="str">
        <f t="shared" si="1211"/>
        <v>Q4</v>
      </c>
      <c r="E3997" s="33" t="str">
        <f t="shared" si="1239"/>
        <v>TBA</v>
      </c>
      <c r="F3997" s="23" t="s">
        <v>2584</v>
      </c>
      <c r="G3997" s="23" t="s">
        <v>2584</v>
      </c>
      <c r="H3997" s="29"/>
      <c r="I3997" s="204" t="str">
        <f t="shared" si="1199"/>
        <v>TBA</v>
      </c>
      <c r="J3997" s="188" t="s">
        <v>3755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93"/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240"/>
        <v>1.13</v>
      </c>
      <c r="Z3997" s="196">
        <f t="shared" si="1241"/>
        <v>495471</v>
      </c>
      <c r="AA3997" s="22">
        <v>1.0669999999999999</v>
      </c>
      <c r="AB3997" s="197">
        <f t="shared" si="1242"/>
        <v>467847.39557522128</v>
      </c>
      <c r="AC3997" s="198">
        <f t="shared" si="1243"/>
        <v>56141.687469026554</v>
      </c>
      <c r="AD3997" s="169">
        <v>0.12</v>
      </c>
      <c r="AE3997" s="199">
        <f t="shared" si="1244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245"/>
        <v>30033846.584070798</v>
      </c>
      <c r="AJ3997" s="200">
        <f t="shared" si="1246"/>
        <v>3534936.4750884958</v>
      </c>
      <c r="AK3997" s="201">
        <f t="shared" si="1247"/>
        <v>0.11769842618039268</v>
      </c>
      <c r="AL3997" s="24"/>
      <c r="AM3997" s="24"/>
      <c r="AN3997" s="24"/>
      <c r="AO3997" s="24"/>
      <c r="AP3997" s="165" t="str">
        <f>IF(F3997="","",F3997&amp;G3997)</f>
        <v>TBATBA</v>
      </c>
      <c r="AQ3997" s="166" t="str">
        <f>IF(W3997="","",F3997&amp;G3997&amp;W3997)</f>
        <v>TBATBARMB</v>
      </c>
      <c r="AR3997" s="206" t="str">
        <f>IFERROR(IF(AND(M3997="YAMAHA", R3997="C28"), "YAMAHA_Non_Mounter", IF(AND(M3997="YAMAHA", R3997="C49"), "YAMAHA_Mounter", M3997)),"")</f>
        <v>YAMAHA_Mounter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  <c r="AU3997" s="22" t="str" cm="1">
        <f t="array" ref="AU3997">IFERROR(
    IF(ISNUMBER(SEARCH("DAP", INDEX('[1]Raw data'!$AG:$AG, MATCH(1, ('[1]Raw data'!$C:$C=J3997) * ('[1]Raw data'!$Y:$Y=X3997), 0)))), "DAP",
    IF(ISNUMBER(SEARCH("CIF", INDEX('[1]Raw data'!$AG:$AG, MATCH(1, ('[1]Raw data'!$C:$C=J3997) * ('[1]Raw data'!$Y:$Y=X3997), 0)))), "CIF",
    IF(ISNUMBER(SEARCH("DDP", INDEX('[1]Raw data'!$AG:$AG, MATCH(1, ('[1]Raw data'!$C:$C=J3997) * ('[1]Raw data'!$Y:$Y=X3997), 0)))), "DDP",
    INDEX('[1]Raw data'!$AG:$AG, MATCH(1, ('[1]Raw data'!$C:$C=J3997) * ('[1]Raw data'!$Y:$Y=X3997), 0))))),
"NA")</f>
        <v>NA</v>
      </c>
    </row>
    <row r="3998" spans="1:47">
      <c r="A3998" s="33" t="str">
        <f t="shared" si="1198"/>
        <v>FY 24/25</v>
      </c>
      <c r="B3998" s="23">
        <v>2025</v>
      </c>
      <c r="C3998" s="23">
        <v>3</v>
      </c>
      <c r="D3998" s="202" t="str">
        <f t="shared" si="1211"/>
        <v>Q4</v>
      </c>
      <c r="E3998" s="33" t="str">
        <f t="shared" si="1239"/>
        <v>TBA</v>
      </c>
      <c r="F3998" s="23" t="s">
        <v>2584</v>
      </c>
      <c r="G3998" s="23" t="s">
        <v>2584</v>
      </c>
      <c r="H3998" s="29"/>
      <c r="I3998" s="204" t="str">
        <f t="shared" si="1199"/>
        <v>TBA</v>
      </c>
      <c r="J3998" s="188" t="s">
        <v>3755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93"/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240"/>
        <v>1.13</v>
      </c>
      <c r="Z3998" s="196">
        <f t="shared" si="1241"/>
        <v>495471</v>
      </c>
      <c r="AA3998" s="22">
        <v>1.0669999999999999</v>
      </c>
      <c r="AB3998" s="197">
        <f t="shared" si="1242"/>
        <v>467847.39557522128</v>
      </c>
      <c r="AC3998" s="198">
        <f t="shared" si="1243"/>
        <v>56141.687469026554</v>
      </c>
      <c r="AD3998" s="169">
        <v>0.12</v>
      </c>
      <c r="AE3998" s="199">
        <f t="shared" si="1244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245"/>
        <v>30033846.584070798</v>
      </c>
      <c r="AJ3998" s="200">
        <f t="shared" si="1246"/>
        <v>3534936.4750884958</v>
      </c>
      <c r="AK3998" s="201">
        <f t="shared" si="1247"/>
        <v>0.11769842618039268</v>
      </c>
      <c r="AL3998" s="24"/>
      <c r="AM3998" s="24"/>
      <c r="AN3998" s="24"/>
      <c r="AO3998" s="24"/>
      <c r="AP3998" s="165" t="str">
        <f t="shared" ref="AP3998:AP4001" si="1248">IF(F3998="","",F3998&amp;G3998)</f>
        <v>TBATBA</v>
      </c>
      <c r="AQ3998" s="203" t="str">
        <f t="shared" ref="AQ3998:AQ4001" si="1249">IF(W3998="","",F3998&amp;G3998&amp;W3998)</f>
        <v>TBATBARMB</v>
      </c>
      <c r="AR3998" s="206" t="str">
        <f t="shared" ref="AR3998:AR4001" si="1250">IFERROR(IF(AND(M3998="YAMAHA", R3998="C28"), "YAMAHA_Non_Mounter", IF(AND(M3998="YAMAHA", R3998="C49"), "YAMAHA_Mounter", M3998)),"")</f>
        <v>YAMAHA_Mounter</v>
      </c>
      <c r="AS3998" s="22" t="str">
        <f t="shared" ref="AS3998:AS4001" si="1251">IFERROR(IF(OR(G3998="TBA", G3998=""), "", DATEDIF(DATE(B3998, C3998, 1), DATE(F3998, G3998, 1), "M")),"")</f>
        <v/>
      </c>
      <c r="AT3998" s="24" t="str">
        <f t="shared" ref="AT3998:AT4001" si="1252">IF(ISNUMBER(AS3998), IF(AS3998&gt;=0, IF(AS3998&lt;=3, "0-3 months", IF(AS3998&lt;=6, "4-6 months", "&gt; 6 months"))), "")</f>
        <v/>
      </c>
      <c r="AU3998" s="22" t="str" cm="1">
        <f t="array" ref="AU3998">IFERROR(
    IF(ISNUMBER(SEARCH("DAP", INDEX('[1]Raw data'!$AG:$AG, MATCH(1, ('[1]Raw data'!$C:$C=J3998) * ('[1]Raw data'!$Y:$Y=X3998), 0)))), "DAP",
    IF(ISNUMBER(SEARCH("CIF", INDEX('[1]Raw data'!$AG:$AG, MATCH(1, ('[1]Raw data'!$C:$C=J3998) * ('[1]Raw data'!$Y:$Y=X3998), 0)))), "CIF",
    IF(ISNUMBER(SEARCH("DDP", INDEX('[1]Raw data'!$AG:$AG, MATCH(1, ('[1]Raw data'!$C:$C=J3998) * ('[1]Raw data'!$Y:$Y=X3998), 0)))), "DDP",
    INDEX('[1]Raw data'!$AG:$AG, MATCH(1, ('[1]Raw data'!$C:$C=J3998) * ('[1]Raw data'!$Y:$Y=X3998), 0))))),
"NA")</f>
        <v>NA</v>
      </c>
    </row>
    <row r="3999" spans="1:47">
      <c r="A3999" s="33" t="str">
        <f t="shared" si="1198"/>
        <v>FY 24/25</v>
      </c>
      <c r="B3999" s="23">
        <v>2025</v>
      </c>
      <c r="C3999" s="23">
        <v>3</v>
      </c>
      <c r="D3999" s="202" t="str">
        <f t="shared" si="1211"/>
        <v>Q4</v>
      </c>
      <c r="E3999" s="33" t="str">
        <f t="shared" si="1239"/>
        <v>TBA</v>
      </c>
      <c r="F3999" s="23" t="s">
        <v>2584</v>
      </c>
      <c r="G3999" s="23" t="s">
        <v>2584</v>
      </c>
      <c r="H3999" s="29"/>
      <c r="I3999" s="204" t="str">
        <f t="shared" si="1199"/>
        <v>TBA</v>
      </c>
      <c r="J3999" s="188" t="s">
        <v>3756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93"/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240"/>
        <v>1.13</v>
      </c>
      <c r="Z3999" s="196">
        <f t="shared" si="1241"/>
        <v>420000</v>
      </c>
      <c r="AA3999" s="22">
        <v>1.0669999999999999</v>
      </c>
      <c r="AB3999" s="197">
        <f t="shared" si="1242"/>
        <v>396584.0707964602</v>
      </c>
      <c r="AC3999" s="198">
        <f t="shared" si="1243"/>
        <v>47590.088495575226</v>
      </c>
      <c r="AD3999" s="169">
        <v>0.12</v>
      </c>
      <c r="AE3999" s="199">
        <f t="shared" si="1244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245"/>
        <v>30033846.584070798</v>
      </c>
      <c r="AJ3999" s="200">
        <f t="shared" si="1246"/>
        <v>3534936.4750884958</v>
      </c>
      <c r="AK3999" s="201">
        <f t="shared" si="1247"/>
        <v>0.11769842618039268</v>
      </c>
      <c r="AL3999" s="24"/>
      <c r="AM3999" s="24"/>
      <c r="AN3999" s="24"/>
      <c r="AO3999" s="24"/>
      <c r="AP3999" s="165" t="str">
        <f t="shared" si="1248"/>
        <v>TBATBA</v>
      </c>
      <c r="AQ3999" s="203" t="str">
        <f t="shared" si="1249"/>
        <v>TBATBARMB</v>
      </c>
      <c r="AR3999" s="206" t="str">
        <f t="shared" si="1250"/>
        <v>YAMAHA_Non_Mounter</v>
      </c>
      <c r="AS3999" s="22" t="str">
        <f t="shared" si="1251"/>
        <v/>
      </c>
      <c r="AT3999" s="24" t="str">
        <f t="shared" si="1252"/>
        <v/>
      </c>
      <c r="AU3999" s="22" t="str" cm="1">
        <f t="array" ref="AU3999">IFERROR(
    IF(ISNUMBER(SEARCH("DAP", INDEX('[1]Raw data'!$AG:$AG, MATCH(1, ('[1]Raw data'!$C:$C=J3999) * ('[1]Raw data'!$Y:$Y=X3999), 0)))), "DAP",
    IF(ISNUMBER(SEARCH("CIF", INDEX('[1]Raw data'!$AG:$AG, MATCH(1, ('[1]Raw data'!$C:$C=J3999) * ('[1]Raw data'!$Y:$Y=X3999), 0)))), "CIF",
    IF(ISNUMBER(SEARCH("DDP", INDEX('[1]Raw data'!$AG:$AG, MATCH(1, ('[1]Raw data'!$C:$C=J3999) * ('[1]Raw data'!$Y:$Y=X3999), 0)))), "DDP",
    INDEX('[1]Raw data'!$AG:$AG, MATCH(1, ('[1]Raw data'!$C:$C=J3999) * ('[1]Raw data'!$Y:$Y=X3999), 0))))),
"NA")</f>
        <v>NA</v>
      </c>
    </row>
    <row r="4000" spans="1:47">
      <c r="A4000" s="33" t="str">
        <f t="shared" ref="A4000:A4001" si="1253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211"/>
        <v>Q4</v>
      </c>
      <c r="E4000" s="33" t="str">
        <f t="shared" si="1239"/>
        <v>TBA</v>
      </c>
      <c r="F4000" s="23" t="s">
        <v>2584</v>
      </c>
      <c r="G4000" s="23" t="s">
        <v>2584</v>
      </c>
      <c r="H4000" s="29"/>
      <c r="I4000" s="204" t="str">
        <f t="shared" ref="I4000:I4001" si="1254">IFERROR(IF(F4000="","",IF(F4000="TBA","TBA",IF(F4000="Cancel","Cancel",IF(AND(G4000&gt;=10,G4000&lt;=12),"Q3",IF(AND(G4000&gt;=1,G4000&lt;=3),"Q4",IF(AND(G4000&gt;=7,G4000&lt;=9),"Q2",IF(AND(G4000&gt;=4,G4000&lt;=6),"Q1"))))))),"")</f>
        <v>TBA</v>
      </c>
      <c r="J4000" s="188" t="s">
        <v>3756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93"/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240"/>
        <v>1.13</v>
      </c>
      <c r="Z4000" s="196">
        <f t="shared" si="1241"/>
        <v>420000</v>
      </c>
      <c r="AA4000" s="22">
        <v>1.0669999999999999</v>
      </c>
      <c r="AB4000" s="197">
        <f t="shared" si="1242"/>
        <v>396584.0707964602</v>
      </c>
      <c r="AC4000" s="198">
        <f t="shared" si="1243"/>
        <v>47590.088495575226</v>
      </c>
      <c r="AD4000" s="169">
        <v>0.12</v>
      </c>
      <c r="AE4000" s="199">
        <f t="shared" si="1244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245"/>
        <v>30033846.584070798</v>
      </c>
      <c r="AJ4000" s="200">
        <f t="shared" si="1246"/>
        <v>3534936.4750884958</v>
      </c>
      <c r="AK4000" s="201">
        <f t="shared" si="1247"/>
        <v>0.11769842618039268</v>
      </c>
      <c r="AL4000" s="24"/>
      <c r="AM4000" s="24"/>
      <c r="AN4000" s="24"/>
      <c r="AO4000" s="24"/>
      <c r="AP4000" s="165" t="str">
        <f t="shared" si="1248"/>
        <v>TBATBA</v>
      </c>
      <c r="AQ4000" s="203" t="str">
        <f t="shared" si="1249"/>
        <v>TBATBARMB</v>
      </c>
      <c r="AR4000" s="206" t="str">
        <f t="shared" si="1250"/>
        <v>YAMAHA_Non_Mounter</v>
      </c>
      <c r="AS4000" s="22" t="str">
        <f t="shared" si="1251"/>
        <v/>
      </c>
      <c r="AT4000" s="24" t="str">
        <f t="shared" si="1252"/>
        <v/>
      </c>
      <c r="AU4000" s="22" t="str" cm="1">
        <f t="array" ref="AU4000">IFERROR(
    IF(ISNUMBER(SEARCH("DAP", INDEX('[1]Raw data'!$AG:$AG, MATCH(1, ('[1]Raw data'!$C:$C=J4000) * ('[1]Raw data'!$Y:$Y=X4000), 0)))), "DAP",
    IF(ISNUMBER(SEARCH("CIF", INDEX('[1]Raw data'!$AG:$AG, MATCH(1, ('[1]Raw data'!$C:$C=J4000) * ('[1]Raw data'!$Y:$Y=X4000), 0)))), "CIF",
    IF(ISNUMBER(SEARCH("DDP", INDEX('[1]Raw data'!$AG:$AG, MATCH(1, ('[1]Raw data'!$C:$C=J4000) * ('[1]Raw data'!$Y:$Y=X4000), 0)))), "DDP",
    INDEX('[1]Raw data'!$AG:$AG, MATCH(1, ('[1]Raw data'!$C:$C=J4000) * ('[1]Raw data'!$Y:$Y=X4000), 0))))),
"NA")</f>
        <v>NA</v>
      </c>
    </row>
    <row r="4001" spans="1:47">
      <c r="A4001" s="33" t="str">
        <f t="shared" si="1253"/>
        <v>FY 24/25</v>
      </c>
      <c r="B4001" s="23">
        <v>2025</v>
      </c>
      <c r="C4001" s="23">
        <v>3</v>
      </c>
      <c r="D4001" s="202" t="str">
        <f t="shared" si="1211"/>
        <v>Q4</v>
      </c>
      <c r="E4001" s="33" t="str">
        <f t="shared" si="1239"/>
        <v>TBA</v>
      </c>
      <c r="F4001" s="23" t="s">
        <v>2584</v>
      </c>
      <c r="G4001" s="23" t="s">
        <v>2584</v>
      </c>
      <c r="H4001" s="29"/>
      <c r="I4001" s="204" t="str">
        <f t="shared" si="1254"/>
        <v>TBA</v>
      </c>
      <c r="J4001" s="188" t="s">
        <v>3756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93"/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240"/>
        <v>1.13</v>
      </c>
      <c r="Z4001" s="196">
        <f t="shared" si="1241"/>
        <v>420000</v>
      </c>
      <c r="AA4001" s="22">
        <v>1.0669999999999999</v>
      </c>
      <c r="AB4001" s="197">
        <f t="shared" si="1242"/>
        <v>396584.0707964602</v>
      </c>
      <c r="AC4001" s="198">
        <f t="shared" si="1243"/>
        <v>47590.088495575226</v>
      </c>
      <c r="AD4001" s="169">
        <v>0.12</v>
      </c>
      <c r="AE4001" s="199">
        <f t="shared" si="1244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245"/>
        <v>30033846.584070798</v>
      </c>
      <c r="AJ4001" s="200">
        <f t="shared" si="1246"/>
        <v>3534936.4750884958</v>
      </c>
      <c r="AK4001" s="201">
        <f t="shared" si="1247"/>
        <v>0.11769842618039268</v>
      </c>
      <c r="AL4001" s="24"/>
      <c r="AM4001" s="24"/>
      <c r="AN4001" s="24"/>
      <c r="AO4001" s="24"/>
      <c r="AP4001" s="165" t="str">
        <f t="shared" si="1248"/>
        <v>TBATBA</v>
      </c>
      <c r="AQ4001" s="203" t="str">
        <f t="shared" si="1249"/>
        <v>TBATBARMB</v>
      </c>
      <c r="AR4001" s="206" t="str">
        <f t="shared" si="1250"/>
        <v>YAMAHA_Non_Mounter</v>
      </c>
      <c r="AS4001" s="22" t="str">
        <f t="shared" si="1251"/>
        <v/>
      </c>
      <c r="AT4001" s="24" t="str">
        <f t="shared" si="1252"/>
        <v/>
      </c>
      <c r="AU4001" s="22" t="str" cm="1">
        <f t="array" ref="AU4001">IFERROR(
    IF(ISNUMBER(SEARCH("DAP", INDEX('[1]Raw data'!$AG:$AG, MATCH(1, ('[1]Raw data'!$C:$C=J4001) * ('[1]Raw data'!$Y:$Y=X4001), 0)))), "DAP",
    IF(ISNUMBER(SEARCH("CIF", INDEX('[1]Raw data'!$AG:$AG, MATCH(1, ('[1]Raw data'!$C:$C=J4001) * ('[1]Raw data'!$Y:$Y=X4001), 0)))), "CIF",
    IF(ISNUMBER(SEARCH("DDP", INDEX('[1]Raw data'!$AG:$AG, MATCH(1, ('[1]Raw data'!$C:$C=J4001) * ('[1]Raw data'!$Y:$Y=X4001), 0)))), "DDP",
    INDEX('[1]Raw data'!$AG:$AG, MATCH(1, ('[1]Raw data'!$C:$C=J4001) * ('[1]Raw data'!$Y:$Y=X4001), 0))))),
"NA")</f>
        <v>NA</v>
      </c>
    </row>
    <row r="4002" spans="1:47">
      <c r="J4002" s="186"/>
    </row>
    <row r="4003" spans="1:47">
      <c r="AA4003" s="22"/>
    </row>
    <row r="4004" spans="1:47">
      <c r="F4004" s="229"/>
    </row>
    <row r="4007" spans="1:47">
      <c r="AD4007" s="220"/>
    </row>
    <row r="4011" spans="1:47">
      <c r="I4011" s="229"/>
    </row>
    <row r="7020" spans="43:44">
      <c r="AQ7020" s="8"/>
      <c r="AR7020" s="207"/>
    </row>
    <row r="10531" spans="43:44">
      <c r="AQ10531" s="8"/>
      <c r="AR10531" s="207"/>
    </row>
    <row r="14042" spans="43:44">
      <c r="AQ14042" s="8"/>
      <c r="AR14042" s="207"/>
    </row>
    <row r="17553" spans="43:44">
      <c r="AQ17553" s="8"/>
      <c r="AR17553" s="207"/>
    </row>
    <row r="21064" spans="43:44">
      <c r="AQ21064" s="8"/>
      <c r="AR21064" s="207"/>
    </row>
    <row r="24575" spans="43:44">
      <c r="AQ24575" s="8"/>
      <c r="AR24575" s="207"/>
    </row>
    <row r="28086" spans="43:44">
      <c r="AQ28086" s="8"/>
      <c r="AR28086" s="207"/>
    </row>
    <row r="31597" spans="43:44">
      <c r="AQ31597" s="8"/>
      <c r="AR31597" s="207"/>
    </row>
    <row r="35108" spans="43:44">
      <c r="AQ35108" s="8"/>
      <c r="AR35108" s="207"/>
    </row>
    <row r="38619" spans="43:44">
      <c r="AQ38619" s="8"/>
      <c r="AR38619" s="207"/>
    </row>
    <row r="42130" spans="43:44">
      <c r="AQ42130" s="8"/>
      <c r="AR42130" s="207"/>
    </row>
    <row r="45641" spans="43:44">
      <c r="AQ45641" s="8"/>
      <c r="AR45641" s="207"/>
    </row>
    <row r="49152" spans="43:44">
      <c r="AQ49152" s="8"/>
      <c r="AR49152" s="207"/>
    </row>
    <row r="52663" spans="43:44">
      <c r="AQ52663" s="8"/>
      <c r="AR52663" s="207"/>
    </row>
    <row r="56174" spans="43:44">
      <c r="AQ56174" s="8"/>
      <c r="AR56174" s="207"/>
    </row>
    <row r="59685" spans="43:44">
      <c r="AQ59685" s="8"/>
      <c r="AR59685" s="207"/>
    </row>
    <row r="63196" spans="43:44">
      <c r="AQ63196" s="8"/>
      <c r="AR63196" s="207"/>
    </row>
    <row r="66707" spans="43:44">
      <c r="AQ66707" s="8"/>
      <c r="AR66707" s="207"/>
    </row>
    <row r="70218" spans="43:44">
      <c r="AQ70218" s="8"/>
      <c r="AR70218" s="207"/>
    </row>
    <row r="73729" spans="43:44">
      <c r="AQ73729" s="8"/>
      <c r="AR73729" s="207"/>
    </row>
    <row r="77240" spans="43:44">
      <c r="AQ77240" s="8"/>
      <c r="AR77240" s="207"/>
    </row>
    <row r="80751" spans="43:44">
      <c r="AQ80751" s="8"/>
      <c r="AR80751" s="207"/>
    </row>
    <row r="84262" spans="43:44">
      <c r="AQ84262" s="8"/>
      <c r="AR84262" s="207"/>
    </row>
    <row r="87773" spans="43:44">
      <c r="AQ87773" s="8"/>
      <c r="AR87773" s="207"/>
    </row>
    <row r="91284" spans="43:44">
      <c r="AQ91284" s="8"/>
      <c r="AR91284" s="207"/>
    </row>
    <row r="94795" spans="43:44">
      <c r="AQ94795" s="8"/>
      <c r="AR94795" s="207"/>
    </row>
    <row r="98306" spans="43:44">
      <c r="AQ98306" s="8"/>
      <c r="AR98306" s="207"/>
    </row>
    <row r="101817" spans="43:44">
      <c r="AQ101817" s="8"/>
      <c r="AR101817" s="207"/>
    </row>
    <row r="105328" spans="43:44">
      <c r="AQ105328" s="8"/>
      <c r="AR105328" s="207"/>
    </row>
    <row r="108839" spans="43:44">
      <c r="AQ108839" s="8"/>
      <c r="AR108839" s="207"/>
    </row>
    <row r="112350" spans="43:44">
      <c r="AQ112350" s="8"/>
      <c r="AR112350" s="207"/>
    </row>
    <row r="115861" spans="43:44">
      <c r="AQ115861" s="8"/>
      <c r="AR115861" s="207"/>
    </row>
    <row r="119372" spans="43:44">
      <c r="AQ119372" s="8"/>
      <c r="AR119372" s="207"/>
    </row>
    <row r="122883" spans="43:44">
      <c r="AQ122883" s="8"/>
      <c r="AR122883" s="207"/>
    </row>
    <row r="126394" spans="43:44">
      <c r="AQ126394" s="8"/>
      <c r="AR126394" s="207"/>
    </row>
    <row r="129905" spans="43:44">
      <c r="AQ129905" s="8"/>
      <c r="AR129905" s="207"/>
    </row>
    <row r="133416" spans="43:44">
      <c r="AQ133416" s="8"/>
      <c r="AR133416" s="207"/>
    </row>
    <row r="136927" spans="43:44">
      <c r="AQ136927" s="8"/>
      <c r="AR136927" s="207"/>
    </row>
    <row r="140438" spans="43:44">
      <c r="AQ140438" s="8"/>
      <c r="AR140438" s="207"/>
    </row>
    <row r="143949" spans="43:44">
      <c r="AQ143949" s="8"/>
      <c r="AR143949" s="207"/>
    </row>
    <row r="147460" spans="43:44">
      <c r="AQ147460" s="8"/>
      <c r="AR147460" s="207"/>
    </row>
    <row r="150971" spans="43:44">
      <c r="AQ150971" s="8"/>
      <c r="AR150971" s="207"/>
    </row>
    <row r="154482" spans="43:44">
      <c r="AQ154482" s="8"/>
      <c r="AR154482" s="207"/>
    </row>
    <row r="157993" spans="43:44">
      <c r="AQ157993" s="8"/>
      <c r="AR157993" s="207"/>
    </row>
    <row r="161504" spans="43:44">
      <c r="AQ161504" s="8"/>
      <c r="AR161504" s="207"/>
    </row>
    <row r="165015" spans="43:44">
      <c r="AQ165015" s="8"/>
      <c r="AR165015" s="207"/>
    </row>
    <row r="168526" spans="43:44">
      <c r="AQ168526" s="8"/>
      <c r="AR168526" s="207"/>
    </row>
    <row r="172037" spans="43:44">
      <c r="AQ172037" s="8"/>
      <c r="AR172037" s="207"/>
    </row>
    <row r="175548" spans="43:44">
      <c r="AQ175548" s="8"/>
      <c r="AR175548" s="207"/>
    </row>
    <row r="179059" spans="43:44">
      <c r="AQ179059" s="8"/>
      <c r="AR179059" s="207"/>
    </row>
    <row r="182570" spans="43:44">
      <c r="AQ182570" s="8"/>
      <c r="AR182570" s="207"/>
    </row>
    <row r="186081" spans="43:44">
      <c r="AQ186081" s="8"/>
      <c r="AR186081" s="207"/>
    </row>
    <row r="189592" spans="43:44">
      <c r="AQ189592" s="8"/>
      <c r="AR189592" s="207"/>
    </row>
    <row r="193103" spans="43:44">
      <c r="AQ193103" s="8"/>
      <c r="AR193103" s="207"/>
    </row>
    <row r="196614" spans="43:44">
      <c r="AQ196614" s="8"/>
      <c r="AR196614" s="207"/>
    </row>
    <row r="200125" spans="43:44">
      <c r="AQ200125" s="8"/>
      <c r="AR200125" s="207"/>
    </row>
    <row r="203636" spans="43:44">
      <c r="AQ203636" s="8"/>
      <c r="AR203636" s="207"/>
    </row>
    <row r="207147" spans="43:44">
      <c r="AQ207147" s="8"/>
      <c r="AR207147" s="207"/>
    </row>
    <row r="210658" spans="43:44">
      <c r="AQ210658" s="8"/>
      <c r="AR210658" s="207"/>
    </row>
    <row r="214169" spans="43:44">
      <c r="AQ214169" s="8"/>
      <c r="AR214169" s="207"/>
    </row>
    <row r="217680" spans="43:44">
      <c r="AQ217680" s="8"/>
      <c r="AR217680" s="207"/>
    </row>
    <row r="221191" spans="43:44">
      <c r="AQ221191" s="8"/>
      <c r="AR221191" s="207"/>
    </row>
    <row r="224702" spans="43:44">
      <c r="AQ224702" s="8"/>
      <c r="AR224702" s="207"/>
    </row>
    <row r="228213" spans="43:44">
      <c r="AQ228213" s="8"/>
      <c r="AR228213" s="207"/>
    </row>
    <row r="231724" spans="43:44">
      <c r="AQ231724" s="8"/>
      <c r="AR231724" s="207"/>
    </row>
    <row r="235235" spans="43:44">
      <c r="AQ235235" s="8"/>
      <c r="AR235235" s="207"/>
    </row>
    <row r="238746" spans="43:44">
      <c r="AQ238746" s="8"/>
      <c r="AR238746" s="207"/>
    </row>
    <row r="242257" spans="43:44">
      <c r="AQ242257" s="8"/>
      <c r="AR242257" s="207"/>
    </row>
    <row r="245768" spans="43:44">
      <c r="AQ245768" s="8"/>
      <c r="AR245768" s="207"/>
    </row>
    <row r="249279" spans="43:44">
      <c r="AQ249279" s="8"/>
      <c r="AR249279" s="207"/>
    </row>
    <row r="252790" spans="43:44">
      <c r="AQ252790" s="8"/>
      <c r="AR252790" s="207"/>
    </row>
    <row r="256301" spans="43:44">
      <c r="AQ256301" s="8"/>
      <c r="AR256301" s="207"/>
    </row>
    <row r="259812" spans="43:44">
      <c r="AQ259812" s="8"/>
      <c r="AR259812" s="207"/>
    </row>
    <row r="263323" spans="43:44">
      <c r="AQ263323" s="8"/>
      <c r="AR263323" s="207"/>
    </row>
    <row r="266834" spans="43:44">
      <c r="AQ266834" s="8"/>
      <c r="AR266834" s="207"/>
    </row>
    <row r="270345" spans="43:44">
      <c r="AQ270345" s="8"/>
      <c r="AR270345" s="207"/>
    </row>
    <row r="273856" spans="43:44">
      <c r="AQ273856" s="8"/>
      <c r="AR273856" s="207"/>
    </row>
    <row r="277367" spans="43:44">
      <c r="AQ277367" s="8"/>
      <c r="AR277367" s="207"/>
    </row>
    <row r="280878" spans="43:44">
      <c r="AQ280878" s="8"/>
      <c r="AR280878" s="207"/>
    </row>
    <row r="284389" spans="43:44">
      <c r="AQ284389" s="8"/>
      <c r="AR284389" s="207"/>
    </row>
    <row r="287900" spans="43:44">
      <c r="AQ287900" s="8"/>
      <c r="AR287900" s="207"/>
    </row>
    <row r="291411" spans="43:44">
      <c r="AQ291411" s="8"/>
      <c r="AR291411" s="207"/>
    </row>
    <row r="294922" spans="43:44">
      <c r="AQ294922" s="8"/>
      <c r="AR294922" s="207"/>
    </row>
    <row r="298433" spans="43:44">
      <c r="AQ298433" s="8"/>
      <c r="AR298433" s="207"/>
    </row>
    <row r="301944" spans="43:44">
      <c r="AQ301944" s="8"/>
      <c r="AR301944" s="207"/>
    </row>
    <row r="305455" spans="43:44">
      <c r="AQ305455" s="8"/>
      <c r="AR305455" s="207"/>
    </row>
    <row r="308966" spans="43:44">
      <c r="AQ308966" s="8"/>
      <c r="AR308966" s="207"/>
    </row>
    <row r="312477" spans="43:44">
      <c r="AQ312477" s="8"/>
      <c r="AR312477" s="207"/>
    </row>
    <row r="315988" spans="43:44">
      <c r="AQ315988" s="8"/>
      <c r="AR315988" s="207"/>
    </row>
    <row r="319499" spans="43:44">
      <c r="AQ319499" s="8"/>
      <c r="AR319499" s="207"/>
    </row>
    <row r="323010" spans="43:44">
      <c r="AQ323010" s="8"/>
      <c r="AR323010" s="207"/>
    </row>
    <row r="326521" spans="43:44">
      <c r="AQ326521" s="8"/>
      <c r="AR326521" s="207"/>
    </row>
    <row r="330032" spans="43:44">
      <c r="AQ330032" s="8"/>
      <c r="AR330032" s="207"/>
    </row>
    <row r="333543" spans="43:44">
      <c r="AQ333543" s="8"/>
      <c r="AR333543" s="207"/>
    </row>
    <row r="337054" spans="43:44">
      <c r="AQ337054" s="8"/>
      <c r="AR337054" s="207"/>
    </row>
    <row r="340565" spans="43:44">
      <c r="AQ340565" s="8"/>
      <c r="AR340565" s="207"/>
    </row>
    <row r="344076" spans="43:44">
      <c r="AQ344076" s="8"/>
      <c r="AR344076" s="207"/>
    </row>
    <row r="347587" spans="43:44">
      <c r="AQ347587" s="8"/>
      <c r="AR347587" s="207"/>
    </row>
    <row r="351098" spans="43:44">
      <c r="AQ351098" s="8"/>
      <c r="AR351098" s="207"/>
    </row>
    <row r="354609" spans="43:44">
      <c r="AQ354609" s="8"/>
      <c r="AR354609" s="207"/>
    </row>
    <row r="358120" spans="43:44">
      <c r="AQ358120" s="8"/>
      <c r="AR358120" s="207"/>
    </row>
    <row r="361631" spans="43:44">
      <c r="AQ361631" s="8"/>
      <c r="AR361631" s="207"/>
    </row>
    <row r="365142" spans="43:44">
      <c r="AQ365142" s="8"/>
      <c r="AR365142" s="207"/>
    </row>
    <row r="368653" spans="43:44">
      <c r="AQ368653" s="8"/>
      <c r="AR368653" s="207"/>
    </row>
    <row r="372164" spans="43:44">
      <c r="AQ372164" s="8"/>
      <c r="AR372164" s="207"/>
    </row>
    <row r="375675" spans="43:44">
      <c r="AQ375675" s="8"/>
      <c r="AR375675" s="207"/>
    </row>
    <row r="379186" spans="43:44">
      <c r="AQ379186" s="8"/>
      <c r="AR379186" s="207"/>
    </row>
    <row r="382697" spans="43:44">
      <c r="AQ382697" s="8"/>
      <c r="AR382697" s="207"/>
    </row>
    <row r="386208" spans="43:44">
      <c r="AQ386208" s="8"/>
      <c r="AR386208" s="207"/>
    </row>
    <row r="389719" spans="43:44">
      <c r="AQ389719" s="8"/>
      <c r="AR389719" s="207"/>
    </row>
    <row r="393230" spans="43:44">
      <c r="AQ393230" s="8"/>
      <c r="AR393230" s="207"/>
    </row>
    <row r="396741" spans="43:44">
      <c r="AQ396741" s="8"/>
      <c r="AR396741" s="207"/>
    </row>
    <row r="400252" spans="43:44">
      <c r="AQ400252" s="8"/>
      <c r="AR400252" s="207"/>
    </row>
    <row r="403763" spans="43:44">
      <c r="AQ403763" s="8"/>
      <c r="AR403763" s="207"/>
    </row>
    <row r="407274" spans="43:44">
      <c r="AQ407274" s="8"/>
      <c r="AR407274" s="207"/>
    </row>
    <row r="410785" spans="43:44">
      <c r="AQ410785" s="8"/>
      <c r="AR410785" s="207"/>
    </row>
    <row r="414296" spans="43:44">
      <c r="AQ414296" s="8"/>
      <c r="AR414296" s="207"/>
    </row>
    <row r="417807" spans="43:44">
      <c r="AQ417807" s="8"/>
      <c r="AR417807" s="207"/>
    </row>
    <row r="421318" spans="43:44">
      <c r="AQ421318" s="8"/>
      <c r="AR421318" s="207"/>
    </row>
    <row r="424829" spans="43:44">
      <c r="AQ424829" s="8"/>
      <c r="AR424829" s="207"/>
    </row>
    <row r="428340" spans="43:44">
      <c r="AQ428340" s="8"/>
      <c r="AR428340" s="207"/>
    </row>
    <row r="431851" spans="43:44">
      <c r="AQ431851" s="8"/>
      <c r="AR431851" s="207"/>
    </row>
    <row r="435362" spans="43:44">
      <c r="AQ435362" s="8"/>
      <c r="AR435362" s="207"/>
    </row>
    <row r="438873" spans="43:44">
      <c r="AQ438873" s="8"/>
      <c r="AR438873" s="207"/>
    </row>
    <row r="442384" spans="43:44">
      <c r="AQ442384" s="8"/>
      <c r="AR442384" s="207"/>
    </row>
    <row r="445895" spans="43:44">
      <c r="AQ445895" s="8"/>
      <c r="AR445895" s="207"/>
    </row>
    <row r="449406" spans="43:44">
      <c r="AQ449406" s="8"/>
      <c r="AR449406" s="207"/>
    </row>
    <row r="452917" spans="43:44">
      <c r="AQ452917" s="8"/>
      <c r="AR452917" s="207"/>
    </row>
    <row r="456428" spans="43:44">
      <c r="AQ456428" s="8"/>
      <c r="AR456428" s="207"/>
    </row>
    <row r="459939" spans="43:44">
      <c r="AQ459939" s="8"/>
      <c r="AR459939" s="207"/>
    </row>
    <row r="463450" spans="43:44">
      <c r="AQ463450" s="8"/>
      <c r="AR463450" s="207"/>
    </row>
    <row r="466961" spans="43:44">
      <c r="AQ466961" s="8"/>
      <c r="AR466961" s="207"/>
    </row>
    <row r="470472" spans="43:44">
      <c r="AQ470472" s="8"/>
      <c r="AR470472" s="207"/>
    </row>
    <row r="473983" spans="43:44">
      <c r="AQ473983" s="8"/>
      <c r="AR473983" s="207"/>
    </row>
    <row r="477494" spans="43:44">
      <c r="AQ477494" s="8"/>
      <c r="AR477494" s="207"/>
    </row>
    <row r="481005" spans="43:44">
      <c r="AQ481005" s="8"/>
      <c r="AR481005" s="207"/>
    </row>
    <row r="484516" spans="43:44">
      <c r="AQ484516" s="8"/>
      <c r="AR484516" s="207"/>
    </row>
    <row r="488027" spans="43:44">
      <c r="AQ488027" s="8"/>
      <c r="AR488027" s="207"/>
    </row>
    <row r="491538" spans="43:44">
      <c r="AQ491538" s="8"/>
      <c r="AR491538" s="207"/>
    </row>
    <row r="495049" spans="43:44">
      <c r="AQ495049" s="8"/>
      <c r="AR495049" s="207"/>
    </row>
    <row r="498560" spans="43:44">
      <c r="AQ498560" s="8"/>
      <c r="AR498560" s="207"/>
    </row>
    <row r="502071" spans="43:44">
      <c r="AQ502071" s="8"/>
      <c r="AR502071" s="207"/>
    </row>
    <row r="505582" spans="43:44">
      <c r="AQ505582" s="8"/>
      <c r="AR505582" s="207"/>
    </row>
    <row r="509093" spans="43:44">
      <c r="AQ509093" s="8"/>
      <c r="AR509093" s="207"/>
    </row>
    <row r="512604" spans="43:44">
      <c r="AQ512604" s="8"/>
      <c r="AR512604" s="207"/>
    </row>
    <row r="516115" spans="43:44">
      <c r="AQ516115" s="8"/>
      <c r="AR516115" s="207"/>
    </row>
    <row r="519626" spans="43:44">
      <c r="AQ519626" s="8"/>
      <c r="AR519626" s="207"/>
    </row>
    <row r="523137" spans="43:44">
      <c r="AQ523137" s="8"/>
      <c r="AR523137" s="207"/>
    </row>
    <row r="526648" spans="43:44">
      <c r="AQ526648" s="8"/>
      <c r="AR526648" s="207"/>
    </row>
    <row r="530159" spans="43:44">
      <c r="AQ530159" s="8"/>
      <c r="AR530159" s="207"/>
    </row>
    <row r="533670" spans="43:44">
      <c r="AQ533670" s="8"/>
      <c r="AR533670" s="207"/>
    </row>
    <row r="537181" spans="43:44">
      <c r="AQ537181" s="8"/>
      <c r="AR537181" s="207"/>
    </row>
    <row r="540692" spans="43:44">
      <c r="AQ540692" s="8"/>
      <c r="AR540692" s="207"/>
    </row>
    <row r="544203" spans="43:44">
      <c r="AQ544203" s="8"/>
      <c r="AR544203" s="207"/>
    </row>
    <row r="547714" spans="43:44">
      <c r="AQ547714" s="8"/>
      <c r="AR547714" s="207"/>
    </row>
    <row r="551225" spans="43:44">
      <c r="AQ551225" s="8"/>
      <c r="AR551225" s="207"/>
    </row>
    <row r="554736" spans="43:44">
      <c r="AQ554736" s="8"/>
      <c r="AR554736" s="207"/>
    </row>
    <row r="558247" spans="43:44">
      <c r="AQ558247" s="8"/>
      <c r="AR558247" s="207"/>
    </row>
    <row r="561758" spans="43:44">
      <c r="AQ561758" s="8"/>
      <c r="AR561758" s="207"/>
    </row>
    <row r="565269" spans="43:44">
      <c r="AQ565269" s="8"/>
      <c r="AR565269" s="207"/>
    </row>
    <row r="568780" spans="43:44">
      <c r="AQ568780" s="8"/>
      <c r="AR568780" s="207"/>
    </row>
    <row r="572291" spans="43:44">
      <c r="AQ572291" s="8"/>
      <c r="AR572291" s="207"/>
    </row>
    <row r="575802" spans="43:44">
      <c r="AQ575802" s="8"/>
      <c r="AR575802" s="207"/>
    </row>
    <row r="579313" spans="43:44">
      <c r="AQ579313" s="8"/>
      <c r="AR579313" s="207"/>
    </row>
    <row r="582824" spans="43:44">
      <c r="AQ582824" s="8"/>
      <c r="AR582824" s="207"/>
    </row>
    <row r="586335" spans="43:44">
      <c r="AQ586335" s="8"/>
      <c r="AR586335" s="207"/>
    </row>
    <row r="589846" spans="43:44">
      <c r="AQ589846" s="8"/>
      <c r="AR589846" s="207"/>
    </row>
    <row r="593357" spans="43:44">
      <c r="AQ593357" s="8"/>
      <c r="AR593357" s="207"/>
    </row>
    <row r="596868" spans="43:44">
      <c r="AQ596868" s="8"/>
      <c r="AR596868" s="207"/>
    </row>
    <row r="600379" spans="43:44">
      <c r="AQ600379" s="8"/>
      <c r="AR600379" s="207"/>
    </row>
    <row r="603890" spans="43:44">
      <c r="AQ603890" s="8"/>
      <c r="AR603890" s="207"/>
    </row>
    <row r="607401" spans="43:44">
      <c r="AQ607401" s="8"/>
      <c r="AR607401" s="207"/>
    </row>
    <row r="610912" spans="43:44">
      <c r="AQ610912" s="8"/>
      <c r="AR610912" s="207"/>
    </row>
    <row r="614423" spans="43:44">
      <c r="AQ614423" s="8"/>
      <c r="AR614423" s="207"/>
    </row>
    <row r="617934" spans="43:44">
      <c r="AQ617934" s="8"/>
      <c r="AR617934" s="207"/>
    </row>
    <row r="621445" spans="43:44">
      <c r="AQ621445" s="8"/>
      <c r="AR621445" s="207"/>
    </row>
    <row r="624956" spans="43:44">
      <c r="AQ624956" s="8"/>
      <c r="AR624956" s="207"/>
    </row>
    <row r="628467" spans="43:44">
      <c r="AQ628467" s="8"/>
      <c r="AR628467" s="207"/>
    </row>
    <row r="631978" spans="43:44">
      <c r="AQ631978" s="8"/>
      <c r="AR631978" s="207"/>
    </row>
    <row r="635489" spans="43:44">
      <c r="AQ635489" s="8"/>
      <c r="AR635489" s="207"/>
    </row>
    <row r="639000" spans="43:44">
      <c r="AQ639000" s="8"/>
      <c r="AR639000" s="207"/>
    </row>
    <row r="642511" spans="43:44">
      <c r="AQ642511" s="8"/>
      <c r="AR642511" s="207"/>
    </row>
    <row r="646022" spans="43:44">
      <c r="AQ646022" s="8"/>
      <c r="AR646022" s="207"/>
    </row>
    <row r="649533" spans="43:44">
      <c r="AQ649533" s="8"/>
      <c r="AR649533" s="207"/>
    </row>
    <row r="653044" spans="43:44">
      <c r="AQ653044" s="8"/>
      <c r="AR653044" s="207"/>
    </row>
    <row r="656555" spans="43:44">
      <c r="AQ656555" s="8"/>
      <c r="AR656555" s="207"/>
    </row>
    <row r="660066" spans="43:44">
      <c r="AQ660066" s="8"/>
      <c r="AR660066" s="207"/>
    </row>
    <row r="663577" spans="43:44">
      <c r="AQ663577" s="8"/>
      <c r="AR663577" s="207"/>
    </row>
    <row r="667088" spans="43:44">
      <c r="AQ667088" s="8"/>
      <c r="AR667088" s="207"/>
    </row>
    <row r="670599" spans="43:44">
      <c r="AQ670599" s="8"/>
      <c r="AR670599" s="207"/>
    </row>
    <row r="674110" spans="43:44">
      <c r="AQ674110" s="8"/>
      <c r="AR674110" s="207"/>
    </row>
    <row r="677621" spans="43:44">
      <c r="AQ677621" s="8"/>
      <c r="AR677621" s="207"/>
    </row>
    <row r="681132" spans="43:44">
      <c r="AQ681132" s="8"/>
      <c r="AR681132" s="207"/>
    </row>
    <row r="684643" spans="43:44">
      <c r="AQ684643" s="8"/>
      <c r="AR684643" s="207"/>
    </row>
    <row r="688154" spans="43:44">
      <c r="AQ688154" s="8"/>
      <c r="AR688154" s="207"/>
    </row>
    <row r="691665" spans="43:44">
      <c r="AQ691665" s="8"/>
      <c r="AR691665" s="207"/>
    </row>
    <row r="695176" spans="43:44">
      <c r="AQ695176" s="8"/>
      <c r="AR695176" s="207"/>
    </row>
    <row r="698687" spans="43:44">
      <c r="AQ698687" s="8"/>
      <c r="AR698687" s="207"/>
    </row>
    <row r="702198" spans="43:44">
      <c r="AQ702198" s="8"/>
      <c r="AR702198" s="207"/>
    </row>
    <row r="705709" spans="43:44">
      <c r="AQ705709" s="8"/>
      <c r="AR705709" s="207"/>
    </row>
    <row r="709220" spans="43:44">
      <c r="AQ709220" s="8"/>
      <c r="AR709220" s="207"/>
    </row>
    <row r="712731" spans="43:44">
      <c r="AQ712731" s="8"/>
      <c r="AR712731" s="207"/>
    </row>
    <row r="716242" spans="43:44">
      <c r="AQ716242" s="8"/>
      <c r="AR716242" s="207"/>
    </row>
    <row r="719753" spans="43:44">
      <c r="AQ719753" s="8"/>
      <c r="AR719753" s="207"/>
    </row>
    <row r="723264" spans="43:44">
      <c r="AQ723264" s="8"/>
      <c r="AR723264" s="207"/>
    </row>
    <row r="726775" spans="43:44">
      <c r="AQ726775" s="8"/>
      <c r="AR726775" s="207"/>
    </row>
    <row r="730286" spans="43:44">
      <c r="AQ730286" s="8"/>
      <c r="AR730286" s="207"/>
    </row>
    <row r="733797" spans="43:44">
      <c r="AQ733797" s="8"/>
      <c r="AR733797" s="207"/>
    </row>
    <row r="737308" spans="43:44">
      <c r="AQ737308" s="8"/>
      <c r="AR737308" s="207"/>
    </row>
    <row r="740819" spans="43:44">
      <c r="AQ740819" s="8"/>
      <c r="AR740819" s="207"/>
    </row>
    <row r="744330" spans="43:44">
      <c r="AQ744330" s="8"/>
      <c r="AR744330" s="207"/>
    </row>
    <row r="747841" spans="43:44">
      <c r="AQ747841" s="8"/>
      <c r="AR747841" s="207"/>
    </row>
    <row r="751352" spans="43:44">
      <c r="AQ751352" s="8"/>
      <c r="AR751352" s="207"/>
    </row>
    <row r="754863" spans="43:44">
      <c r="AQ754863" s="8"/>
      <c r="AR754863" s="207"/>
    </row>
    <row r="758374" spans="43:44">
      <c r="AQ758374" s="8"/>
      <c r="AR758374" s="207"/>
    </row>
    <row r="761885" spans="43:44">
      <c r="AQ761885" s="8"/>
      <c r="AR761885" s="207"/>
    </row>
    <row r="765396" spans="43:44">
      <c r="AQ765396" s="8"/>
      <c r="AR765396" s="207"/>
    </row>
    <row r="768907" spans="43:44">
      <c r="AQ768907" s="8"/>
      <c r="AR768907" s="207"/>
    </row>
    <row r="772418" spans="43:44">
      <c r="AQ772418" s="8"/>
      <c r="AR772418" s="207"/>
    </row>
    <row r="775929" spans="43:44">
      <c r="AQ775929" s="8"/>
      <c r="AR775929" s="207"/>
    </row>
    <row r="779440" spans="43:44">
      <c r="AQ779440" s="8"/>
      <c r="AR779440" s="207"/>
    </row>
    <row r="782951" spans="43:44">
      <c r="AQ782951" s="8"/>
      <c r="AR782951" s="207"/>
    </row>
    <row r="786462" spans="43:44">
      <c r="AQ786462" s="8"/>
      <c r="AR786462" s="207"/>
    </row>
    <row r="789973" spans="43:44">
      <c r="AQ789973" s="8"/>
      <c r="AR789973" s="207"/>
    </row>
    <row r="793484" spans="43:44">
      <c r="AQ793484" s="8"/>
      <c r="AR793484" s="207"/>
    </row>
    <row r="796995" spans="43:44">
      <c r="AQ796995" s="8"/>
      <c r="AR796995" s="207"/>
    </row>
    <row r="800506" spans="43:44">
      <c r="AQ800506" s="8"/>
      <c r="AR800506" s="207"/>
    </row>
    <row r="804017" spans="43:44">
      <c r="AQ804017" s="8"/>
      <c r="AR804017" s="207"/>
    </row>
    <row r="807528" spans="43:44">
      <c r="AQ807528" s="8"/>
      <c r="AR807528" s="207"/>
    </row>
    <row r="811039" spans="43:44">
      <c r="AQ811039" s="8"/>
      <c r="AR811039" s="207"/>
    </row>
    <row r="814550" spans="43:44">
      <c r="AQ814550" s="8"/>
      <c r="AR814550" s="207"/>
    </row>
    <row r="818061" spans="43:44">
      <c r="AQ818061" s="8"/>
      <c r="AR818061" s="207"/>
    </row>
    <row r="821572" spans="43:44">
      <c r="AQ821572" s="8"/>
      <c r="AR821572" s="207"/>
    </row>
    <row r="825083" spans="43:44">
      <c r="AQ825083" s="8"/>
      <c r="AR825083" s="207"/>
    </row>
    <row r="828594" spans="43:44">
      <c r="AQ828594" s="8"/>
      <c r="AR828594" s="207"/>
    </row>
    <row r="832105" spans="43:44">
      <c r="AQ832105" s="8"/>
      <c r="AR832105" s="207"/>
    </row>
    <row r="835616" spans="43:44">
      <c r="AQ835616" s="8"/>
      <c r="AR835616" s="207"/>
    </row>
    <row r="839127" spans="43:44">
      <c r="AQ839127" s="8"/>
      <c r="AR839127" s="207"/>
    </row>
    <row r="842638" spans="43:44">
      <c r="AQ842638" s="8"/>
      <c r="AR842638" s="207"/>
    </row>
    <row r="846149" spans="43:44">
      <c r="AQ846149" s="8"/>
      <c r="AR846149" s="207"/>
    </row>
    <row r="849660" spans="43:44">
      <c r="AQ849660" s="8"/>
      <c r="AR849660" s="207"/>
    </row>
    <row r="853171" spans="43:44">
      <c r="AQ853171" s="8"/>
      <c r="AR853171" s="207"/>
    </row>
    <row r="856682" spans="43:44">
      <c r="AQ856682" s="8"/>
      <c r="AR856682" s="207"/>
    </row>
    <row r="860193" spans="43:44">
      <c r="AQ860193" s="8"/>
      <c r="AR860193" s="207"/>
    </row>
    <row r="863704" spans="43:44">
      <c r="AQ863704" s="8"/>
      <c r="AR863704" s="207"/>
    </row>
    <row r="867215" spans="43:44">
      <c r="AQ867215" s="8"/>
      <c r="AR867215" s="207"/>
    </row>
    <row r="870726" spans="43:44">
      <c r="AQ870726" s="8"/>
      <c r="AR870726" s="207"/>
    </row>
    <row r="874237" spans="43:44">
      <c r="AQ874237" s="8"/>
      <c r="AR874237" s="207"/>
    </row>
    <row r="877748" spans="43:44">
      <c r="AQ877748" s="8"/>
      <c r="AR877748" s="207"/>
    </row>
    <row r="881259" spans="43:44">
      <c r="AQ881259" s="8"/>
      <c r="AR881259" s="207"/>
    </row>
    <row r="884770" spans="43:44">
      <c r="AQ884770" s="8"/>
      <c r="AR884770" s="207"/>
    </row>
    <row r="888281" spans="43:44">
      <c r="AQ888281" s="8"/>
      <c r="AR888281" s="207"/>
    </row>
    <row r="891792" spans="43:44">
      <c r="AQ891792" s="8"/>
      <c r="AR891792" s="207"/>
    </row>
    <row r="895303" spans="43:44">
      <c r="AQ895303" s="8"/>
      <c r="AR895303" s="207"/>
    </row>
    <row r="898814" spans="43:44">
      <c r="AQ898814" s="8"/>
      <c r="AR898814" s="207"/>
    </row>
    <row r="902325" spans="43:44">
      <c r="AQ902325" s="8"/>
      <c r="AR902325" s="207"/>
    </row>
    <row r="905836" spans="43:44">
      <c r="AQ905836" s="8"/>
      <c r="AR905836" s="207"/>
    </row>
    <row r="909347" spans="43:44">
      <c r="AQ909347" s="8"/>
      <c r="AR909347" s="207"/>
    </row>
    <row r="912858" spans="43:44">
      <c r="AQ912858" s="8"/>
      <c r="AR912858" s="207"/>
    </row>
    <row r="916369" spans="43:44">
      <c r="AQ916369" s="8"/>
      <c r="AR916369" s="207"/>
    </row>
    <row r="919880" spans="43:44">
      <c r="AQ919880" s="8"/>
      <c r="AR919880" s="207"/>
    </row>
    <row r="923391" spans="43:44">
      <c r="AQ923391" s="8"/>
      <c r="AR923391" s="207"/>
    </row>
    <row r="926902" spans="43:44">
      <c r="AQ926902" s="8"/>
      <c r="AR926902" s="207"/>
    </row>
    <row r="930413" spans="43:44">
      <c r="AQ930413" s="8"/>
      <c r="AR930413" s="207"/>
    </row>
    <row r="933924" spans="43:44">
      <c r="AQ933924" s="8"/>
      <c r="AR933924" s="207"/>
    </row>
    <row r="937435" spans="43:44">
      <c r="AQ937435" s="8"/>
      <c r="AR937435" s="207"/>
    </row>
    <row r="940946" spans="43:44">
      <c r="AQ940946" s="8"/>
      <c r="AR940946" s="207"/>
    </row>
    <row r="944457" spans="43:44">
      <c r="AQ944457" s="8"/>
      <c r="AR944457" s="207"/>
    </row>
    <row r="947968" spans="43:44">
      <c r="AQ947968" s="8"/>
      <c r="AR947968" s="207"/>
    </row>
    <row r="951479" spans="43:44">
      <c r="AQ951479" s="8"/>
      <c r="AR951479" s="207"/>
    </row>
    <row r="954990" spans="43:44">
      <c r="AQ954990" s="8"/>
      <c r="AR954990" s="207"/>
    </row>
    <row r="958501" spans="43:44">
      <c r="AQ958501" s="8"/>
      <c r="AR958501" s="207"/>
    </row>
    <row r="962012" spans="43:44">
      <c r="AQ962012" s="8"/>
      <c r="AR962012" s="207"/>
    </row>
    <row r="965523" spans="43:44">
      <c r="AQ965523" s="8"/>
      <c r="AR965523" s="207"/>
    </row>
    <row r="969034" spans="43:44">
      <c r="AQ969034" s="8"/>
      <c r="AR969034" s="207"/>
    </row>
    <row r="972545" spans="43:44">
      <c r="AQ972545" s="8"/>
      <c r="AR972545" s="207"/>
    </row>
    <row r="976056" spans="43:44">
      <c r="AQ976056" s="8"/>
      <c r="AR976056" s="207"/>
    </row>
    <row r="979567" spans="43:44">
      <c r="AQ979567" s="8"/>
      <c r="AR979567" s="207"/>
    </row>
    <row r="983078" spans="43:44">
      <c r="AQ983078" s="8"/>
      <c r="AR983078" s="207"/>
    </row>
    <row r="986589" spans="43:44">
      <c r="AQ986589" s="8"/>
      <c r="AR986589" s="207"/>
    </row>
    <row r="990100" spans="43:44">
      <c r="AQ990100" s="8"/>
      <c r="AR990100" s="207"/>
    </row>
    <row r="993611" spans="43:44">
      <c r="AQ993611" s="8"/>
      <c r="AR993611" s="207"/>
    </row>
    <row r="997122" spans="43:44">
      <c r="AQ997122" s="8"/>
      <c r="AR997122" s="207"/>
    </row>
    <row r="1000633" spans="43:44">
      <c r="AQ1000633" s="8"/>
      <c r="AR1000633" s="207"/>
    </row>
    <row r="1004144" spans="43:44">
      <c r="AQ1004144" s="8"/>
      <c r="AR1004144" s="207"/>
    </row>
    <row r="1007655" spans="43:44">
      <c r="AQ1007655" s="8"/>
      <c r="AR1007655" s="207"/>
    </row>
    <row r="1011166" spans="43:44">
      <c r="AQ1011166" s="8"/>
      <c r="AR1011166" s="207"/>
    </row>
    <row r="1014677" spans="43:44">
      <c r="AQ1014677" s="8"/>
      <c r="AR1014677" s="207"/>
    </row>
    <row r="1018188" spans="43:44">
      <c r="AQ1018188" s="8"/>
      <c r="AR1018188" s="207"/>
    </row>
    <row r="1021699" spans="43:44">
      <c r="AQ1021699" s="8"/>
      <c r="AR1021699" s="207"/>
    </row>
    <row r="1025210" spans="43:44">
      <c r="AQ1025210" s="8"/>
      <c r="AR1025210" s="207"/>
    </row>
    <row r="1028721" spans="43:44">
      <c r="AQ1028721" s="8"/>
      <c r="AR1028721" s="207"/>
    </row>
    <row r="1032232" spans="43:44">
      <c r="AQ1032232" s="8"/>
      <c r="AR1032232" s="207"/>
    </row>
    <row r="1035743" spans="43:44">
      <c r="AQ1035743" s="8"/>
      <c r="AR1035743" s="207"/>
    </row>
    <row r="1039254" spans="43:44">
      <c r="AQ1039254" s="8"/>
      <c r="AR1039254" s="207"/>
    </row>
    <row r="1042765" spans="43:44">
      <c r="AQ1042765" s="8"/>
      <c r="AR1042765" s="207"/>
    </row>
    <row r="1046276" spans="43:44">
      <c r="AQ1046276" s="8"/>
      <c r="AR1046276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5" priority="153"/>
  </conditionalFormatting>
  <conditionalFormatting sqref="J3509 J3502:J3507 J3255:J3500">
    <cfRule type="duplicateValues" dxfId="114" priority="33"/>
  </conditionalFormatting>
  <conditionalFormatting sqref="Z3255:Z3500 Z3502:Z3674 Z3677:Z4001">
    <cfRule type="cellIs" dxfId="113" priority="31" operator="lessThanOrEqual">
      <formula>0</formula>
    </cfRule>
  </conditionalFormatting>
  <conditionalFormatting sqref="J856">
    <cfRule type="duplicateValues" dxfId="112" priority="18"/>
  </conditionalFormatting>
  <conditionalFormatting sqref="J1670:J1673">
    <cfRule type="duplicateValues" dxfId="111" priority="28"/>
  </conditionalFormatting>
  <conditionalFormatting sqref="J2327:J2902">
    <cfRule type="duplicateValues" dxfId="110" priority="30"/>
  </conditionalFormatting>
  <conditionalFormatting sqref="J2910:J2911">
    <cfRule type="duplicateValues" dxfId="109" priority="23"/>
  </conditionalFormatting>
  <conditionalFormatting sqref="J2912">
    <cfRule type="duplicateValues" dxfId="108" priority="27"/>
  </conditionalFormatting>
  <conditionalFormatting sqref="J2913">
    <cfRule type="duplicateValues" dxfId="107" priority="26"/>
  </conditionalFormatting>
  <conditionalFormatting sqref="J2995:J2996">
    <cfRule type="duplicateValues" dxfId="106" priority="22"/>
  </conditionalFormatting>
  <conditionalFormatting sqref="J3018 J3020:J3023">
    <cfRule type="duplicateValues" dxfId="105" priority="25"/>
  </conditionalFormatting>
  <conditionalFormatting sqref="J3019">
    <cfRule type="duplicateValues" dxfId="104" priority="24"/>
  </conditionalFormatting>
  <conditionalFormatting sqref="J3115">
    <cfRule type="duplicateValues" dxfId="103" priority="21"/>
  </conditionalFormatting>
  <conditionalFormatting sqref="J3148">
    <cfRule type="duplicateValues" dxfId="102" priority="20"/>
  </conditionalFormatting>
  <conditionalFormatting sqref="J3191:J3192">
    <cfRule type="duplicateValues" dxfId="101" priority="19"/>
  </conditionalFormatting>
  <conditionalFormatting sqref="J3196:J3201 J3203 J3205:J3213">
    <cfRule type="duplicateValues" dxfId="100" priority="17"/>
  </conditionalFormatting>
  <conditionalFormatting sqref="J3214:J3254 J2931:J3195 J2079:J2929 J2:J2077">
    <cfRule type="duplicateValues" dxfId="99" priority="29"/>
  </conditionalFormatting>
  <conditionalFormatting sqref="Z2:Z3254">
    <cfRule type="cellIs" dxfId="98" priority="16" operator="lessThanOrEqual">
      <formula>0</formula>
    </cfRule>
  </conditionalFormatting>
  <conditionalFormatting sqref="J3202">
    <cfRule type="duplicateValues" dxfId="97" priority="15"/>
  </conditionalFormatting>
  <conditionalFormatting sqref="J2930">
    <cfRule type="duplicateValues" dxfId="96" priority="14"/>
  </conditionalFormatting>
  <conditionalFormatting sqref="J3204">
    <cfRule type="duplicateValues" dxfId="95" priority="13"/>
  </conditionalFormatting>
  <conditionalFormatting sqref="J2078">
    <cfRule type="duplicateValues" dxfId="94" priority="12"/>
  </conditionalFormatting>
  <conditionalFormatting sqref="J3515">
    <cfRule type="duplicateValues" dxfId="93" priority="11"/>
  </conditionalFormatting>
  <conditionalFormatting sqref="J3501">
    <cfRule type="duplicateValues" dxfId="92" priority="9"/>
  </conditionalFormatting>
  <conditionalFormatting sqref="Z3501">
    <cfRule type="cellIs" dxfId="91" priority="8" operator="lessThanOrEqual">
      <formula>0</formula>
    </cfRule>
  </conditionalFormatting>
  <conditionalFormatting sqref="K3738:K3749">
    <cfRule type="duplicateValues" dxfId="90" priority="7"/>
  </conditionalFormatting>
  <conditionalFormatting sqref="Z3675">
    <cfRule type="cellIs" dxfId="89" priority="6" operator="lessThanOrEqual">
      <formula>0</formula>
    </cfRule>
  </conditionalFormatting>
  <conditionalFormatting sqref="Z3676">
    <cfRule type="cellIs" dxfId="88" priority="5" operator="lessThanOrEqual">
      <formula>0</formula>
    </cfRule>
  </conditionalFormatting>
  <conditionalFormatting sqref="J4002">
    <cfRule type="duplicateValues" dxfId="87" priority="4"/>
  </conditionalFormatting>
  <conditionalFormatting sqref="J4002">
    <cfRule type="duplicateValues" dxfId="86" priority="3"/>
  </conditionalFormatting>
  <conditionalFormatting sqref="J3964">
    <cfRule type="duplicateValues" dxfId="85" priority="2"/>
  </conditionalFormatting>
  <conditionalFormatting sqref="J3964">
    <cfRule type="duplicateValues" dxfId="84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M1" zoomScale="55" zoomScaleNormal="55" workbookViewId="0">
      <selection activeCell="AE23" sqref="AE2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54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5"/>
      <c r="Q2" s="176" t="s">
        <v>52</v>
      </c>
      <c r="R2" s="238">
        <v>13000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56" t="s">
        <v>3203</v>
      </c>
      <c r="Q3" s="177" t="s">
        <v>51</v>
      </c>
      <c r="R3" s="238">
        <v>19000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5.2999999999999999E-2</v>
      </c>
      <c r="L4" s="182">
        <v>1.0669999999999999</v>
      </c>
      <c r="M4" s="47"/>
      <c r="N4" s="107"/>
      <c r="O4" s="48"/>
      <c r="P4" s="256"/>
      <c r="Q4" s="177" t="s">
        <v>50</v>
      </c>
      <c r="R4" s="238">
        <v>17000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5.2999999999999999E-2</v>
      </c>
      <c r="L5" s="182">
        <v>1.0669999999999999</v>
      </c>
      <c r="M5" s="47"/>
      <c r="N5" s="107"/>
      <c r="O5" s="48"/>
      <c r="P5" s="256"/>
      <c r="Q5" s="178" t="s">
        <v>49</v>
      </c>
      <c r="R5" s="238">
        <v>336000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6" t="s">
        <v>3387</v>
      </c>
      <c r="Q10" s="267"/>
      <c r="R10" s="267"/>
      <c r="S10" s="267"/>
      <c r="T10" s="267"/>
      <c r="U10" s="267"/>
      <c r="V10" s="267"/>
      <c r="AB10" s="248" t="s">
        <v>3388</v>
      </c>
      <c r="AC10" s="249"/>
      <c r="AD10" s="249"/>
      <c r="AE10" s="249"/>
      <c r="AF10" s="249"/>
      <c r="AG10" s="249"/>
      <c r="AH10" s="249"/>
      <c r="AI10" s="250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8"/>
      <c r="Q11" s="269"/>
      <c r="R11" s="269"/>
      <c r="S11" s="269"/>
      <c r="T11" s="269"/>
      <c r="U11" s="269"/>
      <c r="V11" s="269"/>
      <c r="AB11" s="251"/>
      <c r="AC11" s="252"/>
      <c r="AD11" s="252"/>
      <c r="AE11" s="252"/>
      <c r="AF11" s="252"/>
      <c r="AG11" s="252"/>
      <c r="AH11" s="252"/>
      <c r="AI11" s="253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3172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15739927.327433635</v>
      </c>
      <c r="T13" s="79">
        <f>IF(R13="","",SUMIFS(raw_sheet!AB:AB,raw_sheet!E:E,list!P13,raw_sheet!F:F,list!Q13,raw_sheet!G:G,list!R13,raw_sheet!R:R,list!$T$12))</f>
        <v>1987780.0884955754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17727707.415929206</v>
      </c>
      <c r="AB13" s="150" t="s">
        <v>3172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9187580.9203539826</v>
      </c>
      <c r="AF13" s="79">
        <f>IF(AD13="","",SUMIFS(raw_sheet!AB:AB,raw_sheet!A:A,list!AB13,raw_sheet!B:B,list!AC13,raw_sheet!C:C,list!AD13,raw_sheet!S:S,list!$AF$12))</f>
        <v>5069760.7964601768</v>
      </c>
      <c r="AG13" s="79">
        <f>IF(AD13="","",SUMIFS(raw_sheet!AB:AB,raw_sheet!A:A,list!AB13,raw_sheet!B:B,list!AC13,raw_sheet!C:C,list!AD13,raw_sheet!S:S,list!$AG$12))</f>
        <v>486287.61061946908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14743629.327433627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3690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21497532.991150454</v>
      </c>
      <c r="T14" s="79">
        <f>IF(R14="","",SUMIFS(raw_sheet!AB:AB,raw_sheet!E:E,list!P14,raw_sheet!F:F,list!Q14,raw_sheet!G:G,list!R14,raw_sheet!R:R,list!$T$12))</f>
        <v>7999950.1681415914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29497483.159292053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3690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14766529.81520354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14766529.81520354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24279000</v>
      </c>
      <c r="AK18" s="124" cm="1">
        <f t="array" ref="AK18">IFERROR(SUMPRODUCT((AD21:AD150="EAST")*(AJ21:AJ150)),0)</f>
        <v>5369100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61" t="s">
        <v>3311</v>
      </c>
      <c r="D19" s="262"/>
      <c r="E19" s="263"/>
      <c r="F19" s="38"/>
      <c r="M19" s="47"/>
      <c r="N19" s="107"/>
      <c r="O19" s="39"/>
      <c r="P19" s="257" t="s">
        <v>3339</v>
      </c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B19" s="259" t="s">
        <v>3213</v>
      </c>
      <c r="AC19" s="260"/>
      <c r="AD19" s="260"/>
      <c r="AE19" s="260"/>
      <c r="AF19" s="260"/>
      <c r="AG19" s="260"/>
      <c r="AH19" s="260"/>
      <c r="AI19" s="260"/>
      <c r="AJ19" s="260"/>
      <c r="AK19" s="260"/>
      <c r="AL19" s="260"/>
      <c r="AM19" s="260"/>
    </row>
    <row r="20" spans="1:39" ht="16.2" thickBot="1">
      <c r="A20" s="167"/>
      <c r="B20" s="168"/>
      <c r="C20" s="261" t="s">
        <v>3214</v>
      </c>
      <c r="D20" s="262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61" t="s">
        <v>3225</v>
      </c>
      <c r="D21" s="262"/>
      <c r="E21" s="146">
        <v>2025</v>
      </c>
      <c r="M21" s="47"/>
      <c r="N21" s="107"/>
      <c r="O21" s="39"/>
      <c r="P21" s="15" cm="1">
        <f t="array" ref="P21:Z57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19">
        <v>0.12</v>
      </c>
      <c r="AB21" s="15" cm="1">
        <f t="array" ref="AB21:AM50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19">
        <v>0.12</v>
      </c>
    </row>
    <row r="22" spans="1:39" ht="16.2" thickBot="1">
      <c r="A22" s="167"/>
      <c r="B22" s="168"/>
      <c r="C22" s="264" t="s">
        <v>3226</v>
      </c>
      <c r="D22" s="265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19">
        <v>0.12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1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SOUTH</v>
      </c>
      <c r="S23" s="13" t="str">
        <v>C49SZX20240208MZ</v>
      </c>
      <c r="T23" s="13" t="str">
        <v>深圳卓昌(end user:惠州卓昌）</v>
      </c>
      <c r="U23" s="13" t="str">
        <v>YSM10</v>
      </c>
      <c r="V23" s="13">
        <v>1</v>
      </c>
      <c r="W23" s="92" t="str">
        <v>JPY</v>
      </c>
      <c r="X23" s="97">
        <v>5.2999999999999999E-2</v>
      </c>
      <c r="Y23" s="92">
        <v>424000</v>
      </c>
      <c r="Z23" s="219">
        <v>0.12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1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EAST</v>
      </c>
      <c r="S24" s="13" t="str">
        <v>C49SHA20241203/HZY</v>
      </c>
      <c r="T24" s="13" t="str">
        <v>浙江德茵</v>
      </c>
      <c r="U24" s="13" t="str">
        <v>YSM10</v>
      </c>
      <c r="V24" s="13">
        <v>1</v>
      </c>
      <c r="W24" s="92" t="str">
        <v>RMB</v>
      </c>
      <c r="X24" s="97">
        <v>1.0669999999999999</v>
      </c>
      <c r="Y24" s="92">
        <v>585433.62831858417</v>
      </c>
      <c r="Z24" s="219">
        <v>0.12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1.0669999999999999</v>
      </c>
      <c r="AL24" s="92">
        <v>472123.89380530978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C49SZX20240219SX</v>
      </c>
      <c r="T25" s="13" t="str">
        <v>兴原星</v>
      </c>
      <c r="U25" s="13" t="str">
        <v>YSM20R</v>
      </c>
      <c r="V25" s="13">
        <v>1</v>
      </c>
      <c r="W25" s="92" t="str">
        <v>JPY</v>
      </c>
      <c r="X25" s="97">
        <v>5.2999999999999999E-2</v>
      </c>
      <c r="Y25" s="92">
        <v>771680</v>
      </c>
      <c r="Z25" s="219">
        <v>0.12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336001</v>
      </c>
      <c r="AM25" s="219">
        <v>0.12</v>
      </c>
    </row>
    <row r="26" spans="1:39">
      <c r="A26" s="167"/>
      <c r="B26" s="168"/>
      <c r="P26" s="13">
        <v>2025</v>
      </c>
      <c r="Q26" s="13">
        <v>3</v>
      </c>
      <c r="R26" s="13" t="str">
        <v>SOUTH</v>
      </c>
      <c r="S26" s="13" t="str">
        <v>C28SZX20240213DX</v>
      </c>
      <c r="T26" s="13" t="str">
        <v>欧洋佳优</v>
      </c>
      <c r="U26" s="13" t="str">
        <v>DESEN DSP-10-YMH</v>
      </c>
      <c r="V26" s="13">
        <v>1</v>
      </c>
      <c r="W26" s="92" t="str">
        <v>RMB</v>
      </c>
      <c r="X26" s="97">
        <v>1.0669999999999999</v>
      </c>
      <c r="Y26" s="92">
        <v>174213.7168141593</v>
      </c>
      <c r="Z26" s="219">
        <v>0.12</v>
      </c>
      <c r="AB26" s="13">
        <v>2025</v>
      </c>
      <c r="AC26" s="13">
        <v>3</v>
      </c>
      <c r="AD26" s="13" t="str">
        <v>SOUTH</v>
      </c>
      <c r="AE26" s="13" t="str">
        <v>C49SZX20250035SX</v>
      </c>
      <c r="AF26" s="13" t="str">
        <v>龙腾共创</v>
      </c>
      <c r="AG26" s="13" t="str">
        <v>YSM10</v>
      </c>
      <c r="AH26" s="13">
        <v>1</v>
      </c>
      <c r="AI26" s="92" t="str">
        <v>JPY</v>
      </c>
      <c r="AJ26" s="118">
        <v>7080000</v>
      </c>
      <c r="AK26" s="97">
        <v>5.2999999999999999E-2</v>
      </c>
      <c r="AL26" s="92">
        <v>375240</v>
      </c>
      <c r="AM26" s="219">
        <v>0.12</v>
      </c>
    </row>
    <row r="27" spans="1:39">
      <c r="A27" s="167"/>
      <c r="B27" s="168"/>
      <c r="P27" s="13">
        <v>2025</v>
      </c>
      <c r="Q27" s="13">
        <v>3</v>
      </c>
      <c r="R27" s="13" t="str">
        <v>SOUTH</v>
      </c>
      <c r="S27" s="13" t="str">
        <v>C49SZX20250009SX</v>
      </c>
      <c r="T27" s="13" t="str">
        <v>加一</v>
      </c>
      <c r="U27" s="13" t="str">
        <v>YSM20R</v>
      </c>
      <c r="V27" s="13">
        <v>1</v>
      </c>
      <c r="W27" s="92" t="str">
        <v>RMB</v>
      </c>
      <c r="X27" s="97">
        <v>1.0669999999999999</v>
      </c>
      <c r="Y27" s="92">
        <v>793168.14159292041</v>
      </c>
      <c r="Z27" s="219">
        <v>0.12</v>
      </c>
      <c r="AB27" s="13">
        <v>2025</v>
      </c>
      <c r="AC27" s="13">
        <v>3</v>
      </c>
      <c r="AD27" s="13" t="str">
        <v>SOUTH</v>
      </c>
      <c r="AE27" s="13" t="str">
        <v>C49SZX20250038HC</v>
      </c>
      <c r="AF27" s="13" t="str">
        <v>旺利兴</v>
      </c>
      <c r="AG27" s="13" t="str">
        <v>YSM10</v>
      </c>
      <c r="AH27" s="13">
        <v>1</v>
      </c>
      <c r="AI27" s="92" t="str">
        <v>JPY</v>
      </c>
      <c r="AJ27" s="118">
        <v>8299000</v>
      </c>
      <c r="AK27" s="97">
        <v>5.2999999999999999E-2</v>
      </c>
      <c r="AL27" s="92">
        <v>439847</v>
      </c>
      <c r="AM27" s="219">
        <v>0.12</v>
      </c>
    </row>
    <row r="28" spans="1:39">
      <c r="A28" s="167"/>
      <c r="B28" s="168"/>
      <c r="P28" s="13">
        <v>2025</v>
      </c>
      <c r="Q28" s="13">
        <v>3</v>
      </c>
      <c r="R28" s="13" t="str">
        <v>SOUTH</v>
      </c>
      <c r="S28" s="13" t="str">
        <v>C49SZX20250009SX</v>
      </c>
      <c r="T28" s="13" t="str">
        <v>加一</v>
      </c>
      <c r="U28" s="13" t="str">
        <v>YSM10</v>
      </c>
      <c r="V28" s="13">
        <v>1</v>
      </c>
      <c r="W28" s="92" t="str">
        <v>RMB</v>
      </c>
      <c r="X28" s="97">
        <v>1.0669999999999999</v>
      </c>
      <c r="Y28" s="92">
        <v>380531.85840707965</v>
      </c>
      <c r="Z28" s="219">
        <v>0.12</v>
      </c>
      <c r="AB28" s="13">
        <v>2025</v>
      </c>
      <c r="AC28" s="13">
        <v>3</v>
      </c>
      <c r="AD28" s="13" t="str">
        <v>SOUTH</v>
      </c>
      <c r="AE28" s="13" t="str">
        <v>C49SZX20250040SX</v>
      </c>
      <c r="AF28" s="13" t="str">
        <v>悦之彩</v>
      </c>
      <c r="AG28" s="13" t="str">
        <v>YSM10</v>
      </c>
      <c r="AH28" s="13">
        <v>1</v>
      </c>
      <c r="AI28" s="92" t="str">
        <v>RMB</v>
      </c>
      <c r="AJ28" s="118">
        <v>393000</v>
      </c>
      <c r="AK28" s="97">
        <v>1.0669999999999999</v>
      </c>
      <c r="AL28" s="92">
        <v>371089.38053097349</v>
      </c>
      <c r="AM28" s="219">
        <v>0.12</v>
      </c>
    </row>
    <row r="29" spans="1:39">
      <c r="A29" s="167"/>
      <c r="B29" s="168"/>
      <c r="P29" s="13">
        <v>2025</v>
      </c>
      <c r="Q29" s="13">
        <v>3</v>
      </c>
      <c r="R29" s="13" t="str">
        <v>EAST</v>
      </c>
      <c r="S29" s="13" t="str">
        <v>C49SHA20250103/TWB</v>
      </c>
      <c r="T29" s="13" t="str">
        <v>鹰潭鼎桥</v>
      </c>
      <c r="U29" s="13" t="str">
        <v>YSM20R</v>
      </c>
      <c r="V29" s="13">
        <v>1</v>
      </c>
      <c r="W29" s="92" t="str">
        <v>RMB</v>
      </c>
      <c r="X29" s="97">
        <v>1.0669999999999999</v>
      </c>
      <c r="Y29" s="92">
        <v>622297.06194690266</v>
      </c>
      <c r="Z29" s="219">
        <v>0.12</v>
      </c>
      <c r="AB29" s="13">
        <v>2025</v>
      </c>
      <c r="AC29" s="13">
        <v>3</v>
      </c>
      <c r="AD29" s="13" t="str">
        <v>SOUTH</v>
      </c>
      <c r="AE29" s="13" t="str">
        <v>C49SZX20250040SX</v>
      </c>
      <c r="AF29" s="13" t="str">
        <v>悦之彩</v>
      </c>
      <c r="AG29" s="13" t="str">
        <v>YSM10</v>
      </c>
      <c r="AH29" s="13">
        <v>1</v>
      </c>
      <c r="AI29" s="92" t="str">
        <v>RMB</v>
      </c>
      <c r="AJ29" s="118">
        <v>393000</v>
      </c>
      <c r="AK29" s="97">
        <v>1.0669999999999999</v>
      </c>
      <c r="AL29" s="92">
        <v>371089.38053097349</v>
      </c>
      <c r="AM29" s="219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3</v>
      </c>
      <c r="R30" s="13" t="str">
        <v>SOUTH</v>
      </c>
      <c r="S30" s="13" t="str">
        <v>C28SZX20240214LH</v>
      </c>
      <c r="T30" s="13" t="str">
        <v>中山得意</v>
      </c>
      <c r="U30" s="13" t="str">
        <v>Heller 1913MK5N2</v>
      </c>
      <c r="V30" s="13">
        <v>1</v>
      </c>
      <c r="W30" s="92" t="str">
        <v>RMB</v>
      </c>
      <c r="X30" s="97">
        <v>1.0669999999999999</v>
      </c>
      <c r="Y30" s="92">
        <v>590343.7168141593</v>
      </c>
      <c r="Z30" s="219">
        <v>0.12</v>
      </c>
      <c r="AB30" s="13">
        <v>2025</v>
      </c>
      <c r="AC30" s="13">
        <v>3</v>
      </c>
      <c r="AD30" s="13" t="str">
        <v>SOUTH</v>
      </c>
      <c r="AE30" s="13" t="str">
        <v>C49SZX20250040SX</v>
      </c>
      <c r="AF30" s="13" t="str">
        <v>悦之彩</v>
      </c>
      <c r="AG30" s="13" t="str">
        <v>YSM10</v>
      </c>
      <c r="AH30" s="13">
        <v>1</v>
      </c>
      <c r="AI30" s="92" t="str">
        <v>RMB</v>
      </c>
      <c r="AJ30" s="118">
        <v>393000</v>
      </c>
      <c r="AK30" s="97">
        <v>1.0669999999999999</v>
      </c>
      <c r="AL30" s="92">
        <v>371089.38053097349</v>
      </c>
      <c r="AM30" s="219">
        <v>0.12</v>
      </c>
    </row>
    <row r="31" spans="1:39">
      <c r="A31" s="167"/>
      <c r="B31" s="168"/>
      <c r="P31" s="13">
        <v>2025</v>
      </c>
      <c r="Q31" s="13">
        <v>3</v>
      </c>
      <c r="R31" s="13" t="str">
        <v>SOUTH</v>
      </c>
      <c r="S31" s="13" t="str">
        <v>C49SZX20250012BH</v>
      </c>
      <c r="T31" s="13" t="str">
        <v>炬轩</v>
      </c>
      <c r="U31" s="13" t="str">
        <v>YSM20R</v>
      </c>
      <c r="V31" s="13">
        <v>1</v>
      </c>
      <c r="W31" s="92" t="str">
        <v>JPY</v>
      </c>
      <c r="X31" s="97">
        <v>5.2999999999999999E-2</v>
      </c>
      <c r="Y31" s="92">
        <v>662500</v>
      </c>
      <c r="Z31" s="219">
        <v>0.12</v>
      </c>
      <c r="AB31" s="13">
        <v>2025</v>
      </c>
      <c r="AC31" s="13">
        <v>3</v>
      </c>
      <c r="AD31" s="13" t="str">
        <v>SOUTH</v>
      </c>
      <c r="AE31" s="13" t="str">
        <v>C49SZX20250039EC</v>
      </c>
      <c r="AF31" s="13" t="str">
        <v>海红天远（end user: 珠海海红）</v>
      </c>
      <c r="AG31" s="13" t="str">
        <v>YRM20</v>
      </c>
      <c r="AH31" s="13">
        <v>1</v>
      </c>
      <c r="AI31" s="92" t="str">
        <v>RMB</v>
      </c>
      <c r="AJ31" s="118">
        <v>980000</v>
      </c>
      <c r="AK31" s="97">
        <v>1.0669999999999999</v>
      </c>
      <c r="AL31" s="92">
        <v>925362.83185840712</v>
      </c>
      <c r="AM31" s="219">
        <v>0.12</v>
      </c>
    </row>
    <row r="32" spans="1:39">
      <c r="A32" s="167"/>
      <c r="B32" s="168"/>
      <c r="P32" s="13">
        <v>2025</v>
      </c>
      <c r="Q32" s="13">
        <v>3</v>
      </c>
      <c r="R32" s="13" t="str">
        <v>SOUTH</v>
      </c>
      <c r="S32" s="13" t="str">
        <v>C49SZX20250012BH</v>
      </c>
      <c r="T32" s="13" t="str">
        <v>炬轩</v>
      </c>
      <c r="U32" s="13" t="str">
        <v>YSM10</v>
      </c>
      <c r="V32" s="13">
        <v>1</v>
      </c>
      <c r="W32" s="92" t="str">
        <v>JPY</v>
      </c>
      <c r="X32" s="97">
        <v>5.2999999999999999E-2</v>
      </c>
      <c r="Y32" s="92">
        <v>406510</v>
      </c>
      <c r="Z32" s="219">
        <v>0.12</v>
      </c>
      <c r="AB32" s="13">
        <v>2025</v>
      </c>
      <c r="AC32" s="13">
        <v>3</v>
      </c>
      <c r="AD32" s="13" t="str">
        <v>SOUTH</v>
      </c>
      <c r="AE32" s="13" t="str">
        <v>C49SZX20250039EC</v>
      </c>
      <c r="AF32" s="13" t="str">
        <v>海红天远（end user: 珠海海红）</v>
      </c>
      <c r="AG32" s="13" t="str">
        <v>YRM20</v>
      </c>
      <c r="AH32" s="13">
        <v>1</v>
      </c>
      <c r="AI32" s="92" t="str">
        <v>RMB</v>
      </c>
      <c r="AJ32" s="118">
        <v>980000</v>
      </c>
      <c r="AK32" s="97">
        <v>1.0669999999999999</v>
      </c>
      <c r="AL32" s="92">
        <v>925362.83185840712</v>
      </c>
      <c r="AM32" s="219">
        <v>0.12</v>
      </c>
    </row>
    <row r="33" spans="1:39">
      <c r="A33" s="167"/>
      <c r="B33" s="168"/>
      <c r="P33" s="13">
        <v>2025</v>
      </c>
      <c r="Q33" s="13">
        <v>3</v>
      </c>
      <c r="R33" s="13" t="str">
        <v>NORTH</v>
      </c>
      <c r="S33" s="13">
        <v>71375</v>
      </c>
      <c r="T33" s="13" t="str">
        <v>歌尔微电子</v>
      </c>
      <c r="U33" s="13" t="str">
        <v>HELLER 1936MK5</v>
      </c>
      <c r="V33" s="13">
        <v>1</v>
      </c>
      <c r="W33" s="92" t="str">
        <v>USD</v>
      </c>
      <c r="X33" s="97">
        <v>7.8</v>
      </c>
      <c r="Y33" s="92">
        <v>755820</v>
      </c>
      <c r="Z33" s="219">
        <v>0.12</v>
      </c>
      <c r="AB33" s="13">
        <v>2025</v>
      </c>
      <c r="AC33" s="13">
        <v>3</v>
      </c>
      <c r="AD33" s="13" t="str">
        <v>SOUTH</v>
      </c>
      <c r="AE33" s="13" t="str">
        <v>C49SZX20250039EC</v>
      </c>
      <c r="AF33" s="13" t="str">
        <v>海红天远（end user: 珠海海红）</v>
      </c>
      <c r="AG33" s="13" t="str">
        <v>YRM20</v>
      </c>
      <c r="AH33" s="13">
        <v>1</v>
      </c>
      <c r="AI33" s="92" t="str">
        <v>RMB</v>
      </c>
      <c r="AJ33" s="118">
        <v>980000</v>
      </c>
      <c r="AK33" s="97">
        <v>1.0669999999999999</v>
      </c>
      <c r="AL33" s="92">
        <v>925362.83185840712</v>
      </c>
      <c r="AM33" s="219">
        <v>0.12</v>
      </c>
    </row>
    <row r="34" spans="1:39">
      <c r="A34" s="167"/>
      <c r="B34" s="168"/>
      <c r="P34" s="13">
        <v>2025</v>
      </c>
      <c r="Q34" s="13">
        <v>3</v>
      </c>
      <c r="R34" s="13" t="str">
        <v>NORTH</v>
      </c>
      <c r="S34" s="13" t="str">
        <v>C49BJS20250109ZX</v>
      </c>
      <c r="T34" s="13" t="str">
        <v>营口新山鹰</v>
      </c>
      <c r="U34" s="13" t="str">
        <v>YSM20R</v>
      </c>
      <c r="V34" s="13">
        <v>1</v>
      </c>
      <c r="W34" s="92" t="str">
        <v>RMB</v>
      </c>
      <c r="X34" s="97">
        <v>1.0669999999999999</v>
      </c>
      <c r="Y34" s="92">
        <v>708185.84070796473</v>
      </c>
      <c r="Z34" s="219">
        <v>0.12</v>
      </c>
      <c r="AB34" s="13">
        <v>2025</v>
      </c>
      <c r="AC34" s="13">
        <v>3</v>
      </c>
      <c r="AD34" s="13" t="str">
        <v>SOUTH</v>
      </c>
      <c r="AE34" s="13" t="str">
        <v>C49SZX20250039EC</v>
      </c>
      <c r="AF34" s="13" t="str">
        <v>海红天远（end user: 珠海海红）</v>
      </c>
      <c r="AG34" s="13" t="str">
        <v>YSM20R</v>
      </c>
      <c r="AH34" s="13">
        <v>1</v>
      </c>
      <c r="AI34" s="92" t="str">
        <v>RMB</v>
      </c>
      <c r="AJ34" s="118">
        <v>900000</v>
      </c>
      <c r="AK34" s="97">
        <v>1.0669999999999999</v>
      </c>
      <c r="AL34" s="92">
        <v>849823.00884955749</v>
      </c>
      <c r="AM34" s="219">
        <v>0.12</v>
      </c>
    </row>
    <row r="35" spans="1:39">
      <c r="A35" s="167"/>
      <c r="B35" s="168"/>
      <c r="P35" s="13">
        <v>2025</v>
      </c>
      <c r="Q35" s="13">
        <v>3</v>
      </c>
      <c r="R35" s="13" t="str">
        <v>NORTH</v>
      </c>
      <c r="S35" s="13" t="str">
        <v>C49BJS20250109ZX</v>
      </c>
      <c r="T35" s="13" t="str">
        <v>营口新山鹰</v>
      </c>
      <c r="U35" s="13" t="str">
        <v>YSM10</v>
      </c>
      <c r="V35" s="13">
        <v>1</v>
      </c>
      <c r="W35" s="92" t="str">
        <v>RMB</v>
      </c>
      <c r="X35" s="97">
        <v>1.0669999999999999</v>
      </c>
      <c r="Y35" s="92">
        <v>585433.62831858417</v>
      </c>
      <c r="Z35" s="219">
        <v>0.12</v>
      </c>
      <c r="AB35" s="13">
        <v>2025</v>
      </c>
      <c r="AC35" s="13">
        <v>3</v>
      </c>
      <c r="AD35" s="13" t="str">
        <v>SOUTH</v>
      </c>
      <c r="AE35" s="13" t="str">
        <v>C49SZX20250039EC</v>
      </c>
      <c r="AF35" s="13" t="str">
        <v>海红天远（end user: 珠海海红）</v>
      </c>
      <c r="AG35" s="13" t="str">
        <v>YSM10</v>
      </c>
      <c r="AH35" s="13">
        <v>1</v>
      </c>
      <c r="AI35" s="92" t="str">
        <v>RMB</v>
      </c>
      <c r="AJ35" s="118">
        <v>680000</v>
      </c>
      <c r="AK35" s="97">
        <v>1.0669999999999999</v>
      </c>
      <c r="AL35" s="92">
        <v>642088.49557522126</v>
      </c>
      <c r="AM35" s="219">
        <v>0.12</v>
      </c>
    </row>
    <row r="36" spans="1:39">
      <c r="A36" s="167"/>
      <c r="B36" s="168"/>
      <c r="P36" s="13">
        <v>2025</v>
      </c>
      <c r="Q36" s="13">
        <v>3</v>
      </c>
      <c r="R36" s="13" t="str">
        <v>EAST</v>
      </c>
      <c r="S36" s="13" t="str">
        <v>C49SHA20250213/JXD</v>
      </c>
      <c r="T36" s="13" t="str">
        <v>丹阳市新欧普</v>
      </c>
      <c r="U36" s="13" t="str">
        <v>YSM10</v>
      </c>
      <c r="V36" s="13">
        <v>1</v>
      </c>
      <c r="W36" s="92" t="str">
        <v>RMB</v>
      </c>
      <c r="X36" s="97">
        <v>1.0669999999999999</v>
      </c>
      <c r="Y36" s="92">
        <v>400172.2123893805</v>
      </c>
      <c r="Z36" s="219">
        <v>0.12</v>
      </c>
      <c r="AB36" s="13">
        <v>2025</v>
      </c>
      <c r="AC36" s="13">
        <v>3</v>
      </c>
      <c r="AD36" s="13" t="str">
        <v>SOUTH</v>
      </c>
      <c r="AE36" s="13" t="str">
        <v>C49SZX20250039EC</v>
      </c>
      <c r="AF36" s="13" t="str">
        <v>海红天远（end user: 珠海海红）</v>
      </c>
      <c r="AG36" s="13" t="str">
        <v>YSM10</v>
      </c>
      <c r="AH36" s="13">
        <v>1</v>
      </c>
      <c r="AI36" s="92" t="str">
        <v>RMB</v>
      </c>
      <c r="AJ36" s="118">
        <v>680000</v>
      </c>
      <c r="AK36" s="97">
        <v>1.0669999999999999</v>
      </c>
      <c r="AL36" s="92">
        <v>642088.49557522126</v>
      </c>
      <c r="AM36" s="219">
        <v>0.12</v>
      </c>
    </row>
    <row r="37" spans="1:39">
      <c r="A37" s="167"/>
      <c r="B37" s="168"/>
      <c r="P37" s="13">
        <v>2025</v>
      </c>
      <c r="Q37" s="13">
        <v>3</v>
      </c>
      <c r="R37" s="13" t="str">
        <v>NORTH</v>
      </c>
      <c r="S37" s="13" t="str">
        <v>C49BJS20250220ZX</v>
      </c>
      <c r="T37" s="13" t="str">
        <v>北京星际智控</v>
      </c>
      <c r="U37" s="13" t="str">
        <v>YSM20R</v>
      </c>
      <c r="V37" s="13">
        <v>1</v>
      </c>
      <c r="W37" s="92" t="str">
        <v>RMB</v>
      </c>
      <c r="X37" s="97">
        <v>1.0669999999999999</v>
      </c>
      <c r="Y37" s="92">
        <v>764840.70796460181</v>
      </c>
      <c r="Z37" s="219">
        <v>0.12</v>
      </c>
      <c r="AB37" s="13">
        <v>2025</v>
      </c>
      <c r="AC37" s="13">
        <v>3</v>
      </c>
      <c r="AD37" s="13" t="str">
        <v>EAST</v>
      </c>
      <c r="AE37" s="13" t="str">
        <v>C49SHA20250313/TWB</v>
      </c>
      <c r="AF37" s="13" t="str">
        <v>丽水市长新</v>
      </c>
      <c r="AG37" s="13" t="str">
        <v>YSM10</v>
      </c>
      <c r="AH37" s="13">
        <v>1</v>
      </c>
      <c r="AI37" s="92" t="str">
        <v>RMB</v>
      </c>
      <c r="AJ37" s="118">
        <v>410000</v>
      </c>
      <c r="AK37" s="97">
        <v>1.0669999999999999</v>
      </c>
      <c r="AL37" s="92">
        <v>387141.59292035404</v>
      </c>
      <c r="AM37" s="219">
        <v>0.12</v>
      </c>
    </row>
    <row r="38" spans="1:39">
      <c r="A38" s="167"/>
      <c r="B38" s="168"/>
      <c r="P38" s="13">
        <v>2025</v>
      </c>
      <c r="Q38" s="13">
        <v>3</v>
      </c>
      <c r="R38" s="13" t="str">
        <v>NORTH</v>
      </c>
      <c r="S38" s="13" t="str">
        <v>C49BJS20250220ZX</v>
      </c>
      <c r="T38" s="13" t="str">
        <v>北京星际智控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679858.40707964601</v>
      </c>
      <c r="Z38" s="219">
        <v>0.12</v>
      </c>
      <c r="AB38" s="13">
        <v>2025</v>
      </c>
      <c r="AC38" s="13">
        <v>3</v>
      </c>
      <c r="AD38" s="13" t="str">
        <v>WEST</v>
      </c>
      <c r="AE38" s="13" t="str">
        <v>C49CTU20250307/FZM</v>
      </c>
      <c r="AF38" s="13" t="str">
        <v>四川蓝景光电</v>
      </c>
      <c r="AG38" s="13" t="str">
        <v>MVC</v>
      </c>
      <c r="AH38" s="13">
        <v>0</v>
      </c>
      <c r="AI38" s="92" t="str">
        <v>RMB</v>
      </c>
      <c r="AJ38" s="118">
        <v>15000</v>
      </c>
      <c r="AK38" s="97">
        <v>1.0669999999999999</v>
      </c>
      <c r="AL38" s="92">
        <v>14163.716814159292</v>
      </c>
      <c r="AM38" s="219">
        <v>0.12</v>
      </c>
    </row>
    <row r="39" spans="1:39">
      <c r="A39" s="167"/>
      <c r="B39" s="168"/>
      <c r="P39" s="13">
        <v>2025</v>
      </c>
      <c r="Q39" s="13">
        <v>3</v>
      </c>
      <c r="R39" s="13" t="str">
        <v>SOUTH</v>
      </c>
      <c r="S39" s="13" t="str">
        <v>C49SZX20250023JY</v>
      </c>
      <c r="T39" s="13" t="str">
        <v>晟锦威</v>
      </c>
      <c r="U39" s="13" t="str">
        <v>YSM10</v>
      </c>
      <c r="V39" s="13">
        <v>1</v>
      </c>
      <c r="W39" s="92" t="str">
        <v>RMB</v>
      </c>
      <c r="X39" s="97">
        <v>1.0669999999999999</v>
      </c>
      <c r="Y39" s="92">
        <v>369295.30973451328</v>
      </c>
      <c r="Z39" s="219">
        <v>0.12</v>
      </c>
      <c r="AB39" s="13">
        <v>2025</v>
      </c>
      <c r="AC39" s="13">
        <v>3</v>
      </c>
      <c r="AD39" s="13" t="str">
        <v>SOUTH</v>
      </c>
      <c r="AE39" s="13" t="str">
        <v>C49SZX20250031JY</v>
      </c>
      <c r="AF39" s="13" t="str">
        <v>宏翔福（end user:迪爱）</v>
      </c>
      <c r="AG39" s="13" t="str">
        <v>YSM10</v>
      </c>
      <c r="AH39" s="13">
        <v>1</v>
      </c>
      <c r="AI39" s="92" t="str">
        <v>RMB</v>
      </c>
      <c r="AJ39" s="118">
        <v>386000</v>
      </c>
      <c r="AK39" s="97">
        <v>1.0669999999999999</v>
      </c>
      <c r="AL39" s="92">
        <v>364479.64601769909</v>
      </c>
      <c r="AM39" s="219">
        <v>0.12</v>
      </c>
    </row>
    <row r="40" spans="1:39">
      <c r="A40" s="103"/>
      <c r="B40" s="40"/>
      <c r="P40" s="13">
        <v>2025</v>
      </c>
      <c r="Q40" s="13">
        <v>3</v>
      </c>
      <c r="R40" s="13" t="str">
        <v>SOUTH</v>
      </c>
      <c r="S40" s="13" t="str">
        <v>C49SZX20250023JY</v>
      </c>
      <c r="T40" s="13" t="str">
        <v>晟锦威</v>
      </c>
      <c r="U40" s="13" t="str">
        <v>YSM10</v>
      </c>
      <c r="V40" s="13">
        <v>1</v>
      </c>
      <c r="W40" s="92" t="str">
        <v>RMB</v>
      </c>
      <c r="X40" s="97">
        <v>1.0669999999999999</v>
      </c>
      <c r="Y40" s="92">
        <v>369295.30973451328</v>
      </c>
      <c r="Z40" s="219">
        <v>0.12</v>
      </c>
      <c r="AB40" s="13">
        <v>2025</v>
      </c>
      <c r="AC40" s="13">
        <v>3</v>
      </c>
      <c r="AD40" s="13" t="str">
        <v>SOUTH</v>
      </c>
      <c r="AE40" s="13" t="str">
        <v>C49SZX20250041SS</v>
      </c>
      <c r="AF40" s="13" t="str">
        <v>盈通恒翼</v>
      </c>
      <c r="AG40" s="13" t="str">
        <v>YSM10</v>
      </c>
      <c r="AH40" s="13">
        <v>1</v>
      </c>
      <c r="AI40" s="92" t="str">
        <v>RMB</v>
      </c>
      <c r="AJ40" s="118">
        <v>410000</v>
      </c>
      <c r="AK40" s="97">
        <v>1.0669999999999999</v>
      </c>
      <c r="AL40" s="92">
        <v>387141.59292035404</v>
      </c>
      <c r="AM40" s="219">
        <v>0.12</v>
      </c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C49SZX20250045EC</v>
      </c>
      <c r="T41" s="13" t="str">
        <v>仟朝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349371.68141592923</v>
      </c>
      <c r="Z41" s="219">
        <v>0.12</v>
      </c>
      <c r="AB41" s="13">
        <v>2025</v>
      </c>
      <c r="AC41" s="13">
        <v>3</v>
      </c>
      <c r="AD41" s="13" t="str">
        <v>SOUTH</v>
      </c>
      <c r="AE41" s="13" t="str">
        <v>C49SZX20250042SX</v>
      </c>
      <c r="AF41" s="13" t="str">
        <v>悦之彩</v>
      </c>
      <c r="AG41" s="13" t="str">
        <v>YSM10</v>
      </c>
      <c r="AH41" s="13">
        <v>1</v>
      </c>
      <c r="AI41" s="92" t="str">
        <v>RMB</v>
      </c>
      <c r="AJ41" s="118">
        <v>393000</v>
      </c>
      <c r="AK41" s="97">
        <v>1.0669999999999999</v>
      </c>
      <c r="AL41" s="92">
        <v>371089.38053097349</v>
      </c>
      <c r="AM41" s="219">
        <v>0.12</v>
      </c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C49SZX20250045EC</v>
      </c>
      <c r="T42" s="13" t="str">
        <v>仟朝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349371.68141592923</v>
      </c>
      <c r="Z42" s="219">
        <v>0.12</v>
      </c>
      <c r="AB42" s="13">
        <v>2025</v>
      </c>
      <c r="AC42" s="13">
        <v>3</v>
      </c>
      <c r="AD42" s="13" t="str">
        <v>SOUTH</v>
      </c>
      <c r="AE42" s="13" t="str">
        <v>C49SZX20250042SX</v>
      </c>
      <c r="AF42" s="13" t="str">
        <v>悦之彩</v>
      </c>
      <c r="AG42" s="13" t="str">
        <v>YSM10</v>
      </c>
      <c r="AH42" s="13">
        <v>1</v>
      </c>
      <c r="AI42" s="92" t="str">
        <v>RMB</v>
      </c>
      <c r="AJ42" s="118">
        <v>393000</v>
      </c>
      <c r="AK42" s="97">
        <v>1.0669999999999999</v>
      </c>
      <c r="AL42" s="92">
        <v>371089.38053097349</v>
      </c>
      <c r="AM42" s="219">
        <v>0.12</v>
      </c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C49SZX20250030SX</v>
      </c>
      <c r="T43" s="13" t="str">
        <v>锐诚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427980.30973451328</v>
      </c>
      <c r="Z43" s="219">
        <v>0.12</v>
      </c>
      <c r="AB43" s="13">
        <v>2025</v>
      </c>
      <c r="AC43" s="13">
        <v>3</v>
      </c>
      <c r="AD43" s="13" t="str">
        <v>EAST</v>
      </c>
      <c r="AE43" s="13" t="str">
        <v>C49SHA20250320/LQM</v>
      </c>
      <c r="AF43" s="13" t="str">
        <v>江苏信利</v>
      </c>
      <c r="AG43" s="13" t="str">
        <v>YRM20R</v>
      </c>
      <c r="AH43" s="13">
        <v>1</v>
      </c>
      <c r="AI43" s="92" t="str">
        <v>RMB</v>
      </c>
      <c r="AJ43" s="118">
        <v>789386</v>
      </c>
      <c r="AK43" s="97">
        <v>1.0669999999999999</v>
      </c>
      <c r="AL43" s="92">
        <v>745375.9840707964</v>
      </c>
      <c r="AM43" s="219">
        <v>0.12</v>
      </c>
    </row>
    <row r="44" spans="1:39">
      <c r="A44" s="103"/>
      <c r="B44" s="40"/>
      <c r="P44" s="13">
        <v>2025</v>
      </c>
      <c r="Q44" s="13">
        <v>3</v>
      </c>
      <c r="R44" s="13" t="str">
        <v>SOUTH</v>
      </c>
      <c r="S44" s="13" t="str">
        <v>C49SZX20250030SX</v>
      </c>
      <c r="T44" s="13" t="str">
        <v>锐诚</v>
      </c>
      <c r="U44" s="13" t="str">
        <v>YSM10</v>
      </c>
      <c r="V44" s="13">
        <v>1</v>
      </c>
      <c r="W44" s="92" t="str">
        <v>RMB</v>
      </c>
      <c r="X44" s="97">
        <v>1.0669999999999999</v>
      </c>
      <c r="Y44" s="92">
        <v>427980.30973451328</v>
      </c>
      <c r="Z44" s="219">
        <v>0.12</v>
      </c>
      <c r="AB44" s="13">
        <v>2025</v>
      </c>
      <c r="AC44" s="13">
        <v>3</v>
      </c>
      <c r="AD44" s="13" t="str">
        <v>EAST</v>
      </c>
      <c r="AE44" s="13" t="str">
        <v>C49SHA20250320/LQM</v>
      </c>
      <c r="AF44" s="13" t="str">
        <v>江苏信利</v>
      </c>
      <c r="AG44" s="13" t="str">
        <v>YRM20R</v>
      </c>
      <c r="AH44" s="13">
        <v>1</v>
      </c>
      <c r="AI44" s="92" t="str">
        <v>RMB</v>
      </c>
      <c r="AJ44" s="118">
        <v>789386</v>
      </c>
      <c r="AK44" s="97">
        <v>1.0669999999999999</v>
      </c>
      <c r="AL44" s="92">
        <v>745375.9840707964</v>
      </c>
      <c r="AM44" s="219">
        <v>0.12</v>
      </c>
    </row>
    <row r="45" spans="1:39">
      <c r="A45" s="103"/>
      <c r="B45" s="40"/>
      <c r="P45" s="13">
        <v>2025</v>
      </c>
      <c r="Q45" s="13">
        <v>3</v>
      </c>
      <c r="R45" s="13" t="str">
        <v>EAST</v>
      </c>
      <c r="S45" s="13" t="str">
        <v>C49SHA20250221/TWB</v>
      </c>
      <c r="T45" s="13" t="str">
        <v>宁波朗能</v>
      </c>
      <c r="U45" s="13" t="str">
        <v>YSM20R</v>
      </c>
      <c r="V45" s="13">
        <v>1</v>
      </c>
      <c r="W45" s="92" t="str">
        <v>RMB</v>
      </c>
      <c r="X45" s="97">
        <v>1.0669999999999999</v>
      </c>
      <c r="Y45" s="92">
        <v>613761.06194690266</v>
      </c>
      <c r="Z45" s="219">
        <v>0.12</v>
      </c>
      <c r="AB45" s="13">
        <v>2025</v>
      </c>
      <c r="AC45" s="13">
        <v>3</v>
      </c>
      <c r="AD45" s="13" t="str">
        <v>EAST</v>
      </c>
      <c r="AE45" s="13" t="str">
        <v>C49SHA20250320/LQM</v>
      </c>
      <c r="AF45" s="13" t="str">
        <v>江苏信利</v>
      </c>
      <c r="AG45" s="13" t="str">
        <v>YRM20R</v>
      </c>
      <c r="AH45" s="13">
        <v>1</v>
      </c>
      <c r="AI45" s="92" t="str">
        <v>RMB</v>
      </c>
      <c r="AJ45" s="118">
        <v>789386</v>
      </c>
      <c r="AK45" s="97">
        <v>1.0669999999999999</v>
      </c>
      <c r="AL45" s="92">
        <v>745375.9840707964</v>
      </c>
      <c r="AM45" s="219">
        <v>0.12</v>
      </c>
    </row>
    <row r="46" spans="1:39">
      <c r="A46" s="103"/>
      <c r="B46" s="40"/>
      <c r="P46" s="13">
        <v>2025</v>
      </c>
      <c r="Q46" s="13">
        <v>3</v>
      </c>
      <c r="R46" s="13" t="str">
        <v>EAST</v>
      </c>
      <c r="S46" s="13" t="str">
        <v>C49SHA20250221/TWB</v>
      </c>
      <c r="T46" s="13" t="str">
        <v>宁波朗能</v>
      </c>
      <c r="U46" s="13" t="str">
        <v>YSM10</v>
      </c>
      <c r="V46" s="13">
        <v>1</v>
      </c>
      <c r="W46" s="92" t="str">
        <v>RMB</v>
      </c>
      <c r="X46" s="97">
        <v>1.0669999999999999</v>
      </c>
      <c r="Y46" s="92">
        <v>367312.38938053098</v>
      </c>
      <c r="Z46" s="219">
        <v>0.12</v>
      </c>
      <c r="AB46" s="13">
        <v>2025</v>
      </c>
      <c r="AC46" s="13">
        <v>3</v>
      </c>
      <c r="AD46" s="13" t="str">
        <v>EAST</v>
      </c>
      <c r="AE46" s="13" t="str">
        <v>C49SHA20250320/LQM</v>
      </c>
      <c r="AF46" s="13" t="str">
        <v>江苏信利</v>
      </c>
      <c r="AG46" s="13" t="str">
        <v>YSM10</v>
      </c>
      <c r="AH46" s="13">
        <v>1</v>
      </c>
      <c r="AI46" s="92" t="str">
        <v>RMB</v>
      </c>
      <c r="AJ46" s="118">
        <v>495471</v>
      </c>
      <c r="AK46" s="97">
        <v>1.0669999999999999</v>
      </c>
      <c r="AL46" s="92">
        <v>467847.39557522128</v>
      </c>
      <c r="AM46" s="219">
        <v>0.12</v>
      </c>
    </row>
    <row r="47" spans="1:39">
      <c r="A47" s="103"/>
      <c r="B47" s="40"/>
      <c r="P47" s="13">
        <v>2025</v>
      </c>
      <c r="Q47" s="13">
        <v>3</v>
      </c>
      <c r="R47" s="13" t="str">
        <v>EAST</v>
      </c>
      <c r="S47" s="13" t="str">
        <v>C49SHA20250221/TWB</v>
      </c>
      <c r="T47" s="13" t="str">
        <v>宁波朗能</v>
      </c>
      <c r="U47" s="13" t="str">
        <v>Feeder</v>
      </c>
      <c r="V47" s="13">
        <v>0</v>
      </c>
      <c r="W47" s="92" t="str">
        <v>RMB</v>
      </c>
      <c r="X47" s="97">
        <v>1.0669999999999999</v>
      </c>
      <c r="Y47" s="92">
        <v>152023.89380530975</v>
      </c>
      <c r="Z47" s="219">
        <v>0.12</v>
      </c>
      <c r="AB47" s="13">
        <v>2025</v>
      </c>
      <c r="AC47" s="13">
        <v>3</v>
      </c>
      <c r="AD47" s="13" t="str">
        <v>EAST</v>
      </c>
      <c r="AE47" s="13" t="str">
        <v>C49SHA20250320/LQM</v>
      </c>
      <c r="AF47" s="13" t="str">
        <v>江苏信利</v>
      </c>
      <c r="AG47" s="13" t="str">
        <v>YSM10</v>
      </c>
      <c r="AH47" s="13">
        <v>1</v>
      </c>
      <c r="AI47" s="92" t="str">
        <v>RMB</v>
      </c>
      <c r="AJ47" s="118">
        <v>495471</v>
      </c>
      <c r="AK47" s="97">
        <v>1.0669999999999999</v>
      </c>
      <c r="AL47" s="92">
        <v>467847.39557522128</v>
      </c>
      <c r="AM47" s="219">
        <v>0.12</v>
      </c>
    </row>
    <row r="48" spans="1:39">
      <c r="A48" s="103"/>
      <c r="B48" s="40"/>
      <c r="P48" s="13">
        <v>2025</v>
      </c>
      <c r="Q48" s="13">
        <v>3</v>
      </c>
      <c r="R48" s="13" t="str">
        <v>SOUTH</v>
      </c>
      <c r="S48" s="13" t="str">
        <v>C49SZX20250029JY</v>
      </c>
      <c r="T48" s="13" t="str">
        <v>建航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380059.73451327439</v>
      </c>
      <c r="Z48" s="219">
        <v>0.12</v>
      </c>
      <c r="AB48" s="13">
        <v>2025</v>
      </c>
      <c r="AC48" s="13">
        <v>3</v>
      </c>
      <c r="AD48" s="13" t="str">
        <v>EAST</v>
      </c>
      <c r="AE48" s="13" t="str">
        <v>C28SHA20250320/LQM</v>
      </c>
      <c r="AF48" s="13" t="str">
        <v>江苏信利</v>
      </c>
      <c r="AG48" s="13" t="str">
        <v>YSi-V</v>
      </c>
      <c r="AH48" s="13">
        <v>1</v>
      </c>
      <c r="AI48" s="92" t="str">
        <v>RMB</v>
      </c>
      <c r="AJ48" s="118">
        <v>420000</v>
      </c>
      <c r="AK48" s="97">
        <v>1.0669999999999999</v>
      </c>
      <c r="AL48" s="92">
        <v>396584.0707964602</v>
      </c>
      <c r="AM48" s="219">
        <v>0.12</v>
      </c>
    </row>
    <row r="49" spans="1:39">
      <c r="A49" s="103"/>
      <c r="B49" s="40"/>
      <c r="P49" s="13">
        <v>2025</v>
      </c>
      <c r="Q49" s="13">
        <v>3</v>
      </c>
      <c r="R49" s="13" t="str">
        <v>SOUTH</v>
      </c>
      <c r="S49" s="13" t="str">
        <v>C49SZX20250029JY</v>
      </c>
      <c r="T49" s="13" t="str">
        <v>建航</v>
      </c>
      <c r="U49" s="13" t="str">
        <v>YSM10</v>
      </c>
      <c r="V49" s="13">
        <v>1</v>
      </c>
      <c r="W49" s="92" t="str">
        <v>RMB</v>
      </c>
      <c r="X49" s="97">
        <v>1.0669999999999999</v>
      </c>
      <c r="Y49" s="92">
        <v>380059.73451327439</v>
      </c>
      <c r="Z49" s="219">
        <v>0.12</v>
      </c>
      <c r="AB49" s="13">
        <v>2025</v>
      </c>
      <c r="AC49" s="13">
        <v>3</v>
      </c>
      <c r="AD49" s="13" t="str">
        <v>EAST</v>
      </c>
      <c r="AE49" s="13" t="str">
        <v>C28SHA20250320/LQM</v>
      </c>
      <c r="AF49" s="13" t="str">
        <v>江苏信利</v>
      </c>
      <c r="AG49" s="13" t="str">
        <v>YSi-V</v>
      </c>
      <c r="AH49" s="13">
        <v>1</v>
      </c>
      <c r="AI49" s="92" t="str">
        <v>RMB</v>
      </c>
      <c r="AJ49" s="118">
        <v>420000</v>
      </c>
      <c r="AK49" s="97">
        <v>1.0669999999999999</v>
      </c>
      <c r="AL49" s="92">
        <v>396584.0707964602</v>
      </c>
      <c r="AM49" s="219">
        <v>0.12</v>
      </c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C49SZX20250026JY</v>
      </c>
      <c r="T50" s="13" t="str">
        <v>捷舜诚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354092.92035398236</v>
      </c>
      <c r="Z50" s="219">
        <v>0.12</v>
      </c>
      <c r="AB50" s="13">
        <v>2025</v>
      </c>
      <c r="AC50" s="13">
        <v>3</v>
      </c>
      <c r="AD50" s="13" t="str">
        <v>EAST</v>
      </c>
      <c r="AE50" s="13" t="str">
        <v>C28SHA20250320/LQM</v>
      </c>
      <c r="AF50" s="13" t="str">
        <v>江苏信利</v>
      </c>
      <c r="AG50" s="13" t="str">
        <v>YSi-V</v>
      </c>
      <c r="AH50" s="13">
        <v>1</v>
      </c>
      <c r="AI50" s="92" t="str">
        <v>RMB</v>
      </c>
      <c r="AJ50" s="118">
        <v>420000</v>
      </c>
      <c r="AK50" s="97">
        <v>1.0669999999999999</v>
      </c>
      <c r="AL50" s="92">
        <v>396584.0707964602</v>
      </c>
      <c r="AM50" s="219">
        <v>0.12</v>
      </c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C49SZX20250032SX</v>
      </c>
      <c r="T51" s="13" t="str">
        <v>众一卓越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453238.93805309734</v>
      </c>
      <c r="Z51" s="21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C49SZX20250032SX</v>
      </c>
      <c r="T52" s="13" t="str">
        <v>众一卓越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453238.93805309734</v>
      </c>
      <c r="Z52" s="21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C49SZX20250033SX</v>
      </c>
      <c r="T53" s="13" t="str">
        <v>君泽</v>
      </c>
      <c r="U53" s="13" t="str">
        <v>YSM10</v>
      </c>
      <c r="V53" s="13">
        <v>1</v>
      </c>
      <c r="W53" s="92" t="str">
        <v>RMB</v>
      </c>
      <c r="X53" s="97">
        <v>1.0669999999999999</v>
      </c>
      <c r="Y53" s="92">
        <v>372977.87610619469</v>
      </c>
      <c r="Z53" s="21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>
        <v>2025</v>
      </c>
      <c r="Q54" s="13">
        <v>3</v>
      </c>
      <c r="R54" s="13" t="str">
        <v>SOUTH</v>
      </c>
      <c r="S54" s="13" t="str">
        <v>C49SZX20250033SX</v>
      </c>
      <c r="T54" s="13" t="str">
        <v>君泽</v>
      </c>
      <c r="U54" s="13" t="str">
        <v>DESEN DSP-10-YMH</v>
      </c>
      <c r="V54" s="13">
        <v>1</v>
      </c>
      <c r="W54" s="92" t="str">
        <v>RMB</v>
      </c>
      <c r="X54" s="97">
        <v>1.0669999999999999</v>
      </c>
      <c r="Y54" s="92">
        <v>146358.40707964604</v>
      </c>
      <c r="Z54" s="21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>
        <v>2025</v>
      </c>
      <c r="Q55" s="13">
        <v>3</v>
      </c>
      <c r="R55" s="13" t="str">
        <v>EAST</v>
      </c>
      <c r="S55" s="13" t="str">
        <v>C49SHA20250228ZQR</v>
      </c>
      <c r="T55" s="13" t="str">
        <v>宁波月立</v>
      </c>
      <c r="U55" s="13" t="str">
        <v>YSM10</v>
      </c>
      <c r="V55" s="13">
        <v>1</v>
      </c>
      <c r="W55" s="92" t="str">
        <v>RMB</v>
      </c>
      <c r="X55" s="97">
        <v>1.0669999999999999</v>
      </c>
      <c r="Y55" s="92">
        <v>380531.85840707965</v>
      </c>
      <c r="Z55" s="21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>
        <v>2025</v>
      </c>
      <c r="Q56" s="13">
        <v>3</v>
      </c>
      <c r="R56" s="13" t="str">
        <v>EAST</v>
      </c>
      <c r="S56" s="13" t="str">
        <v>C28SHA20250228</v>
      </c>
      <c r="T56" s="13" t="str">
        <v>上海多越</v>
      </c>
      <c r="U56" s="13" t="str">
        <v>YSi-V</v>
      </c>
      <c r="V56" s="13">
        <v>1</v>
      </c>
      <c r="W56" s="92" t="str">
        <v>RMB</v>
      </c>
      <c r="X56" s="97">
        <v>1.0669999999999999</v>
      </c>
      <c r="Y56" s="92">
        <v>321044.24778761063</v>
      </c>
      <c r="Z56" s="21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>
        <v>2025</v>
      </c>
      <c r="Q57" s="13">
        <v>3</v>
      </c>
      <c r="R57" s="13" t="str">
        <v>WEST</v>
      </c>
      <c r="S57" s="13" t="str">
        <v>C49XIY20250228LJY</v>
      </c>
      <c r="T57" s="13" t="str">
        <v>西安康发</v>
      </c>
      <c r="U57" s="13" t="str">
        <v>YSM10</v>
      </c>
      <c r="V57" s="13">
        <v>1</v>
      </c>
      <c r="W57" s="92" t="str">
        <v>RMB</v>
      </c>
      <c r="X57" s="97">
        <v>1.0669999999999999</v>
      </c>
      <c r="Y57" s="92">
        <v>472123.89380530978</v>
      </c>
      <c r="Z57" s="21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19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1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1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1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1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1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1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1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1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1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1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19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19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19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19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19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19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19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19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 P15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4">
    <cfRule type="notContainsBlanks" dxfId="6" priority="3" stopIfTrue="1">
      <formula>LEN(TRIM(P14))&gt;0</formula>
    </cfRule>
    <cfRule type="containsBlanks" dxfId="5" priority="4" stopIfTrue="1">
      <formula>LEN(TRIM(P14))=0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sheetPr codeName="Sheet4"/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5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41" t="s">
        <v>4</v>
      </c>
      <c r="B1" s="241" t="s">
        <v>15</v>
      </c>
      <c r="C1" s="241" t="s">
        <v>3753</v>
      </c>
      <c r="D1" s="240" t="s">
        <v>49</v>
      </c>
      <c r="E1" s="242" t="s">
        <v>50</v>
      </c>
      <c r="F1" s="243" t="s">
        <v>51</v>
      </c>
      <c r="G1" s="244" t="s">
        <v>52</v>
      </c>
    </row>
    <row r="2" spans="1:7">
      <c r="A2" s="15" t="s">
        <v>3690</v>
      </c>
      <c r="B2" s="15" t="s">
        <v>62</v>
      </c>
      <c r="C2" s="114">
        <v>312000000</v>
      </c>
      <c r="D2" s="245">
        <f>C2*0.6</f>
        <v>187200000</v>
      </c>
      <c r="E2" s="246">
        <f>C2*0.25</f>
        <v>78000000</v>
      </c>
      <c r="F2" s="247">
        <f>C2*0.08</f>
        <v>24960000</v>
      </c>
      <c r="G2" s="246">
        <f>C2*0.07</f>
        <v>21840000.000000004</v>
      </c>
    </row>
    <row r="3" spans="1:7">
      <c r="A3" s="15" t="s">
        <v>3690</v>
      </c>
      <c r="B3" s="15" t="s">
        <v>2055</v>
      </c>
      <c r="C3" s="114">
        <v>40000000</v>
      </c>
      <c r="D3" s="245">
        <f t="shared" ref="D3:D4" si="0">C3*0.6</f>
        <v>24000000</v>
      </c>
      <c r="E3" s="246">
        <f t="shared" ref="E3:E4" si="1">C3*0.25</f>
        <v>10000000</v>
      </c>
      <c r="F3" s="247">
        <f t="shared" ref="F3:F4" si="2">C3*0.08</f>
        <v>3200000</v>
      </c>
      <c r="G3" s="246">
        <f t="shared" ref="G3:G4" si="3">C3*0.07</f>
        <v>2800000.0000000005</v>
      </c>
    </row>
    <row r="4" spans="1:7">
      <c r="A4" s="15" t="s">
        <v>3690</v>
      </c>
      <c r="B4" s="15" t="s">
        <v>45</v>
      </c>
      <c r="C4" s="114">
        <v>8000000</v>
      </c>
      <c r="D4" s="245">
        <f t="shared" si="0"/>
        <v>4800000</v>
      </c>
      <c r="E4" s="246">
        <f t="shared" si="1"/>
        <v>2000000</v>
      </c>
      <c r="F4" s="247">
        <f t="shared" si="2"/>
        <v>640000</v>
      </c>
      <c r="G4" s="246">
        <f t="shared" si="3"/>
        <v>560000</v>
      </c>
    </row>
    <row r="5" spans="1:7">
      <c r="E5" s="246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3691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3690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5" t="s">
        <v>3269</v>
      </c>
      <c r="G49" s="110">
        <v>44896</v>
      </c>
    </row>
    <row r="50" spans="6:7">
      <c r="F50" s="235" t="s">
        <v>3270</v>
      </c>
      <c r="G50" s="110">
        <v>44927</v>
      </c>
    </row>
    <row r="51" spans="6:7">
      <c r="F51" s="235" t="s">
        <v>3271</v>
      </c>
      <c r="G51" s="110">
        <v>44958</v>
      </c>
    </row>
    <row r="52" spans="6:7">
      <c r="F52" s="235" t="s">
        <v>3273</v>
      </c>
      <c r="G52" s="110">
        <v>44986</v>
      </c>
    </row>
    <row r="53" spans="6:7">
      <c r="F53" s="235" t="s">
        <v>3275</v>
      </c>
      <c r="G53" s="110">
        <v>45017</v>
      </c>
    </row>
    <row r="54" spans="6:7">
      <c r="F54" s="235" t="s">
        <v>3276</v>
      </c>
      <c r="G54" s="110">
        <v>45047</v>
      </c>
    </row>
    <row r="55" spans="6:7">
      <c r="F55" s="235" t="s">
        <v>3278</v>
      </c>
      <c r="G55" s="110">
        <v>45078</v>
      </c>
    </row>
    <row r="56" spans="6:7">
      <c r="F56" s="235" t="s">
        <v>3280</v>
      </c>
      <c r="G56" s="110">
        <v>45108</v>
      </c>
    </row>
    <row r="57" spans="6:7">
      <c r="F57" s="235" t="s">
        <v>3282</v>
      </c>
      <c r="G57" s="110">
        <v>45139</v>
      </c>
    </row>
    <row r="58" spans="6:7">
      <c r="F58" s="235" t="s">
        <v>3284</v>
      </c>
      <c r="G58" s="110">
        <v>45170</v>
      </c>
    </row>
    <row r="59" spans="6:7">
      <c r="F59" s="235" t="s">
        <v>3285</v>
      </c>
      <c r="G59" s="110">
        <v>45200</v>
      </c>
    </row>
    <row r="60" spans="6:7">
      <c r="F60" s="235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2025-04-01T03:04:18Z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